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omments1.xml" ContentType="application/vnd.openxmlformats-officedocument.spreadsheetml.comments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8.xml" ContentType="application/vnd.openxmlformats-officedocument.drawingml.chart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Archivos MEM\Año 2023\Año 2024\Noviembre 2024\"/>
    </mc:Choice>
  </mc:AlternateContent>
  <xr:revisionPtr revIDLastSave="0" documentId="8_{AC7612D9-89EA-4EEB-A7A8-0BD39D4EA84F}" xr6:coauthVersionLast="47" xr6:coauthVersionMax="47" xr10:uidLastSave="{00000000-0000-0000-0000-000000000000}"/>
  <bookViews>
    <workbookView xWindow="28680" yWindow="-120" windowWidth="29040" windowHeight="15720" tabRatio="957" firstSheet="16" activeTab="24" xr2:uid="{00000000-000D-0000-FFFF-FFFF00000000}"/>
  </bookViews>
  <sheets>
    <sheet name="gasolinas 05" sheetId="22" r:id="rId1"/>
    <sheet name="gasolinas 06" sheetId="21" r:id="rId2"/>
    <sheet name="Gasolinas 07" sheetId="17" r:id="rId3"/>
    <sheet name="Gasolinas 2008" sheetId="20" r:id="rId4"/>
    <sheet name="Gasolinas 2009" sheetId="19" r:id="rId5"/>
    <sheet name="Gasolinas 2010" sheetId="25" r:id="rId6"/>
    <sheet name="Gasolinas 2011 " sheetId="26" r:id="rId7"/>
    <sheet name="Gasolinas 2012" sheetId="27" r:id="rId8"/>
    <sheet name="Gasolinas 2013" sheetId="40" r:id="rId9"/>
    <sheet name="Gasolinas 2014" sheetId="42" r:id="rId10"/>
    <sheet name="Gasolinas 2015" sheetId="45" r:id="rId11"/>
    <sheet name="Gasolinas 2016" sheetId="49" r:id="rId12"/>
    <sheet name="Gasolinas 2017" sheetId="51" r:id="rId13"/>
    <sheet name="Gasolinas 2018" sheetId="53" r:id="rId14"/>
    <sheet name="Gasolinas 2019" sheetId="57" r:id="rId15"/>
    <sheet name="Gasolinas 2020" sheetId="59" r:id="rId16"/>
    <sheet name="Gasolineras 2021" sheetId="60" r:id="rId17"/>
    <sheet name="Gasolineras 2022" sheetId="73" r:id="rId18"/>
    <sheet name="Gasolineras 2023" sheetId="71" r:id="rId19"/>
    <sheet name="Gasolineras 2024" sheetId="74" r:id="rId20"/>
    <sheet name=" SC COMBUSTIBLES 2002-2024" sheetId="68" r:id="rId21"/>
    <sheet name="AS COMBUSTIBLES 2002-2024" sheetId="69" r:id="rId22"/>
    <sheet name="COMPORTAMIENTO DE PRECIOS 2023" sheetId="72" r:id="rId23"/>
    <sheet name="X-SEMANA-SC" sheetId="33" r:id="rId24"/>
    <sheet name="X-MES-AS" sheetId="30" r:id="rId25"/>
    <sheet name="Gasolineras 2022 (2)" sheetId="67" r:id="rId26"/>
    <sheet name=" SC COMBUSTIBLES 2002-2020" sheetId="46" r:id="rId27"/>
    <sheet name="AS COMBUSTIBLES 2002-2020" sheetId="47" r:id="rId28"/>
    <sheet name="PROMEDIO GLP" sheetId="70" r:id="rId29"/>
    <sheet name="GLP WEB 2019" sheetId="54" r:id="rId30"/>
    <sheet name="preciosgasodieselglp" sheetId="50" r:id="rId31"/>
    <sheet name="Tabulacion" sheetId="38" r:id="rId32"/>
    <sheet name="Precio Sugeridos" sheetId="52" r:id="rId33"/>
    <sheet name="GLP por Cía 03 a 06" sheetId="32" r:id="rId34"/>
    <sheet name="X-MES-81-05 (2)" sheetId="43" r:id="rId35"/>
    <sheet name="X-MES-81-05" sheetId="39" r:id="rId36"/>
    <sheet name="Cuadre" sheetId="36" r:id="rId37"/>
    <sheet name="X-MES-81-05 (3)" sheetId="48" r:id="rId38"/>
    <sheet name="Hoja2" sheetId="55" r:id="rId39"/>
    <sheet name="GLP por Cía 03 a 06 (2)" sheetId="56" r:id="rId40"/>
  </sheets>
  <externalReferences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</externalReferences>
  <definedNames>
    <definedName name="_xlnm.Print_Area" localSheetId="26">' SC COMBUSTIBLES 2002-2020'!$A$1:$AP$78</definedName>
    <definedName name="_xlnm.Print_Area" localSheetId="20">' SC COMBUSTIBLES 2002-2024'!$A$1:$AS$78</definedName>
    <definedName name="_xlnm.Print_Area" localSheetId="27">'AS COMBUSTIBLES 2002-2020'!$A$1:$AB$83</definedName>
    <definedName name="_xlnm.Print_Area" localSheetId="21">'AS COMBUSTIBLES 2002-2024'!$A$1:$AE$83</definedName>
    <definedName name="_xlnm.Print_Area" localSheetId="22">'COMPORTAMIENTO DE PRECIOS 2023'!$F$1:$L$22</definedName>
    <definedName name="_xlnm.Print_Area" localSheetId="36">Cuadre!$A$1:$K$101</definedName>
    <definedName name="_xlnm.Print_Area" localSheetId="0">'gasolinas 05'!$B$1:$H$77</definedName>
    <definedName name="_xlnm.Print_Area" localSheetId="1">'gasolinas 06'!$A$1:$G$74</definedName>
    <definedName name="_xlnm.Print_Area" localSheetId="3">'Gasolinas 2008'!$A$1:$G$68</definedName>
    <definedName name="_xlnm.Print_Area" localSheetId="4">'Gasolinas 2009'!$A$1:$G$71</definedName>
    <definedName name="_xlnm.Print_Area" localSheetId="5" xml:space="preserve">   'Gasolinas 2010'!$A$1:$G$74</definedName>
    <definedName name="_xlnm.Print_Area" localSheetId="6">'Gasolinas 2011 '!$A$1:$G$110</definedName>
    <definedName name="_xlnm.Print_Area" localSheetId="7">'Gasolinas 2012'!$A$1:$I$110</definedName>
    <definedName name="_xlnm.Print_Area" localSheetId="8">'Gasolinas 2013'!$A$1:$I$110</definedName>
    <definedName name="_xlnm.Print_Area" localSheetId="9">'Gasolinas 2014'!$A$1:$I$74</definedName>
    <definedName name="_xlnm.Print_Area" localSheetId="10">'Gasolinas 2015'!$A$1:$I$75</definedName>
    <definedName name="_xlnm.Print_Area" localSheetId="11">'Gasolinas 2016'!$A$1:$I$71</definedName>
    <definedName name="_xlnm.Print_Area" localSheetId="12">'Gasolinas 2017'!$A$1:$I$72</definedName>
    <definedName name="_xlnm.Print_Area" localSheetId="13">'Gasolinas 2018'!$A$1:$I$72</definedName>
    <definedName name="_xlnm.Print_Area" localSheetId="14">'Gasolinas 2019'!$A$1:$I$73</definedName>
    <definedName name="_xlnm.Print_Area" localSheetId="15">'Gasolinas 2020'!$A$1:$I$72</definedName>
    <definedName name="_xlnm.Print_Area" localSheetId="16">'Gasolineras 2021'!$A$1:$I$73</definedName>
    <definedName name="_xlnm.Print_Area" localSheetId="17">'Gasolineras 2022'!$A$1:$I$72</definedName>
    <definedName name="_xlnm.Print_Area" localSheetId="25">'Gasolineras 2022 (2)'!$A$1:$I$72</definedName>
    <definedName name="_xlnm.Print_Area" localSheetId="18">'Gasolineras 2023'!$A$1:$I$73</definedName>
    <definedName name="_xlnm.Print_Area" localSheetId="19">'Gasolineras 2024'!$A$1:$I$72</definedName>
    <definedName name="_xlnm.Print_Area" localSheetId="33">'GLP por Cía 03 a 06'!$A$1:$L$279</definedName>
    <definedName name="_xlnm.Print_Area" localSheetId="39">'GLP por Cía 03 a 06 (2)'!$A$1:$G$164</definedName>
    <definedName name="_xlnm.Print_Area" localSheetId="29">'GLP WEB 2019'!$A$1:$G$400</definedName>
    <definedName name="_xlnm.Print_Area" localSheetId="32">'Precio Sugeridos'!$A$1:$G$91</definedName>
    <definedName name="_xlnm.Print_Area" localSheetId="30">preciosgasodieselglp!$A$48:$U$64</definedName>
    <definedName name="_xlnm.Print_Area" localSheetId="28">'PROMEDIO GLP'!$C$1:$J$449</definedName>
    <definedName name="_xlnm.Print_Area" localSheetId="31">Tabulacion!$A$381:$H$411</definedName>
    <definedName name="_xlnm.Print_Area" localSheetId="35">'X-MES-81-05'!$A$354:$A$370</definedName>
    <definedName name="_xlnm.Print_Area" localSheetId="34">'X-MES-81-05 (2)'!$A$1:$AE$75</definedName>
    <definedName name="_xlnm.Print_Area" localSheetId="37">'X-MES-81-05 (3)'!$A$1:$AE$75</definedName>
    <definedName name="_xlnm.Print_Area" localSheetId="24">'X-MES-AS'!$B$1:$G$431</definedName>
    <definedName name="_xlnm.Print_Area" localSheetId="23">'X-SEMANA-SC'!$1:$2780</definedName>
    <definedName name="_xlnm.Print_Titles" localSheetId="26">' SC COMBUSTIBLES 2002-2020'!$1:$7</definedName>
    <definedName name="_xlnm.Print_Titles" localSheetId="20">' SC COMBUSTIBLES 2002-2024'!$1:$7</definedName>
    <definedName name="_xlnm.Print_Titles" localSheetId="27">'AS COMBUSTIBLES 2002-2020'!$1:$7</definedName>
    <definedName name="_xlnm.Print_Titles" localSheetId="21">'AS COMBUSTIBLES 2002-2024'!$1:$7</definedName>
    <definedName name="_xlnm.Print_Titles" localSheetId="36">Cuadre!#REF!</definedName>
    <definedName name="_xlnm.Print_Titles" localSheetId="33">'GLP por Cía 03 a 06'!$1:$11</definedName>
    <definedName name="_xlnm.Print_Titles" localSheetId="39">'GLP por Cía 03 a 06 (2)'!$1:$11</definedName>
    <definedName name="_xlnm.Print_Titles" localSheetId="29">'GLP WEB 2019'!$1:$11</definedName>
    <definedName name="_xlnm.Print_Titles" localSheetId="30">preciosgasodieselglp!$1:$8</definedName>
    <definedName name="_xlnm.Print_Titles" localSheetId="24">'X-MES-AS'!$121:$126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778" i="33" l="1"/>
  <c r="I2775" i="33"/>
  <c r="I2776" i="33"/>
  <c r="I2777" i="33"/>
  <c r="I2774" i="33"/>
  <c r="B2778" i="33"/>
  <c r="J2778" i="33"/>
  <c r="H2778" i="33"/>
  <c r="G2778" i="33"/>
  <c r="F2778" i="33"/>
  <c r="E2778" i="33"/>
  <c r="D2778" i="33"/>
  <c r="C2778" i="33"/>
  <c r="AE78" i="69"/>
  <c r="AE60" i="69"/>
  <c r="AE37" i="69"/>
  <c r="AE20" i="69"/>
  <c r="AS73" i="68"/>
  <c r="AS56" i="68"/>
  <c r="AS38" i="68"/>
  <c r="AS21" i="68"/>
  <c r="B62" i="74"/>
  <c r="B57" i="74"/>
  <c r="AS20" i="68" l="1"/>
  <c r="B2770" i="33" l="1"/>
  <c r="C2770" i="33"/>
  <c r="D2770" i="33"/>
  <c r="E2770" i="33"/>
  <c r="F2770" i="33"/>
  <c r="H2770" i="33"/>
  <c r="I2770" i="33"/>
  <c r="J2770" i="33"/>
  <c r="G2770" i="33"/>
  <c r="J2760" i="33"/>
  <c r="I2760" i="33"/>
  <c r="H2760" i="33"/>
  <c r="G2760" i="33"/>
  <c r="F2760" i="33"/>
  <c r="E2760" i="33"/>
  <c r="D2760" i="33"/>
  <c r="C2760" i="33"/>
  <c r="B2760" i="33"/>
  <c r="J2752" i="33"/>
  <c r="I2752" i="33"/>
  <c r="H2752" i="33"/>
  <c r="G2752" i="33"/>
  <c r="F2752" i="33"/>
  <c r="E2752" i="33"/>
  <c r="D2752" i="33"/>
  <c r="C2752" i="33"/>
  <c r="B2752" i="33"/>
  <c r="J2742" i="33"/>
  <c r="I2742" i="33"/>
  <c r="H2742" i="33"/>
  <c r="G2742" i="33"/>
  <c r="F2742" i="33"/>
  <c r="E2742" i="33"/>
  <c r="D2742" i="33"/>
  <c r="C2742" i="33"/>
  <c r="B2742" i="33"/>
  <c r="D51" i="74"/>
  <c r="AS54" i="68" s="1"/>
  <c r="C51" i="74"/>
  <c r="AS36" i="68" s="1"/>
  <c r="E51" i="74"/>
  <c r="AS71" i="68" s="1"/>
  <c r="F51" i="74"/>
  <c r="AE18" i="69" s="1"/>
  <c r="G51" i="74"/>
  <c r="AE35" i="69" s="1"/>
  <c r="H51" i="74"/>
  <c r="AE58" i="69" s="1"/>
  <c r="I51" i="74"/>
  <c r="AE76" i="69" s="1"/>
  <c r="B51" i="74"/>
  <c r="AS19" i="68" s="1"/>
  <c r="C46" i="74" l="1"/>
  <c r="D46" i="74"/>
  <c r="E46" i="74"/>
  <c r="F46" i="74"/>
  <c r="AE17" i="69" s="1"/>
  <c r="G46" i="74"/>
  <c r="H46" i="74"/>
  <c r="AE57" i="69" s="1"/>
  <c r="I46" i="74"/>
  <c r="AE75" i="69" s="1"/>
  <c r="B46" i="74"/>
  <c r="AS18" i="68" s="1"/>
  <c r="C40" i="74" l="1"/>
  <c r="D40" i="74"/>
  <c r="E40" i="74"/>
  <c r="F40" i="74"/>
  <c r="AE16" i="69" s="1"/>
  <c r="G40" i="74"/>
  <c r="AE33" i="69" s="1"/>
  <c r="H40" i="74"/>
  <c r="AE56" i="69" s="1"/>
  <c r="I40" i="74"/>
  <c r="AE74" i="69" s="1"/>
  <c r="B40" i="74"/>
  <c r="G2733" i="33" l="1"/>
  <c r="H2733" i="33"/>
  <c r="I2733" i="33"/>
  <c r="J2733" i="33"/>
  <c r="F2733" i="33"/>
  <c r="E2733" i="33" l="1"/>
  <c r="D2733" i="33"/>
  <c r="C2733" i="33"/>
  <c r="B2733" i="33"/>
  <c r="C2725" i="33"/>
  <c r="D2725" i="33"/>
  <c r="E2725" i="33"/>
  <c r="F2725" i="33"/>
  <c r="G2725" i="33"/>
  <c r="H2725" i="33"/>
  <c r="I2725" i="33"/>
  <c r="J2725" i="33"/>
  <c r="D2716" i="33"/>
  <c r="E2716" i="33"/>
  <c r="F2716" i="33"/>
  <c r="G2716" i="33"/>
  <c r="H2716" i="33"/>
  <c r="I2716" i="33"/>
  <c r="J2716" i="33"/>
  <c r="C2716" i="33"/>
  <c r="B2716" i="33"/>
  <c r="G35" i="74" l="1"/>
  <c r="AE32" i="69" s="1"/>
  <c r="H35" i="74"/>
  <c r="AE55" i="69" s="1"/>
  <c r="I35" i="74"/>
  <c r="AE73" i="69" s="1"/>
  <c r="F35" i="74"/>
  <c r="AE15" i="69" s="1"/>
  <c r="C35" i="74"/>
  <c r="AS33" i="68" s="1"/>
  <c r="D35" i="74"/>
  <c r="AS51" i="68" s="1"/>
  <c r="E35" i="74"/>
  <c r="AS68" i="68" s="1"/>
  <c r="B35" i="74"/>
  <c r="AS16" i="68" s="1"/>
  <c r="G30" i="74" l="1"/>
  <c r="AE31" i="69" s="1"/>
  <c r="H30" i="74"/>
  <c r="AE54" i="69" s="1"/>
  <c r="I30" i="74"/>
  <c r="AE72" i="69" s="1"/>
  <c r="F30" i="74"/>
  <c r="AE14" i="69" s="1"/>
  <c r="C30" i="74"/>
  <c r="AS32" i="68" s="1"/>
  <c r="D30" i="74"/>
  <c r="AS50" i="68" s="1"/>
  <c r="E30" i="74"/>
  <c r="AS67" i="68" s="1"/>
  <c r="B30" i="74"/>
  <c r="AS15" i="68" s="1"/>
  <c r="I24" i="74" l="1"/>
  <c r="AE71" i="69" s="1"/>
  <c r="H24" i="74"/>
  <c r="AE53" i="69" s="1"/>
  <c r="G24" i="74"/>
  <c r="AE30" i="69" s="1"/>
  <c r="F24" i="74"/>
  <c r="AE13" i="69" s="1"/>
  <c r="E24" i="74"/>
  <c r="AS66" i="68" s="1"/>
  <c r="D24" i="74"/>
  <c r="AS49" i="68" s="1"/>
  <c r="C24" i="74"/>
  <c r="AS31" i="68" s="1"/>
  <c r="B24" i="74"/>
  <c r="AS14" i="68" s="1"/>
  <c r="B2725" i="33" l="1"/>
  <c r="P439" i="70"/>
  <c r="P438" i="70"/>
  <c r="P437" i="70"/>
  <c r="P436" i="70"/>
  <c r="I2706" i="33"/>
  <c r="I2705" i="33"/>
  <c r="I2704" i="33"/>
  <c r="I2700" i="33"/>
  <c r="J2708" i="33"/>
  <c r="H2708" i="33"/>
  <c r="G2708" i="33"/>
  <c r="F2708" i="33"/>
  <c r="E2708" i="33"/>
  <c r="D2708" i="33"/>
  <c r="C2708" i="33"/>
  <c r="B2708" i="33"/>
  <c r="J2700" i="33"/>
  <c r="H2700" i="33"/>
  <c r="G2700" i="33"/>
  <c r="F2700" i="33"/>
  <c r="E2700" i="33"/>
  <c r="D2700" i="33"/>
  <c r="C2700" i="33"/>
  <c r="B2700" i="33"/>
  <c r="B13" i="59"/>
  <c r="C13" i="59"/>
  <c r="D13" i="59"/>
  <c r="B18" i="59"/>
  <c r="C18" i="59"/>
  <c r="D18" i="59"/>
  <c r="B24" i="59"/>
  <c r="C24" i="59"/>
  <c r="D24" i="59"/>
  <c r="B29" i="59"/>
  <c r="C29" i="59"/>
  <c r="D29" i="59"/>
  <c r="B34" i="59"/>
  <c r="C34" i="59"/>
  <c r="D34" i="59"/>
  <c r="B40" i="59"/>
  <c r="C40" i="59"/>
  <c r="D40" i="59"/>
  <c r="B45" i="59"/>
  <c r="C45" i="59"/>
  <c r="D45" i="59"/>
  <c r="B51" i="59"/>
  <c r="C51" i="59"/>
  <c r="D51" i="59"/>
  <c r="B56" i="59"/>
  <c r="C56" i="59"/>
  <c r="D56" i="59"/>
  <c r="B61" i="59"/>
  <c r="C61" i="59"/>
  <c r="D61" i="59"/>
  <c r="B67" i="59"/>
  <c r="C67" i="59"/>
  <c r="D67" i="59"/>
  <c r="B72" i="59"/>
  <c r="C72" i="59"/>
  <c r="D72" i="59"/>
  <c r="AS13" i="68"/>
  <c r="C19" i="74"/>
  <c r="AS30" i="68" s="1"/>
  <c r="D19" i="74"/>
  <c r="AS48" i="68" s="1"/>
  <c r="E19" i="74"/>
  <c r="AS65" i="68" s="1"/>
  <c r="F19" i="74"/>
  <c r="AE12" i="69" s="1"/>
  <c r="G19" i="74"/>
  <c r="AE29" i="69" s="1"/>
  <c r="H19" i="74"/>
  <c r="AE52" i="69" s="1"/>
  <c r="I19" i="74"/>
  <c r="AE70" i="69" s="1"/>
  <c r="B19" i="74"/>
  <c r="I72" i="74"/>
  <c r="H72" i="74"/>
  <c r="G72" i="74"/>
  <c r="F72" i="74"/>
  <c r="E72" i="74"/>
  <c r="D72" i="74"/>
  <c r="C72" i="74"/>
  <c r="B72" i="74"/>
  <c r="I67" i="74"/>
  <c r="H67" i="74"/>
  <c r="G67" i="74"/>
  <c r="F67" i="74"/>
  <c r="E67" i="74"/>
  <c r="D67" i="74"/>
  <c r="C67" i="74"/>
  <c r="B67" i="74"/>
  <c r="I62" i="74"/>
  <c r="H62" i="74"/>
  <c r="G62" i="74"/>
  <c r="F62" i="74"/>
  <c r="E62" i="74"/>
  <c r="D62" i="74"/>
  <c r="C62" i="74"/>
  <c r="L59" i="74" a="1"/>
  <c r="L59" i="74" s="1"/>
  <c r="I57" i="74"/>
  <c r="AE77" i="69" s="1"/>
  <c r="H57" i="74"/>
  <c r="AE59" i="69" s="1"/>
  <c r="G57" i="74"/>
  <c r="AE36" i="69" s="1"/>
  <c r="F57" i="74"/>
  <c r="AE19" i="69" s="1"/>
  <c r="E57" i="74"/>
  <c r="AS72" i="68" s="1"/>
  <c r="D57" i="74"/>
  <c r="AS55" i="68" s="1"/>
  <c r="C57" i="74"/>
  <c r="AS37" i="68" s="1"/>
  <c r="L33" i="74"/>
  <c r="I14" i="74"/>
  <c r="AE69" i="69" s="1"/>
  <c r="H14" i="74"/>
  <c r="AE51" i="69" s="1"/>
  <c r="G14" i="74"/>
  <c r="AE28" i="69" s="1"/>
  <c r="F14" i="74"/>
  <c r="AE11" i="69" s="1"/>
  <c r="E14" i="74"/>
  <c r="AS64" i="68" s="1"/>
  <c r="D14" i="74"/>
  <c r="AS47" i="68" s="1"/>
  <c r="C14" i="74"/>
  <c r="AS29" i="68" s="1"/>
  <c r="B14" i="74"/>
  <c r="AS12" i="68" s="1"/>
  <c r="AS24" i="68" s="1"/>
  <c r="K12" i="74"/>
  <c r="K11" i="74"/>
  <c r="K10" i="74"/>
  <c r="G21" i="30"/>
  <c r="F21" i="30"/>
  <c r="E21" i="30"/>
  <c r="D21" i="30"/>
  <c r="C21" i="30"/>
  <c r="J2683" i="33"/>
  <c r="I2683" i="33"/>
  <c r="H2683" i="33"/>
  <c r="G2683" i="33"/>
  <c r="F2683" i="33"/>
  <c r="E2683" i="33"/>
  <c r="D2683" i="33"/>
  <c r="C2683" i="33"/>
  <c r="B2683" i="33"/>
  <c r="AD80" i="69"/>
  <c r="AD62" i="69"/>
  <c r="AD22" i="69"/>
  <c r="AR75" i="68"/>
  <c r="AR40" i="68"/>
  <c r="AD58" i="69"/>
  <c r="C72" i="71"/>
  <c r="D72" i="71"/>
  <c r="AR58" i="68" s="1"/>
  <c r="E72" i="71"/>
  <c r="F72" i="71"/>
  <c r="G72" i="71"/>
  <c r="AD39" i="69" s="1"/>
  <c r="H72" i="71"/>
  <c r="I72" i="71"/>
  <c r="B72" i="71"/>
  <c r="AR23" i="68" s="1"/>
  <c r="AE81" i="69" l="1"/>
  <c r="AE23" i="69"/>
  <c r="AE63" i="69"/>
  <c r="AE40" i="69"/>
  <c r="AS41" i="68"/>
  <c r="AS59" i="68"/>
  <c r="AS76" i="68"/>
  <c r="I2708" i="33"/>
  <c r="AD20" i="69"/>
  <c r="AD79" i="69"/>
  <c r="AD78" i="69"/>
  <c r="AD77" i="69"/>
  <c r="AD76" i="69"/>
  <c r="AD75" i="69"/>
  <c r="AD61" i="69"/>
  <c r="AD60" i="69"/>
  <c r="AD59" i="69"/>
  <c r="AD57" i="69"/>
  <c r="AD18" i="69"/>
  <c r="AD17" i="69"/>
  <c r="J2691" i="33"/>
  <c r="I2691" i="33"/>
  <c r="H2691" i="33"/>
  <c r="G2691" i="33"/>
  <c r="F2691" i="33"/>
  <c r="E2691" i="33"/>
  <c r="D2691" i="33"/>
  <c r="C2691" i="33"/>
  <c r="B2691" i="33"/>
  <c r="AD21" i="69"/>
  <c r="AR74" i="68"/>
  <c r="AR57" i="68"/>
  <c r="AR39" i="68"/>
  <c r="AR22" i="68"/>
  <c r="L32" i="71"/>
  <c r="C67" i="71" l="1"/>
  <c r="D67" i="71"/>
  <c r="E67" i="71"/>
  <c r="F67" i="71"/>
  <c r="G67" i="71"/>
  <c r="AD38" i="69" s="1"/>
  <c r="H67" i="71"/>
  <c r="I67" i="71"/>
  <c r="B67" i="71"/>
  <c r="F2675" i="33"/>
  <c r="J2675" i="33"/>
  <c r="I2675" i="33"/>
  <c r="H2675" i="33"/>
  <c r="G2675" i="33"/>
  <c r="E2675" i="33"/>
  <c r="D2675" i="33"/>
  <c r="C2675" i="33"/>
  <c r="B2675" i="33"/>
  <c r="I72" i="59"/>
  <c r="H72" i="59"/>
  <c r="G72" i="59"/>
  <c r="F72" i="59"/>
  <c r="E72" i="59"/>
  <c r="I67" i="59"/>
  <c r="H67" i="59"/>
  <c r="G67" i="59"/>
  <c r="F67" i="59"/>
  <c r="E67" i="59"/>
  <c r="I61" i="59"/>
  <c r="H61" i="59"/>
  <c r="G61" i="59"/>
  <c r="F61" i="59"/>
  <c r="E61" i="59"/>
  <c r="I56" i="59"/>
  <c r="H56" i="59"/>
  <c r="G56" i="59"/>
  <c r="F56" i="59"/>
  <c r="E56" i="59"/>
  <c r="I51" i="59"/>
  <c r="H51" i="59"/>
  <c r="G51" i="59"/>
  <c r="F51" i="59"/>
  <c r="E51" i="59"/>
  <c r="I45" i="59"/>
  <c r="H45" i="59"/>
  <c r="G45" i="59"/>
  <c r="F45" i="59"/>
  <c r="E45" i="59"/>
  <c r="I40" i="59"/>
  <c r="H40" i="59"/>
  <c r="G40" i="59"/>
  <c r="F40" i="59"/>
  <c r="E40" i="59"/>
  <c r="I34" i="59"/>
  <c r="H34" i="59"/>
  <c r="G34" i="59"/>
  <c r="F34" i="59"/>
  <c r="E34" i="59"/>
  <c r="I29" i="59"/>
  <c r="H29" i="59"/>
  <c r="G29" i="59"/>
  <c r="F29" i="59"/>
  <c r="E29" i="59"/>
  <c r="I24" i="59"/>
  <c r="H24" i="59"/>
  <c r="G24" i="59"/>
  <c r="F24" i="59"/>
  <c r="E24" i="59"/>
  <c r="I18" i="59"/>
  <c r="H18" i="59"/>
  <c r="G18" i="59"/>
  <c r="F18" i="59"/>
  <c r="E18" i="59"/>
  <c r="I13" i="59"/>
  <c r="H13" i="59"/>
  <c r="G13" i="59"/>
  <c r="F13" i="59"/>
  <c r="E13" i="59"/>
  <c r="I72" i="60"/>
  <c r="H72" i="60"/>
  <c r="G72" i="60"/>
  <c r="F72" i="60"/>
  <c r="E72" i="60"/>
  <c r="D72" i="60"/>
  <c r="C72" i="60"/>
  <c r="B72" i="60"/>
  <c r="I67" i="60"/>
  <c r="H67" i="60"/>
  <c r="G67" i="60"/>
  <c r="F67" i="60"/>
  <c r="E67" i="60"/>
  <c r="D67" i="60"/>
  <c r="C67" i="60"/>
  <c r="B67" i="60"/>
  <c r="I61" i="60"/>
  <c r="H61" i="60"/>
  <c r="G61" i="60"/>
  <c r="F61" i="60"/>
  <c r="E61" i="60"/>
  <c r="D61" i="60"/>
  <c r="C61" i="60"/>
  <c r="B61" i="60"/>
  <c r="I56" i="60"/>
  <c r="H56" i="60"/>
  <c r="G56" i="60"/>
  <c r="F56" i="60"/>
  <c r="E56" i="60"/>
  <c r="D56" i="60"/>
  <c r="C56" i="60"/>
  <c r="B56" i="60"/>
  <c r="I51" i="60"/>
  <c r="H51" i="60"/>
  <c r="G51" i="60"/>
  <c r="F51" i="60"/>
  <c r="E51" i="60"/>
  <c r="D51" i="60"/>
  <c r="C51" i="60"/>
  <c r="B51" i="60"/>
  <c r="I45" i="60"/>
  <c r="H45" i="60"/>
  <c r="G45" i="60"/>
  <c r="F45" i="60"/>
  <c r="E45" i="60"/>
  <c r="D45" i="60"/>
  <c r="C45" i="60"/>
  <c r="B45" i="60"/>
  <c r="I40" i="60"/>
  <c r="H40" i="60"/>
  <c r="G40" i="60"/>
  <c r="F40" i="60"/>
  <c r="E40" i="60"/>
  <c r="D40" i="60"/>
  <c r="C40" i="60"/>
  <c r="B40" i="60"/>
  <c r="I35" i="60"/>
  <c r="H35" i="60"/>
  <c r="G35" i="60"/>
  <c r="F35" i="60"/>
  <c r="E35" i="60"/>
  <c r="D35" i="60"/>
  <c r="C35" i="60"/>
  <c r="B35" i="60"/>
  <c r="I29" i="60"/>
  <c r="H29" i="60"/>
  <c r="G29" i="60"/>
  <c r="F29" i="60"/>
  <c r="E29" i="60"/>
  <c r="D29" i="60"/>
  <c r="C29" i="60"/>
  <c r="B29" i="60"/>
  <c r="I24" i="60"/>
  <c r="H24" i="60"/>
  <c r="G24" i="60"/>
  <c r="F24" i="60"/>
  <c r="E24" i="60"/>
  <c r="D24" i="60"/>
  <c r="C24" i="60"/>
  <c r="B24" i="60"/>
  <c r="I18" i="60"/>
  <c r="H18" i="60"/>
  <c r="G18" i="60"/>
  <c r="F18" i="60"/>
  <c r="E18" i="60"/>
  <c r="D18" i="60"/>
  <c r="C18" i="60"/>
  <c r="B18" i="60"/>
  <c r="I13" i="60"/>
  <c r="H13" i="60"/>
  <c r="G13" i="60"/>
  <c r="F13" i="60"/>
  <c r="E13" i="60"/>
  <c r="D13" i="60"/>
  <c r="C13" i="60"/>
  <c r="B13" i="60"/>
  <c r="B14" i="73"/>
  <c r="C14" i="73"/>
  <c r="D14" i="73"/>
  <c r="E14" i="73"/>
  <c r="F14" i="73"/>
  <c r="G14" i="73"/>
  <c r="H14" i="73"/>
  <c r="I14" i="73"/>
  <c r="B19" i="73"/>
  <c r="C19" i="73"/>
  <c r="D19" i="73"/>
  <c r="E19" i="73"/>
  <c r="F19" i="73"/>
  <c r="G19" i="73"/>
  <c r="H19" i="73"/>
  <c r="I19" i="73"/>
  <c r="B24" i="73"/>
  <c r="C24" i="73"/>
  <c r="D24" i="73"/>
  <c r="E24" i="73"/>
  <c r="F24" i="73"/>
  <c r="G24" i="73"/>
  <c r="H24" i="73"/>
  <c r="I24" i="73"/>
  <c r="B29" i="73"/>
  <c r="C29" i="73"/>
  <c r="D29" i="73"/>
  <c r="E29" i="73"/>
  <c r="F29" i="73"/>
  <c r="G29" i="73"/>
  <c r="H29" i="73"/>
  <c r="I29" i="73"/>
  <c r="B40" i="73"/>
  <c r="C40" i="73"/>
  <c r="D40" i="73"/>
  <c r="E40" i="73"/>
  <c r="F40" i="73"/>
  <c r="G40" i="73"/>
  <c r="H40" i="73"/>
  <c r="I40" i="73"/>
  <c r="B45" i="73"/>
  <c r="C45" i="73"/>
  <c r="D45" i="73"/>
  <c r="E45" i="73"/>
  <c r="F45" i="73"/>
  <c r="G45" i="73"/>
  <c r="H45" i="73"/>
  <c r="I45" i="73"/>
  <c r="B51" i="73"/>
  <c r="C51" i="73"/>
  <c r="D51" i="73"/>
  <c r="E51" i="73"/>
  <c r="F51" i="73"/>
  <c r="G51" i="73"/>
  <c r="H51" i="73"/>
  <c r="I51" i="73"/>
  <c r="B56" i="73"/>
  <c r="C56" i="73"/>
  <c r="D56" i="73"/>
  <c r="E56" i="73"/>
  <c r="F56" i="73"/>
  <c r="G56" i="73"/>
  <c r="H56" i="73"/>
  <c r="I56" i="73"/>
  <c r="B61" i="73"/>
  <c r="C61" i="73"/>
  <c r="D61" i="73"/>
  <c r="E61" i="73"/>
  <c r="F61" i="73"/>
  <c r="G61" i="73"/>
  <c r="H61" i="73"/>
  <c r="I61" i="73"/>
  <c r="B67" i="73"/>
  <c r="C67" i="73"/>
  <c r="D67" i="73"/>
  <c r="E67" i="73"/>
  <c r="F67" i="73"/>
  <c r="G67" i="73"/>
  <c r="H67" i="73"/>
  <c r="I67" i="73"/>
  <c r="B72" i="73"/>
  <c r="C72" i="73"/>
  <c r="D72" i="73"/>
  <c r="E72" i="73"/>
  <c r="F72" i="73"/>
  <c r="G72" i="73"/>
  <c r="H72" i="73"/>
  <c r="I72" i="73"/>
  <c r="J2666" i="33" l="1"/>
  <c r="I2666" i="33"/>
  <c r="H2666" i="33"/>
  <c r="G2666" i="33"/>
  <c r="F2666" i="33"/>
  <c r="E2666" i="33"/>
  <c r="D2666" i="33"/>
  <c r="C2666" i="33"/>
  <c r="B2666" i="33"/>
  <c r="L58" i="71" a="1"/>
  <c r="L58" i="71" s="1"/>
  <c r="B56" i="71" l="1"/>
  <c r="AR20" i="68" s="1"/>
  <c r="J2658" i="33" l="1"/>
  <c r="J2646" i="33"/>
  <c r="J2647" i="33"/>
  <c r="J2648" i="33"/>
  <c r="J2649" i="33"/>
  <c r="J2645" i="33"/>
  <c r="J2638" i="33"/>
  <c r="J2637" i="33"/>
  <c r="J2639" i="33"/>
  <c r="J2640" i="33"/>
  <c r="I2650" i="33"/>
  <c r="H2650" i="33"/>
  <c r="G2650" i="33"/>
  <c r="F2650" i="33"/>
  <c r="E2650" i="33"/>
  <c r="D2650" i="33"/>
  <c r="C2650" i="33"/>
  <c r="B2650" i="33"/>
  <c r="B51" i="71"/>
  <c r="AR19" i="68" s="1"/>
  <c r="J2650" i="33" l="1"/>
  <c r="J2641" i="33"/>
  <c r="AC80" i="69"/>
  <c r="AC79" i="69"/>
  <c r="AC78" i="69"/>
  <c r="AC77" i="69"/>
  <c r="AC76" i="69"/>
  <c r="AC75" i="69"/>
  <c r="AC74" i="69"/>
  <c r="AC62" i="69"/>
  <c r="AC61" i="69"/>
  <c r="AC60" i="69"/>
  <c r="AC59" i="69"/>
  <c r="AC58" i="69"/>
  <c r="AC57" i="69"/>
  <c r="AC56" i="69"/>
  <c r="AC39" i="69"/>
  <c r="AC38" i="69"/>
  <c r="AC37" i="69"/>
  <c r="AC36" i="69"/>
  <c r="AC35" i="69"/>
  <c r="AC34" i="69"/>
  <c r="AC33" i="69"/>
  <c r="AC22" i="69"/>
  <c r="AC21" i="69"/>
  <c r="AC20" i="69"/>
  <c r="AC19" i="69"/>
  <c r="AC18" i="69"/>
  <c r="AC17" i="69"/>
  <c r="AC16" i="69"/>
  <c r="AQ75" i="68" l="1"/>
  <c r="AQ74" i="68"/>
  <c r="AQ73" i="68"/>
  <c r="AQ72" i="68"/>
  <c r="AQ71" i="68"/>
  <c r="AQ70" i="68"/>
  <c r="AQ69" i="68"/>
  <c r="AQ58" i="68"/>
  <c r="AQ57" i="68"/>
  <c r="AQ56" i="68"/>
  <c r="AQ55" i="68"/>
  <c r="AQ54" i="68"/>
  <c r="AQ53" i="68"/>
  <c r="AQ52" i="68"/>
  <c r="AQ40" i="68"/>
  <c r="AQ39" i="68"/>
  <c r="AQ38" i="68"/>
  <c r="AQ37" i="68"/>
  <c r="AQ36" i="68"/>
  <c r="AQ35" i="68"/>
  <c r="AQ34" i="68"/>
  <c r="AQ23" i="68"/>
  <c r="AQ22" i="68"/>
  <c r="AQ21" i="68"/>
  <c r="AQ20" i="68"/>
  <c r="AQ19" i="68"/>
  <c r="AQ18" i="68"/>
  <c r="AQ17" i="68"/>
  <c r="F46" i="71"/>
  <c r="C46" i="71"/>
  <c r="AR35" i="68" s="1"/>
  <c r="D46" i="71"/>
  <c r="AR53" i="68" s="1"/>
  <c r="E46" i="71"/>
  <c r="AR70" i="68" s="1"/>
  <c r="G46" i="71"/>
  <c r="AD34" i="69" s="1"/>
  <c r="H46" i="71"/>
  <c r="I46" i="71"/>
  <c r="B46" i="71"/>
  <c r="AR18" i="68" s="1"/>
  <c r="I2658" i="33" l="1"/>
  <c r="H2658" i="33"/>
  <c r="G2658" i="33"/>
  <c r="F2658" i="33"/>
  <c r="E2658" i="33"/>
  <c r="D2658" i="33"/>
  <c r="C2658" i="33"/>
  <c r="B2658" i="33"/>
  <c r="I2641" i="33"/>
  <c r="H2641" i="33"/>
  <c r="G2641" i="33"/>
  <c r="F2641" i="33"/>
  <c r="E2641" i="33"/>
  <c r="D2641" i="33"/>
  <c r="C2641" i="33"/>
  <c r="B2641" i="33"/>
  <c r="J2633" i="33" l="1"/>
  <c r="I2633" i="33"/>
  <c r="H2633" i="33"/>
  <c r="G2633" i="33"/>
  <c r="F2633" i="33"/>
  <c r="E2633" i="33"/>
  <c r="D2633" i="33"/>
  <c r="C2633" i="33"/>
  <c r="B2633" i="33"/>
  <c r="G45" i="30"/>
  <c r="F45" i="30"/>
  <c r="E45" i="30"/>
  <c r="D45" i="30"/>
  <c r="C45" i="30"/>
  <c r="J2624" i="33"/>
  <c r="I2624" i="33"/>
  <c r="H2624" i="33"/>
  <c r="G2624" i="33"/>
  <c r="F2624" i="33"/>
  <c r="E2624" i="33"/>
  <c r="D2624" i="33"/>
  <c r="C2624" i="33"/>
  <c r="B2624" i="33"/>
  <c r="P2606" i="33"/>
  <c r="J2615" i="33"/>
  <c r="I2615" i="33"/>
  <c r="H2615" i="33"/>
  <c r="G2615" i="33"/>
  <c r="F2615" i="33"/>
  <c r="E2615" i="33"/>
  <c r="D2615" i="33"/>
  <c r="C2615" i="33"/>
  <c r="B2615" i="33"/>
  <c r="C29" i="53"/>
  <c r="D29" i="53"/>
  <c r="E29" i="53"/>
  <c r="F29" i="53"/>
  <c r="G29" i="53"/>
  <c r="H29" i="53"/>
  <c r="I29" i="53"/>
  <c r="C29" i="57"/>
  <c r="D29" i="57"/>
  <c r="E29" i="57"/>
  <c r="F29" i="57"/>
  <c r="G29" i="57"/>
  <c r="H29" i="57"/>
  <c r="I29" i="57"/>
  <c r="C29" i="51"/>
  <c r="D29" i="51"/>
  <c r="E29" i="51"/>
  <c r="F29" i="51"/>
  <c r="G29" i="51"/>
  <c r="H29" i="51"/>
  <c r="I29" i="51"/>
  <c r="B29" i="53"/>
  <c r="B29" i="57"/>
  <c r="B29" i="51"/>
  <c r="G24" i="71" l="1"/>
  <c r="AD30" i="69" s="1"/>
  <c r="H24" i="71"/>
  <c r="AD53" i="69" s="1"/>
  <c r="I24" i="71"/>
  <c r="AD71" i="69" s="1"/>
  <c r="C24" i="71"/>
  <c r="AR31" i="68" s="1"/>
  <c r="D24" i="71"/>
  <c r="AR49" i="68" s="1"/>
  <c r="E24" i="71"/>
  <c r="AR66" i="68" s="1"/>
  <c r="B24" i="71"/>
  <c r="AR14" i="68" s="1"/>
  <c r="I2606" i="33" l="1"/>
  <c r="J2598" i="33" l="1"/>
  <c r="I2598" i="33"/>
  <c r="H2598" i="33"/>
  <c r="G2598" i="33"/>
  <c r="F2598" i="33"/>
  <c r="E2598" i="33"/>
  <c r="D2598" i="33"/>
  <c r="C2598" i="33"/>
  <c r="B2598" i="33"/>
  <c r="G19" i="71"/>
  <c r="AD29" i="69" s="1"/>
  <c r="H19" i="71"/>
  <c r="AD52" i="69" s="1"/>
  <c r="I19" i="71"/>
  <c r="AD70" i="69" s="1"/>
  <c r="F19" i="71"/>
  <c r="AD12" i="69" s="1"/>
  <c r="C19" i="71"/>
  <c r="AR30" i="68" s="1"/>
  <c r="D19" i="71"/>
  <c r="AR48" i="68" s="1"/>
  <c r="E19" i="71"/>
  <c r="AR65" i="68" s="1"/>
  <c r="L19" i="72"/>
  <c r="L18" i="72"/>
  <c r="L17" i="72"/>
  <c r="L16" i="72"/>
  <c r="L15" i="72"/>
  <c r="J16" i="72"/>
  <c r="J15" i="72"/>
  <c r="H17" i="72"/>
  <c r="H16" i="72"/>
  <c r="H15" i="72"/>
  <c r="H14" i="72"/>
  <c r="J18" i="72"/>
  <c r="H18" i="72"/>
  <c r="J19" i="72"/>
  <c r="H19" i="72"/>
  <c r="J17" i="72"/>
  <c r="G430" i="30"/>
  <c r="F430" i="30"/>
  <c r="E430" i="30"/>
  <c r="D430" i="30"/>
  <c r="C430" i="30"/>
  <c r="C2606" i="33"/>
  <c r="D2606" i="33"/>
  <c r="E2606" i="33"/>
  <c r="F2606" i="33"/>
  <c r="G2606" i="33"/>
  <c r="H2606" i="33"/>
  <c r="J2606" i="33"/>
  <c r="B2606" i="33"/>
  <c r="J2589" i="33"/>
  <c r="I2589" i="33"/>
  <c r="H2589" i="33"/>
  <c r="G2589" i="33"/>
  <c r="F2589" i="33"/>
  <c r="E2589" i="33"/>
  <c r="D2589" i="33"/>
  <c r="C2589" i="33"/>
  <c r="B2589" i="33"/>
  <c r="K20" i="72" l="1"/>
  <c r="I20" i="72"/>
  <c r="G20" i="72"/>
  <c r="AC81" i="69"/>
  <c r="AC63" i="69"/>
  <c r="AC40" i="69"/>
  <c r="AC23" i="69"/>
  <c r="J14" i="72" l="1"/>
  <c r="L14" i="72"/>
  <c r="L13" i="72"/>
  <c r="J13" i="72"/>
  <c r="H13" i="72"/>
  <c r="H10" i="72" l="1"/>
  <c r="J10" i="72"/>
  <c r="L10" i="72"/>
  <c r="H11" i="72"/>
  <c r="J11" i="72"/>
  <c r="L11" i="72"/>
  <c r="H12" i="72"/>
  <c r="J12" i="72"/>
  <c r="L12" i="72"/>
  <c r="D177" i="56"/>
  <c r="I176" i="56"/>
  <c r="I175" i="56"/>
  <c r="I174" i="56"/>
  <c r="I173" i="56"/>
  <c r="J171" i="56"/>
  <c r="J170" i="56"/>
  <c r="J169" i="56"/>
  <c r="J168" i="56"/>
  <c r="H168" i="56"/>
  <c r="L166" i="56"/>
  <c r="K162" i="56"/>
  <c r="V74" i="48"/>
  <c r="T74" i="48"/>
  <c r="Q74" i="48"/>
  <c r="O74" i="48"/>
  <c r="M74" i="48"/>
  <c r="K74" i="48"/>
  <c r="I74" i="48"/>
  <c r="G74" i="48"/>
  <c r="E72" i="48"/>
  <c r="E71" i="48"/>
  <c r="C71" i="48"/>
  <c r="AA70" i="48"/>
  <c r="E70" i="48"/>
  <c r="C70" i="48"/>
  <c r="C68" i="48"/>
  <c r="C66" i="48"/>
  <c r="C65" i="48"/>
  <c r="E62" i="48"/>
  <c r="C62" i="48"/>
  <c r="E61" i="48"/>
  <c r="C61" i="48"/>
  <c r="Q50" i="48"/>
  <c r="O50" i="48"/>
  <c r="M50" i="48"/>
  <c r="K50" i="48"/>
  <c r="I50" i="48"/>
  <c r="G50" i="48"/>
  <c r="Y49" i="48"/>
  <c r="E48" i="48"/>
  <c r="E47" i="48"/>
  <c r="C47" i="48"/>
  <c r="E46" i="48"/>
  <c r="C46" i="48"/>
  <c r="C44" i="48"/>
  <c r="C42" i="48"/>
  <c r="C41" i="48"/>
  <c r="W39" i="48"/>
  <c r="E38" i="48"/>
  <c r="C38" i="48"/>
  <c r="E37" i="48"/>
  <c r="C37" i="48"/>
  <c r="V23" i="48"/>
  <c r="T23" i="48"/>
  <c r="E21" i="48"/>
  <c r="E20" i="48"/>
  <c r="C20" i="48"/>
  <c r="E19" i="48"/>
  <c r="C19" i="48"/>
  <c r="C17" i="48"/>
  <c r="C15" i="48"/>
  <c r="T14" i="48"/>
  <c r="C14" i="48"/>
  <c r="T13" i="48"/>
  <c r="E11" i="48"/>
  <c r="C11" i="48"/>
  <c r="E10" i="48"/>
  <c r="C10" i="48"/>
  <c r="I85" i="36"/>
  <c r="H85" i="36"/>
  <c r="G85" i="36"/>
  <c r="F85" i="36"/>
  <c r="E85" i="36"/>
  <c r="I74" i="36"/>
  <c r="F74" i="36"/>
  <c r="E74" i="36"/>
  <c r="D74" i="36"/>
  <c r="R73" i="36"/>
  <c r="Q73" i="36"/>
  <c r="P73" i="36"/>
  <c r="O73" i="36"/>
  <c r="N73" i="36"/>
  <c r="M73" i="36"/>
  <c r="I47" i="36"/>
  <c r="H47" i="36"/>
  <c r="G47" i="36"/>
  <c r="F47" i="36"/>
  <c r="E47" i="36"/>
  <c r="D47" i="36"/>
  <c r="R46" i="36"/>
  <c r="Q46" i="36"/>
  <c r="P46" i="36"/>
  <c r="O46" i="36"/>
  <c r="N46" i="36"/>
  <c r="M46" i="36"/>
  <c r="I29" i="36"/>
  <c r="H29" i="36"/>
  <c r="G29" i="36"/>
  <c r="F29" i="36"/>
  <c r="E29" i="36"/>
  <c r="D29" i="36"/>
  <c r="Q24" i="36"/>
  <c r="P24" i="36"/>
  <c r="O24" i="36"/>
  <c r="N24" i="36"/>
  <c r="M24" i="36"/>
  <c r="L24" i="36"/>
  <c r="B576" i="39"/>
  <c r="B560" i="39"/>
  <c r="B559" i="39"/>
  <c r="B555" i="39"/>
  <c r="B554" i="39"/>
  <c r="B553" i="39"/>
  <c r="H548" i="39"/>
  <c r="B544" i="39"/>
  <c r="H531" i="39"/>
  <c r="G368" i="39"/>
  <c r="F368" i="39"/>
  <c r="E368" i="39"/>
  <c r="D368" i="39"/>
  <c r="C368" i="39"/>
  <c r="J367" i="39"/>
  <c r="G367" i="39"/>
  <c r="F367" i="39"/>
  <c r="E367" i="39"/>
  <c r="C367" i="39"/>
  <c r="J366" i="39"/>
  <c r="G366" i="39"/>
  <c r="F366" i="39"/>
  <c r="E366" i="39"/>
  <c r="C366" i="39"/>
  <c r="J365" i="39"/>
  <c r="G365" i="39"/>
  <c r="F365" i="39"/>
  <c r="E365" i="39"/>
  <c r="C365" i="39"/>
  <c r="J364" i="39"/>
  <c r="G364" i="39"/>
  <c r="F364" i="39"/>
  <c r="E364" i="39"/>
  <c r="C364" i="39"/>
  <c r="J363" i="39"/>
  <c r="G363" i="39"/>
  <c r="F363" i="39"/>
  <c r="E363" i="39"/>
  <c r="C363" i="39"/>
  <c r="J362" i="39"/>
  <c r="G362" i="39"/>
  <c r="F362" i="39"/>
  <c r="E362" i="39"/>
  <c r="C362" i="39"/>
  <c r="J361" i="39"/>
  <c r="G361" i="39"/>
  <c r="F361" i="39"/>
  <c r="E361" i="39"/>
  <c r="C361" i="39"/>
  <c r="J360" i="39"/>
  <c r="G360" i="39"/>
  <c r="F360" i="39"/>
  <c r="E360" i="39"/>
  <c r="C360" i="39"/>
  <c r="J359" i="39"/>
  <c r="G359" i="39"/>
  <c r="F359" i="39"/>
  <c r="E359" i="39"/>
  <c r="C359" i="39"/>
  <c r="J358" i="39"/>
  <c r="G358" i="39"/>
  <c r="F358" i="39"/>
  <c r="E358" i="39"/>
  <c r="C358" i="39"/>
  <c r="J357" i="39"/>
  <c r="G357" i="39"/>
  <c r="F357" i="39"/>
  <c r="E357" i="39"/>
  <c r="C357" i="39"/>
  <c r="J356" i="39"/>
  <c r="G356" i="39"/>
  <c r="F356" i="39"/>
  <c r="E356" i="39"/>
  <c r="C356" i="39"/>
  <c r="G352" i="39"/>
  <c r="F352" i="39"/>
  <c r="E352" i="39"/>
  <c r="D352" i="39"/>
  <c r="C352" i="39"/>
  <c r="J351" i="39"/>
  <c r="G351" i="39"/>
  <c r="F351" i="39"/>
  <c r="E351" i="39"/>
  <c r="C351" i="39"/>
  <c r="J350" i="39"/>
  <c r="G350" i="39"/>
  <c r="F350" i="39"/>
  <c r="E350" i="39"/>
  <c r="C350" i="39"/>
  <c r="J349" i="39"/>
  <c r="G349" i="39"/>
  <c r="F349" i="39"/>
  <c r="E349" i="39"/>
  <c r="C349" i="39"/>
  <c r="J348" i="39"/>
  <c r="G348" i="39"/>
  <c r="F348" i="39"/>
  <c r="E348" i="39"/>
  <c r="C348" i="39"/>
  <c r="J347" i="39"/>
  <c r="G347" i="39"/>
  <c r="F347" i="39"/>
  <c r="E347" i="39"/>
  <c r="C347" i="39"/>
  <c r="J346" i="39"/>
  <c r="G346" i="39"/>
  <c r="F346" i="39"/>
  <c r="E346" i="39"/>
  <c r="C346" i="39"/>
  <c r="J345" i="39"/>
  <c r="G345" i="39"/>
  <c r="F345" i="39"/>
  <c r="E345" i="39"/>
  <c r="C345" i="39"/>
  <c r="J344" i="39"/>
  <c r="G344" i="39"/>
  <c r="F344" i="39"/>
  <c r="E344" i="39"/>
  <c r="C344" i="39"/>
  <c r="J343" i="39"/>
  <c r="G343" i="39"/>
  <c r="F343" i="39"/>
  <c r="E343" i="39"/>
  <c r="C343" i="39"/>
  <c r="J342" i="39"/>
  <c r="G342" i="39"/>
  <c r="F342" i="39"/>
  <c r="E342" i="39"/>
  <c r="C342" i="39"/>
  <c r="J341" i="39"/>
  <c r="G341" i="39"/>
  <c r="F341" i="39"/>
  <c r="E341" i="39"/>
  <c r="C341" i="39"/>
  <c r="J340" i="39"/>
  <c r="G340" i="39"/>
  <c r="F340" i="39"/>
  <c r="E340" i="39"/>
  <c r="C340" i="39"/>
  <c r="F336" i="39"/>
  <c r="E336" i="39"/>
  <c r="D336" i="39"/>
  <c r="C336" i="39"/>
  <c r="B336" i="39"/>
  <c r="F319" i="39"/>
  <c r="E319" i="39"/>
  <c r="D319" i="39"/>
  <c r="C319" i="39"/>
  <c r="B319" i="39"/>
  <c r="F318" i="39"/>
  <c r="F317" i="39"/>
  <c r="F316" i="39"/>
  <c r="F315" i="39"/>
  <c r="F314" i="39"/>
  <c r="F313" i="39"/>
  <c r="F312" i="39"/>
  <c r="F311" i="39"/>
  <c r="F310" i="39"/>
  <c r="F309" i="39"/>
  <c r="F308" i="39"/>
  <c r="F307" i="39"/>
  <c r="E303" i="39"/>
  <c r="D303" i="39"/>
  <c r="C303" i="39"/>
  <c r="B303" i="39"/>
  <c r="E302" i="39"/>
  <c r="E301" i="39"/>
  <c r="E300" i="39"/>
  <c r="E299" i="39"/>
  <c r="E298" i="39"/>
  <c r="E297" i="39"/>
  <c r="E296" i="39"/>
  <c r="E295" i="39"/>
  <c r="E294" i="39"/>
  <c r="E293" i="39"/>
  <c r="E292" i="39"/>
  <c r="E291" i="39"/>
  <c r="C286" i="39"/>
  <c r="B286" i="39"/>
  <c r="C285" i="39"/>
  <c r="B285" i="39"/>
  <c r="C284" i="39"/>
  <c r="B284" i="39"/>
  <c r="C283" i="39"/>
  <c r="B283" i="39"/>
  <c r="C282" i="39"/>
  <c r="B282" i="39"/>
  <c r="C281" i="39"/>
  <c r="B281" i="39"/>
  <c r="C280" i="39"/>
  <c r="B280" i="39"/>
  <c r="C279" i="39"/>
  <c r="B279" i="39"/>
  <c r="C278" i="39"/>
  <c r="B278" i="39"/>
  <c r="C277" i="39"/>
  <c r="B277" i="39"/>
  <c r="C276" i="39"/>
  <c r="C275" i="39"/>
  <c r="C274" i="39"/>
  <c r="C266" i="39"/>
  <c r="B266" i="39"/>
  <c r="C265" i="39"/>
  <c r="C264" i="39"/>
  <c r="C263" i="39"/>
  <c r="C262" i="39"/>
  <c r="C261" i="39"/>
  <c r="C260" i="39"/>
  <c r="C259" i="39"/>
  <c r="C258" i="39"/>
  <c r="C257" i="39"/>
  <c r="C256" i="39"/>
  <c r="C255" i="39"/>
  <c r="C254" i="39"/>
  <c r="C249" i="39"/>
  <c r="B249" i="39"/>
  <c r="C248" i="39"/>
  <c r="C247" i="39"/>
  <c r="C246" i="39"/>
  <c r="C245" i="39"/>
  <c r="C244" i="39"/>
  <c r="C243" i="39"/>
  <c r="C242" i="39"/>
  <c r="C241" i="39"/>
  <c r="C240" i="39"/>
  <c r="C239" i="39"/>
  <c r="C238" i="39"/>
  <c r="C237" i="39"/>
  <c r="C233" i="39"/>
  <c r="B233" i="39"/>
  <c r="C232" i="39"/>
  <c r="C231" i="39"/>
  <c r="C230" i="39"/>
  <c r="C229" i="39"/>
  <c r="C228" i="39"/>
  <c r="C227" i="39"/>
  <c r="C226" i="39"/>
  <c r="C225" i="39"/>
  <c r="C224" i="39"/>
  <c r="C223" i="39"/>
  <c r="C222" i="39"/>
  <c r="C221" i="39"/>
  <c r="C213" i="39"/>
  <c r="B213" i="39"/>
  <c r="C212" i="39"/>
  <c r="C211" i="39"/>
  <c r="C210" i="39"/>
  <c r="C209" i="39"/>
  <c r="C208" i="39"/>
  <c r="C207" i="39"/>
  <c r="C206" i="39"/>
  <c r="C205" i="39"/>
  <c r="C204" i="39"/>
  <c r="C203" i="39"/>
  <c r="C202" i="39"/>
  <c r="C201" i="39"/>
  <c r="C196" i="39"/>
  <c r="B196" i="39"/>
  <c r="C195" i="39"/>
  <c r="C194" i="39"/>
  <c r="C193" i="39"/>
  <c r="C192" i="39"/>
  <c r="C191" i="39"/>
  <c r="C190" i="39"/>
  <c r="C189" i="39"/>
  <c r="C188" i="39"/>
  <c r="C187" i="39"/>
  <c r="C186" i="39"/>
  <c r="C185" i="39"/>
  <c r="C184" i="39"/>
  <c r="C180" i="39"/>
  <c r="B180" i="39"/>
  <c r="C179" i="39"/>
  <c r="C178" i="39"/>
  <c r="C177" i="39"/>
  <c r="C176" i="39"/>
  <c r="C175" i="39"/>
  <c r="C174" i="39"/>
  <c r="C173" i="39"/>
  <c r="C172" i="39"/>
  <c r="C171" i="39"/>
  <c r="C170" i="39"/>
  <c r="C169" i="39"/>
  <c r="C168" i="39"/>
  <c r="B163" i="39"/>
  <c r="B145" i="39"/>
  <c r="B125" i="39"/>
  <c r="B106" i="39"/>
  <c r="B99" i="39"/>
  <c r="B88" i="39"/>
  <c r="B70" i="39"/>
  <c r="B52" i="39"/>
  <c r="B33" i="39"/>
  <c r="B29" i="39"/>
  <c r="B15" i="39"/>
  <c r="V74" i="43"/>
  <c r="T74" i="43"/>
  <c r="Q74" i="43"/>
  <c r="O74" i="43"/>
  <c r="M74" i="43"/>
  <c r="K74" i="43"/>
  <c r="I74" i="43"/>
  <c r="G74" i="43"/>
  <c r="E72" i="43"/>
  <c r="E71" i="43"/>
  <c r="C71" i="43"/>
  <c r="AA70" i="43"/>
  <c r="E70" i="43"/>
  <c r="C70" i="43"/>
  <c r="C68" i="43"/>
  <c r="C66" i="43"/>
  <c r="C65" i="43"/>
  <c r="E62" i="43"/>
  <c r="C62" i="43"/>
  <c r="E61" i="43"/>
  <c r="C61" i="43"/>
  <c r="Q50" i="43"/>
  <c r="O50" i="43"/>
  <c r="M50" i="43"/>
  <c r="K50" i="43"/>
  <c r="I50" i="43"/>
  <c r="G50" i="43"/>
  <c r="Y49" i="43"/>
  <c r="E48" i="43"/>
  <c r="E47" i="43"/>
  <c r="C47" i="43"/>
  <c r="E46" i="43"/>
  <c r="C46" i="43"/>
  <c r="C44" i="43"/>
  <c r="C42" i="43"/>
  <c r="C41" i="43"/>
  <c r="W39" i="43"/>
  <c r="E38" i="43"/>
  <c r="C38" i="43"/>
  <c r="E37" i="43"/>
  <c r="C37" i="43"/>
  <c r="V23" i="43"/>
  <c r="T23" i="43"/>
  <c r="E21" i="43"/>
  <c r="E20" i="43"/>
  <c r="C20" i="43"/>
  <c r="E19" i="43"/>
  <c r="C19" i="43"/>
  <c r="C17" i="43"/>
  <c r="T15" i="43"/>
  <c r="C15" i="43"/>
  <c r="T14" i="43"/>
  <c r="C14" i="43"/>
  <c r="T13" i="43"/>
  <c r="E11" i="43"/>
  <c r="C11" i="43"/>
  <c r="E10" i="43"/>
  <c r="C10" i="43"/>
  <c r="D292" i="32"/>
  <c r="L281" i="32"/>
  <c r="M16" i="52"/>
  <c r="M14" i="52"/>
  <c r="M13" i="52"/>
  <c r="M12" i="52"/>
  <c r="K12" i="52"/>
  <c r="B410" i="38"/>
  <c r="B409" i="38"/>
  <c r="B408" i="38"/>
  <c r="B407" i="38"/>
  <c r="B405" i="38"/>
  <c r="B403" i="38"/>
  <c r="B402" i="38"/>
  <c r="H400" i="38"/>
  <c r="E400" i="38"/>
  <c r="D400" i="38"/>
  <c r="C400" i="38"/>
  <c r="H399" i="38"/>
  <c r="E399" i="38"/>
  <c r="D399" i="38"/>
  <c r="C399" i="38"/>
  <c r="B399" i="38"/>
  <c r="H398" i="38"/>
  <c r="G398" i="38"/>
  <c r="F398" i="38"/>
  <c r="E398" i="38"/>
  <c r="D398" i="38"/>
  <c r="C398" i="38"/>
  <c r="B398" i="38"/>
  <c r="H392" i="38"/>
  <c r="G392" i="38"/>
  <c r="F392" i="38"/>
  <c r="E392" i="38"/>
  <c r="D392" i="38"/>
  <c r="C392" i="38"/>
  <c r="B392" i="38"/>
  <c r="H391" i="38"/>
  <c r="G391" i="38"/>
  <c r="F391" i="38"/>
  <c r="E391" i="38"/>
  <c r="D391" i="38"/>
  <c r="C391" i="38"/>
  <c r="B391" i="38"/>
  <c r="H389" i="38"/>
  <c r="G389" i="38"/>
  <c r="F389" i="38"/>
  <c r="E389" i="38"/>
  <c r="D389" i="38"/>
  <c r="C389" i="38"/>
  <c r="B389" i="38"/>
  <c r="H388" i="38"/>
  <c r="G388" i="38"/>
  <c r="F388" i="38"/>
  <c r="E388" i="38"/>
  <c r="D388" i="38"/>
  <c r="C388" i="38"/>
  <c r="B388" i="38"/>
  <c r="L386" i="38"/>
  <c r="K386" i="38"/>
  <c r="H385" i="38"/>
  <c r="G385" i="38"/>
  <c r="F385" i="38"/>
  <c r="E385" i="38"/>
  <c r="D385" i="38"/>
  <c r="C385" i="38"/>
  <c r="B385" i="38"/>
  <c r="H384" i="38"/>
  <c r="G384" i="38"/>
  <c r="F384" i="38"/>
  <c r="E384" i="38"/>
  <c r="D384" i="38"/>
  <c r="C384" i="38"/>
  <c r="B384" i="38"/>
  <c r="T84" i="50"/>
  <c r="S84" i="50"/>
  <c r="R84" i="50"/>
  <c r="Q84" i="50"/>
  <c r="P84" i="50"/>
  <c r="O84" i="50"/>
  <c r="N84" i="50"/>
  <c r="M84" i="50"/>
  <c r="L84" i="50"/>
  <c r="K84" i="50"/>
  <c r="J84" i="50"/>
  <c r="I84" i="50"/>
  <c r="H84" i="50"/>
  <c r="G84" i="50"/>
  <c r="F84" i="50"/>
  <c r="E84" i="50"/>
  <c r="D84" i="50"/>
  <c r="C84" i="50"/>
  <c r="B84" i="50"/>
  <c r="Q70" i="50"/>
  <c r="U64" i="50"/>
  <c r="T64" i="50"/>
  <c r="S64" i="50"/>
  <c r="R64" i="50"/>
  <c r="Q64" i="50"/>
  <c r="P64" i="50"/>
  <c r="O64" i="50"/>
  <c r="N64" i="50"/>
  <c r="M64" i="50"/>
  <c r="L64" i="50"/>
  <c r="K64" i="50"/>
  <c r="J64" i="50"/>
  <c r="I64" i="50"/>
  <c r="H64" i="50"/>
  <c r="G64" i="50"/>
  <c r="F64" i="50"/>
  <c r="E64" i="50"/>
  <c r="D64" i="50"/>
  <c r="C64" i="50"/>
  <c r="B64" i="50"/>
  <c r="Q50" i="50"/>
  <c r="U45" i="50"/>
  <c r="T45" i="50"/>
  <c r="S45" i="50"/>
  <c r="R45" i="50"/>
  <c r="Q45" i="50"/>
  <c r="P45" i="50"/>
  <c r="O45" i="50"/>
  <c r="N45" i="50"/>
  <c r="M45" i="50"/>
  <c r="L45" i="50"/>
  <c r="K45" i="50"/>
  <c r="J45" i="50"/>
  <c r="I45" i="50"/>
  <c r="H45" i="50"/>
  <c r="G45" i="50"/>
  <c r="F45" i="50"/>
  <c r="E45" i="50"/>
  <c r="D45" i="50"/>
  <c r="C45" i="50"/>
  <c r="B45" i="50"/>
  <c r="U26" i="50"/>
  <c r="T26" i="50"/>
  <c r="S26" i="50"/>
  <c r="R26" i="50"/>
  <c r="Q26" i="50"/>
  <c r="P26" i="50"/>
  <c r="O26" i="50"/>
  <c r="N26" i="50"/>
  <c r="M26" i="50"/>
  <c r="L26" i="50"/>
  <c r="K26" i="50"/>
  <c r="J26" i="50"/>
  <c r="I26" i="50"/>
  <c r="G26" i="50"/>
  <c r="F26" i="50"/>
  <c r="E26" i="50"/>
  <c r="D26" i="50"/>
  <c r="C26" i="50"/>
  <c r="B26" i="50"/>
  <c r="B435" i="54"/>
  <c r="C434" i="54"/>
  <c r="C433" i="54"/>
  <c r="C432" i="54"/>
  <c r="C431" i="54"/>
  <c r="C430" i="54"/>
  <c r="C429" i="54"/>
  <c r="C428" i="54"/>
  <c r="C427" i="54"/>
  <c r="C426" i="54"/>
  <c r="C425" i="54"/>
  <c r="C424" i="54"/>
  <c r="C423" i="54"/>
  <c r="C422" i="54"/>
  <c r="C421" i="54"/>
  <c r="C420" i="54"/>
  <c r="C419" i="54"/>
  <c r="C418" i="54"/>
  <c r="C417" i="54"/>
  <c r="C416" i="54"/>
  <c r="C415" i="54"/>
  <c r="C414" i="54"/>
  <c r="C413" i="54"/>
  <c r="C412" i="54"/>
  <c r="C411" i="54"/>
  <c r="D410" i="54"/>
  <c r="C410" i="54"/>
  <c r="I409" i="54"/>
  <c r="C409" i="54"/>
  <c r="I408" i="54"/>
  <c r="C408" i="54"/>
  <c r="J407" i="54"/>
  <c r="C407" i="54"/>
  <c r="J406" i="54"/>
  <c r="C406" i="54"/>
  <c r="J405" i="54"/>
  <c r="H405" i="54"/>
  <c r="C405" i="54"/>
  <c r="L403" i="54"/>
  <c r="F364" i="70"/>
  <c r="J357" i="70"/>
  <c r="I357" i="70"/>
  <c r="H357" i="70"/>
  <c r="G357" i="70"/>
  <c r="F357" i="70"/>
  <c r="J353" i="70"/>
  <c r="I353" i="70"/>
  <c r="H353" i="70"/>
  <c r="G353" i="70"/>
  <c r="F353" i="70"/>
  <c r="J352" i="70"/>
  <c r="I352" i="70"/>
  <c r="H352" i="70"/>
  <c r="G352" i="70"/>
  <c r="F352" i="70"/>
  <c r="J351" i="70"/>
  <c r="I351" i="70"/>
  <c r="H351" i="70"/>
  <c r="G351" i="70"/>
  <c r="F351" i="70"/>
  <c r="J350" i="70"/>
  <c r="I350" i="70"/>
  <c r="H350" i="70"/>
  <c r="G350" i="70"/>
  <c r="F350" i="70"/>
  <c r="J349" i="70"/>
  <c r="I349" i="70"/>
  <c r="H349" i="70"/>
  <c r="G349" i="70"/>
  <c r="F349" i="70"/>
  <c r="J348" i="70"/>
  <c r="I348" i="70"/>
  <c r="H348" i="70"/>
  <c r="G348" i="70"/>
  <c r="F348" i="70"/>
  <c r="J347" i="70"/>
  <c r="I347" i="70"/>
  <c r="H347" i="70"/>
  <c r="G347" i="70"/>
  <c r="F347" i="70"/>
  <c r="J346" i="70"/>
  <c r="I346" i="70"/>
  <c r="H346" i="70"/>
  <c r="G346" i="70"/>
  <c r="F346" i="70"/>
  <c r="J339" i="70"/>
  <c r="I339" i="70"/>
  <c r="H339" i="70"/>
  <c r="G339" i="70"/>
  <c r="F339" i="70"/>
  <c r="J338" i="70"/>
  <c r="I338" i="70"/>
  <c r="H338" i="70"/>
  <c r="G338" i="70"/>
  <c r="F338" i="70"/>
  <c r="J336" i="70"/>
  <c r="I336" i="70"/>
  <c r="H336" i="70"/>
  <c r="G336" i="70"/>
  <c r="F336" i="70"/>
  <c r="J335" i="70"/>
  <c r="I335" i="70"/>
  <c r="H335" i="70"/>
  <c r="G335" i="70"/>
  <c r="F335" i="70"/>
  <c r="J334" i="70"/>
  <c r="I334" i="70"/>
  <c r="H334" i="70"/>
  <c r="G334" i="70"/>
  <c r="F334" i="70"/>
  <c r="J333" i="70"/>
  <c r="I333" i="70"/>
  <c r="H333" i="70"/>
  <c r="G333" i="70"/>
  <c r="F333" i="70"/>
  <c r="J332" i="70"/>
  <c r="I332" i="70"/>
  <c r="H332" i="70"/>
  <c r="G332" i="70"/>
  <c r="F332" i="70"/>
  <c r="J331" i="70"/>
  <c r="I331" i="70"/>
  <c r="H331" i="70"/>
  <c r="G331" i="70"/>
  <c r="F331" i="70"/>
  <c r="J330" i="70"/>
  <c r="I330" i="70"/>
  <c r="H330" i="70"/>
  <c r="G330" i="70"/>
  <c r="F330" i="70"/>
  <c r="J329" i="70"/>
  <c r="I329" i="70"/>
  <c r="H329" i="70"/>
  <c r="G329" i="70"/>
  <c r="F329" i="70"/>
  <c r="J328" i="70"/>
  <c r="I328" i="70"/>
  <c r="H328" i="70"/>
  <c r="G328" i="70"/>
  <c r="F328" i="70"/>
  <c r="S81" i="47"/>
  <c r="R81" i="47"/>
  <c r="Q81" i="47"/>
  <c r="P81" i="47"/>
  <c r="O81" i="47"/>
  <c r="N81" i="47"/>
  <c r="M81" i="47"/>
  <c r="L81" i="47"/>
  <c r="K81" i="47"/>
  <c r="J81" i="47"/>
  <c r="I81" i="47"/>
  <c r="H81" i="47"/>
  <c r="G81" i="47"/>
  <c r="F81" i="47"/>
  <c r="E81" i="47"/>
  <c r="D81" i="47"/>
  <c r="C81" i="47"/>
  <c r="B81" i="47"/>
  <c r="W80" i="47"/>
  <c r="V80" i="47"/>
  <c r="U80" i="47"/>
  <c r="T80" i="47"/>
  <c r="S80" i="47"/>
  <c r="W79" i="47"/>
  <c r="V79" i="47"/>
  <c r="U79" i="47"/>
  <c r="T79" i="47"/>
  <c r="S79" i="47"/>
  <c r="Z78" i="47"/>
  <c r="W78" i="47"/>
  <c r="V78" i="47"/>
  <c r="U78" i="47"/>
  <c r="T78" i="47"/>
  <c r="S78" i="47"/>
  <c r="W77" i="47"/>
  <c r="V77" i="47"/>
  <c r="U77" i="47"/>
  <c r="T77" i="47"/>
  <c r="S77" i="47"/>
  <c r="W76" i="47"/>
  <c r="V76" i="47"/>
  <c r="U76" i="47"/>
  <c r="T76" i="47"/>
  <c r="S76" i="47"/>
  <c r="W75" i="47"/>
  <c r="V75" i="47"/>
  <c r="U75" i="47"/>
  <c r="T75" i="47"/>
  <c r="S75" i="47"/>
  <c r="W74" i="47"/>
  <c r="V74" i="47"/>
  <c r="U74" i="47"/>
  <c r="T74" i="47"/>
  <c r="S74" i="47"/>
  <c r="AA73" i="47"/>
  <c r="AA72" i="47"/>
  <c r="W72" i="47"/>
  <c r="U72" i="47"/>
  <c r="T72" i="47"/>
  <c r="S72" i="47"/>
  <c r="AA71" i="47"/>
  <c r="W71" i="47"/>
  <c r="V71" i="47"/>
  <c r="U71" i="47"/>
  <c r="T71" i="47"/>
  <c r="S71" i="47"/>
  <c r="AB70" i="47"/>
  <c r="AA70" i="47"/>
  <c r="W70" i="47"/>
  <c r="V70" i="47"/>
  <c r="U70" i="47"/>
  <c r="T70" i="47"/>
  <c r="S70" i="47"/>
  <c r="X69" i="47"/>
  <c r="W69" i="47"/>
  <c r="V69" i="47"/>
  <c r="U69" i="47"/>
  <c r="T69" i="47"/>
  <c r="S69" i="47"/>
  <c r="S67" i="47"/>
  <c r="S63" i="47"/>
  <c r="R63" i="47"/>
  <c r="Q63" i="47"/>
  <c r="P63" i="47"/>
  <c r="O63" i="47"/>
  <c r="N63" i="47"/>
  <c r="M63" i="47"/>
  <c r="L63" i="47"/>
  <c r="K63" i="47"/>
  <c r="J63" i="47"/>
  <c r="I63" i="47"/>
  <c r="H63" i="47"/>
  <c r="G63" i="47"/>
  <c r="F63" i="47"/>
  <c r="E63" i="47"/>
  <c r="D63" i="47"/>
  <c r="C63" i="47"/>
  <c r="B63" i="47"/>
  <c r="W62" i="47"/>
  <c r="V62" i="47"/>
  <c r="U62" i="47"/>
  <c r="T62" i="47"/>
  <c r="S62" i="47"/>
  <c r="W61" i="47"/>
  <c r="V61" i="47"/>
  <c r="U61" i="47"/>
  <c r="T61" i="47"/>
  <c r="S61" i="47"/>
  <c r="W60" i="47"/>
  <c r="V60" i="47"/>
  <c r="U60" i="47"/>
  <c r="T60" i="47"/>
  <c r="S60" i="47"/>
  <c r="W59" i="47"/>
  <c r="V59" i="47"/>
  <c r="U59" i="47"/>
  <c r="T59" i="47"/>
  <c r="S59" i="47"/>
  <c r="W58" i="47"/>
  <c r="V58" i="47"/>
  <c r="U58" i="47"/>
  <c r="T58" i="47"/>
  <c r="S58" i="47"/>
  <c r="W57" i="47"/>
  <c r="V57" i="47"/>
  <c r="U57" i="47"/>
  <c r="T57" i="47"/>
  <c r="S57" i="47"/>
  <c r="W56" i="47"/>
  <c r="V56" i="47"/>
  <c r="U56" i="47"/>
  <c r="T56" i="47"/>
  <c r="S56" i="47"/>
  <c r="AA55" i="47"/>
  <c r="AA54" i="47"/>
  <c r="W54" i="47"/>
  <c r="U54" i="47"/>
  <c r="T54" i="47"/>
  <c r="S54" i="47"/>
  <c r="AA53" i="47"/>
  <c r="W53" i="47"/>
  <c r="V53" i="47"/>
  <c r="U53" i="47"/>
  <c r="T53" i="47"/>
  <c r="S53" i="47"/>
  <c r="AB52" i="47"/>
  <c r="AA52" i="47"/>
  <c r="W52" i="47"/>
  <c r="V52" i="47"/>
  <c r="U52" i="47"/>
  <c r="T52" i="47"/>
  <c r="S52" i="47"/>
  <c r="W51" i="47"/>
  <c r="V51" i="47"/>
  <c r="U51" i="47"/>
  <c r="T51" i="47"/>
  <c r="S51" i="47"/>
  <c r="S49" i="47"/>
  <c r="Y46" i="47"/>
  <c r="S40" i="47"/>
  <c r="R40" i="47"/>
  <c r="Q40" i="47"/>
  <c r="P40" i="47"/>
  <c r="O40" i="47"/>
  <c r="N40" i="47"/>
  <c r="M40" i="47"/>
  <c r="L40" i="47"/>
  <c r="K40" i="47"/>
  <c r="J40" i="47"/>
  <c r="I40" i="47"/>
  <c r="H40" i="47"/>
  <c r="G40" i="47"/>
  <c r="F40" i="47"/>
  <c r="E40" i="47"/>
  <c r="D40" i="47"/>
  <c r="C40" i="47"/>
  <c r="B40" i="47"/>
  <c r="W39" i="47"/>
  <c r="V39" i="47"/>
  <c r="U39" i="47"/>
  <c r="T39" i="47"/>
  <c r="S39" i="47"/>
  <c r="W38" i="47"/>
  <c r="V38" i="47"/>
  <c r="U38" i="47"/>
  <c r="T38" i="47"/>
  <c r="S38" i="47"/>
  <c r="W37" i="47"/>
  <c r="V37" i="47"/>
  <c r="U37" i="47"/>
  <c r="T37" i="47"/>
  <c r="S37" i="47"/>
  <c r="W36" i="47"/>
  <c r="V36" i="47"/>
  <c r="U36" i="47"/>
  <c r="T36" i="47"/>
  <c r="S36" i="47"/>
  <c r="W35" i="47"/>
  <c r="V35" i="47"/>
  <c r="U35" i="47"/>
  <c r="T35" i="47"/>
  <c r="S35" i="47"/>
  <c r="W34" i="47"/>
  <c r="V34" i="47"/>
  <c r="U34" i="47"/>
  <c r="T34" i="47"/>
  <c r="S34" i="47"/>
  <c r="W33" i="47"/>
  <c r="V33" i="47"/>
  <c r="U33" i="47"/>
  <c r="T33" i="47"/>
  <c r="S33" i="47"/>
  <c r="AA32" i="47"/>
  <c r="AA31" i="47"/>
  <c r="Y31" i="47"/>
  <c r="W31" i="47"/>
  <c r="U31" i="47"/>
  <c r="T31" i="47"/>
  <c r="S31" i="47"/>
  <c r="AA30" i="47"/>
  <c r="W30" i="47"/>
  <c r="V30" i="47"/>
  <c r="U30" i="47"/>
  <c r="T30" i="47"/>
  <c r="AB29" i="47"/>
  <c r="AA29" i="47"/>
  <c r="W29" i="47"/>
  <c r="V29" i="47"/>
  <c r="U29" i="47"/>
  <c r="T29" i="47"/>
  <c r="S29" i="47"/>
  <c r="W28" i="47"/>
  <c r="V28" i="47"/>
  <c r="U28" i="47"/>
  <c r="T28" i="47"/>
  <c r="S28" i="47"/>
  <c r="S26" i="47"/>
  <c r="S23" i="47"/>
  <c r="R23" i="47"/>
  <c r="Q23" i="47"/>
  <c r="P23" i="47"/>
  <c r="O23" i="47"/>
  <c r="N23" i="47"/>
  <c r="M23" i="47"/>
  <c r="L23" i="47"/>
  <c r="K23" i="47"/>
  <c r="J23" i="47"/>
  <c r="I23" i="47"/>
  <c r="H23" i="47"/>
  <c r="W22" i="47"/>
  <c r="V22" i="47"/>
  <c r="U22" i="47"/>
  <c r="T22" i="47"/>
  <c r="S22" i="47"/>
  <c r="W21" i="47"/>
  <c r="V21" i="47"/>
  <c r="U21" i="47"/>
  <c r="T21" i="47"/>
  <c r="S21" i="47"/>
  <c r="W20" i="47"/>
  <c r="V20" i="47"/>
  <c r="U20" i="47"/>
  <c r="T20" i="47"/>
  <c r="W19" i="47"/>
  <c r="V19" i="47"/>
  <c r="U19" i="47"/>
  <c r="T19" i="47"/>
  <c r="W18" i="47"/>
  <c r="V18" i="47"/>
  <c r="U18" i="47"/>
  <c r="T18" i="47"/>
  <c r="W17" i="47"/>
  <c r="V17" i="47"/>
  <c r="U17" i="47"/>
  <c r="T17" i="47"/>
  <c r="W16" i="47"/>
  <c r="V16" i="47"/>
  <c r="U16" i="47"/>
  <c r="T16" i="47"/>
  <c r="AA15" i="47"/>
  <c r="AA14" i="47"/>
  <c r="W14" i="47"/>
  <c r="U14" i="47"/>
  <c r="T14" i="47"/>
  <c r="AA13" i="47"/>
  <c r="W13" i="47"/>
  <c r="V13" i="47"/>
  <c r="U13" i="47"/>
  <c r="T13" i="47"/>
  <c r="AB12" i="47"/>
  <c r="AA12" i="47"/>
  <c r="W12" i="47"/>
  <c r="V12" i="47"/>
  <c r="U12" i="47"/>
  <c r="T12" i="47"/>
  <c r="W11" i="47"/>
  <c r="V11" i="47"/>
  <c r="U11" i="47"/>
  <c r="T11" i="47"/>
  <c r="AG76" i="46"/>
  <c r="AF76" i="46"/>
  <c r="AE76" i="46"/>
  <c r="AD76" i="46"/>
  <c r="AC76" i="46"/>
  <c r="AB76" i="46"/>
  <c r="AA76" i="46"/>
  <c r="Z76" i="46"/>
  <c r="Y76" i="46"/>
  <c r="X76" i="46"/>
  <c r="V76" i="46"/>
  <c r="U76" i="46"/>
  <c r="T76" i="46"/>
  <c r="S76" i="46"/>
  <c r="R76" i="46"/>
  <c r="Q76" i="46"/>
  <c r="P76" i="46"/>
  <c r="O76" i="46"/>
  <c r="N76" i="46"/>
  <c r="M76" i="46"/>
  <c r="L76" i="46"/>
  <c r="K76" i="46"/>
  <c r="J76" i="46"/>
  <c r="I76" i="46"/>
  <c r="H76" i="46"/>
  <c r="G76" i="46"/>
  <c r="F76" i="46"/>
  <c r="E76" i="46"/>
  <c r="D76" i="46"/>
  <c r="C76" i="46"/>
  <c r="B76" i="46"/>
  <c r="AK75" i="46"/>
  <c r="AJ75" i="46"/>
  <c r="AI75" i="46"/>
  <c r="AH75" i="46"/>
  <c r="AG75" i="46"/>
  <c r="AK74" i="46"/>
  <c r="AJ74" i="46"/>
  <c r="AI74" i="46"/>
  <c r="AH74" i="46"/>
  <c r="AG74" i="46"/>
  <c r="AK73" i="46"/>
  <c r="AJ73" i="46"/>
  <c r="AI73" i="46"/>
  <c r="AH73" i="46"/>
  <c r="AG73" i="46"/>
  <c r="AK72" i="46"/>
  <c r="AJ72" i="46"/>
  <c r="AI72" i="46"/>
  <c r="AH72" i="46"/>
  <c r="AG72" i="46"/>
  <c r="AK71" i="46"/>
  <c r="AJ71" i="46"/>
  <c r="AI71" i="46"/>
  <c r="AH71" i="46"/>
  <c r="AG71" i="46"/>
  <c r="AK70" i="46"/>
  <c r="AJ70" i="46"/>
  <c r="AI70" i="46"/>
  <c r="AH70" i="46"/>
  <c r="AG70" i="46"/>
  <c r="AK69" i="46"/>
  <c r="AJ69" i="46"/>
  <c r="AI69" i="46"/>
  <c r="AH69" i="46"/>
  <c r="AG69" i="46"/>
  <c r="AD69" i="46"/>
  <c r="AO68" i="46"/>
  <c r="AD68" i="46"/>
  <c r="AO67" i="46"/>
  <c r="AK67" i="46"/>
  <c r="AI67" i="46"/>
  <c r="AH67" i="46"/>
  <c r="AG67" i="46"/>
  <c r="AD67" i="46"/>
  <c r="AO66" i="46"/>
  <c r="AK66" i="46"/>
  <c r="AJ66" i="46"/>
  <c r="AH66" i="46"/>
  <c r="AG66" i="46"/>
  <c r="AP65" i="46"/>
  <c r="AP76" i="46" s="1"/>
  <c r="AO65" i="46"/>
  <c r="AK65" i="46"/>
  <c r="AJ65" i="46"/>
  <c r="AH65" i="46"/>
  <c r="AG65" i="46"/>
  <c r="AK64" i="46"/>
  <c r="AJ64" i="46"/>
  <c r="AH64" i="46"/>
  <c r="AG64" i="46"/>
  <c r="AG62" i="46"/>
  <c r="AG59" i="46"/>
  <c r="AF59" i="46"/>
  <c r="AE59" i="46"/>
  <c r="AD59" i="46"/>
  <c r="AC59" i="46"/>
  <c r="AB59" i="46"/>
  <c r="AA59" i="46"/>
  <c r="Z59" i="46"/>
  <c r="Y59" i="46"/>
  <c r="W59" i="46"/>
  <c r="V59" i="46"/>
  <c r="U59" i="46"/>
  <c r="T59" i="46"/>
  <c r="S59" i="46"/>
  <c r="R59" i="46"/>
  <c r="Q59" i="46"/>
  <c r="P59" i="46"/>
  <c r="O59" i="46"/>
  <c r="N59" i="46"/>
  <c r="M59" i="46"/>
  <c r="L59" i="46"/>
  <c r="K59" i="46"/>
  <c r="J59" i="46"/>
  <c r="I59" i="46"/>
  <c r="H59" i="46"/>
  <c r="G59" i="46"/>
  <c r="F59" i="46"/>
  <c r="E59" i="46"/>
  <c r="D59" i="46"/>
  <c r="C59" i="46"/>
  <c r="B59" i="46"/>
  <c r="AK58" i="46"/>
  <c r="AJ58" i="46"/>
  <c r="AI58" i="46"/>
  <c r="AH58" i="46"/>
  <c r="AG58" i="46"/>
  <c r="AK57" i="46"/>
  <c r="AJ57" i="46"/>
  <c r="AI57" i="46"/>
  <c r="AH57" i="46"/>
  <c r="AG57" i="46"/>
  <c r="AK56" i="46"/>
  <c r="AJ56" i="46"/>
  <c r="AI56" i="46"/>
  <c r="AH56" i="46"/>
  <c r="AG56" i="46"/>
  <c r="AK55" i="46"/>
  <c r="AJ55" i="46"/>
  <c r="AI55" i="46"/>
  <c r="AH55" i="46"/>
  <c r="AG55" i="46"/>
  <c r="AK54" i="46"/>
  <c r="AJ54" i="46"/>
  <c r="AI54" i="46"/>
  <c r="AH54" i="46"/>
  <c r="AG54" i="46"/>
  <c r="AK53" i="46"/>
  <c r="AJ53" i="46"/>
  <c r="AI53" i="46"/>
  <c r="AH53" i="46"/>
  <c r="AG53" i="46"/>
  <c r="AK52" i="46"/>
  <c r="AJ52" i="46"/>
  <c r="AI52" i="46"/>
  <c r="AH52" i="46"/>
  <c r="AG52" i="46"/>
  <c r="AO51" i="46"/>
  <c r="AO50" i="46"/>
  <c r="AK50" i="46"/>
  <c r="AH50" i="46"/>
  <c r="AG50" i="46"/>
  <c r="AO49" i="46"/>
  <c r="AK49" i="46"/>
  <c r="AJ49" i="46"/>
  <c r="AH49" i="46"/>
  <c r="AG49" i="46"/>
  <c r="AP48" i="46"/>
  <c r="AP59" i="46" s="1"/>
  <c r="AO48" i="46"/>
  <c r="AK48" i="46"/>
  <c r="AJ48" i="46"/>
  <c r="AH48" i="46"/>
  <c r="AG48" i="46"/>
  <c r="AK47" i="46"/>
  <c r="AJ47" i="46"/>
  <c r="AH47" i="46"/>
  <c r="AG47" i="46"/>
  <c r="AG45" i="46"/>
  <c r="AG41" i="46"/>
  <c r="AF41" i="46"/>
  <c r="AE41" i="46"/>
  <c r="AD41" i="46"/>
  <c r="AC41" i="46"/>
  <c r="AB41" i="46"/>
  <c r="AA41" i="46"/>
  <c r="Z41" i="46"/>
  <c r="Y41" i="46"/>
  <c r="X41" i="46"/>
  <c r="W41" i="46"/>
  <c r="V41" i="46"/>
  <c r="U41" i="46"/>
  <c r="T41" i="46"/>
  <c r="S41" i="46"/>
  <c r="R41" i="46"/>
  <c r="Q41" i="46"/>
  <c r="P41" i="46"/>
  <c r="O41" i="46"/>
  <c r="N41" i="46"/>
  <c r="M41" i="46"/>
  <c r="L41" i="46"/>
  <c r="K41" i="46"/>
  <c r="J41" i="46"/>
  <c r="I41" i="46"/>
  <c r="H41" i="46"/>
  <c r="G41" i="46"/>
  <c r="F41" i="46"/>
  <c r="E41" i="46"/>
  <c r="D41" i="46"/>
  <c r="C41" i="46"/>
  <c r="B41" i="46"/>
  <c r="AK40" i="46"/>
  <c r="AJ40" i="46"/>
  <c r="AI40" i="46"/>
  <c r="AH40" i="46"/>
  <c r="AG40" i="46"/>
  <c r="AK39" i="46"/>
  <c r="AJ39" i="46"/>
  <c r="AI39" i="46"/>
  <c r="AH39" i="46"/>
  <c r="AG39" i="46"/>
  <c r="C39" i="46"/>
  <c r="AK38" i="46"/>
  <c r="AJ38" i="46"/>
  <c r="AI38" i="46"/>
  <c r="AH38" i="46"/>
  <c r="AG38" i="46"/>
  <c r="AK37" i="46"/>
  <c r="AJ37" i="46"/>
  <c r="AI37" i="46"/>
  <c r="AH37" i="46"/>
  <c r="AG37" i="46"/>
  <c r="C37" i="46"/>
  <c r="AK36" i="46"/>
  <c r="AJ36" i="46"/>
  <c r="AI36" i="46"/>
  <c r="AH36" i="46"/>
  <c r="AG36" i="46"/>
  <c r="C36" i="46"/>
  <c r="AK35" i="46"/>
  <c r="AJ35" i="46"/>
  <c r="AI35" i="46"/>
  <c r="AH35" i="46"/>
  <c r="AG35" i="46"/>
  <c r="C35" i="46"/>
  <c r="AK34" i="46"/>
  <c r="AJ34" i="46"/>
  <c r="AI34" i="46"/>
  <c r="AH34" i="46"/>
  <c r="AG34" i="46"/>
  <c r="C34" i="46"/>
  <c r="AO33" i="46"/>
  <c r="C33" i="46"/>
  <c r="AO32" i="46"/>
  <c r="AK32" i="46"/>
  <c r="AH32" i="46"/>
  <c r="AG32" i="46"/>
  <c r="C32" i="46"/>
  <c r="AO31" i="46"/>
  <c r="AK31" i="46"/>
  <c r="AJ31" i="46"/>
  <c r="AH31" i="46"/>
  <c r="AG31" i="46"/>
  <c r="C31" i="46"/>
  <c r="AP30" i="46"/>
  <c r="AP41" i="46" s="1"/>
  <c r="AO30" i="46"/>
  <c r="AK30" i="46"/>
  <c r="AJ30" i="46"/>
  <c r="AH30" i="46"/>
  <c r="AG30" i="46"/>
  <c r="AK29" i="46"/>
  <c r="AJ29" i="46"/>
  <c r="AH29" i="46"/>
  <c r="AG29" i="46"/>
  <c r="AG27" i="46"/>
  <c r="AG24" i="46"/>
  <c r="AF24" i="46"/>
  <c r="AE24" i="46"/>
  <c r="AD24" i="46"/>
  <c r="AC24" i="46"/>
  <c r="AB24" i="46"/>
  <c r="AA24" i="46"/>
  <c r="Z24" i="46"/>
  <c r="Y24" i="46"/>
  <c r="X24" i="46"/>
  <c r="W24" i="46"/>
  <c r="V24" i="46"/>
  <c r="AK23" i="46"/>
  <c r="AJ23" i="46"/>
  <c r="AI23" i="46"/>
  <c r="AH23" i="46"/>
  <c r="AK22" i="46"/>
  <c r="AJ22" i="46"/>
  <c r="AI22" i="46"/>
  <c r="AH22" i="46"/>
  <c r="AG22" i="46"/>
  <c r="AK21" i="46"/>
  <c r="AJ21" i="46"/>
  <c r="AI21" i="46"/>
  <c r="AH21" i="46"/>
  <c r="AG21" i="46"/>
  <c r="AK20" i="46"/>
  <c r="AJ20" i="46"/>
  <c r="AI20" i="46"/>
  <c r="AH20" i="46"/>
  <c r="AG20" i="46"/>
  <c r="AK19" i="46"/>
  <c r="AJ19" i="46"/>
  <c r="AI19" i="46"/>
  <c r="AH19" i="46"/>
  <c r="AG19" i="46"/>
  <c r="AJ18" i="46"/>
  <c r="AI18" i="46"/>
  <c r="AH18" i="46"/>
  <c r="AK17" i="46"/>
  <c r="AJ17" i="46"/>
  <c r="AI17" i="46"/>
  <c r="AH17" i="46"/>
  <c r="AO16" i="46"/>
  <c r="AO15" i="46"/>
  <c r="AK15" i="46"/>
  <c r="AH15" i="46"/>
  <c r="AO14" i="46"/>
  <c r="AK14" i="46"/>
  <c r="AJ14" i="46"/>
  <c r="AH14" i="46"/>
  <c r="AP13" i="46"/>
  <c r="AP24" i="46" s="1"/>
  <c r="AO13" i="46"/>
  <c r="AK13" i="46"/>
  <c r="AJ13" i="46"/>
  <c r="AH13" i="46"/>
  <c r="AK12" i="46"/>
  <c r="AJ12" i="46"/>
  <c r="AH12" i="46"/>
  <c r="I35" i="67"/>
  <c r="H35" i="67"/>
  <c r="G35" i="67"/>
  <c r="F35" i="67"/>
  <c r="E35" i="67"/>
  <c r="D35" i="67"/>
  <c r="C35" i="67"/>
  <c r="B35" i="67"/>
  <c r="I29" i="67"/>
  <c r="H29" i="67"/>
  <c r="G29" i="67"/>
  <c r="F29" i="67"/>
  <c r="E29" i="67"/>
  <c r="D29" i="67"/>
  <c r="C29" i="67"/>
  <c r="B29" i="67"/>
  <c r="I24" i="67"/>
  <c r="H24" i="67"/>
  <c r="G24" i="67"/>
  <c r="F24" i="67"/>
  <c r="E24" i="67"/>
  <c r="D24" i="67"/>
  <c r="C24" i="67"/>
  <c r="B24" i="67"/>
  <c r="I19" i="67"/>
  <c r="H19" i="67"/>
  <c r="G19" i="67"/>
  <c r="F19" i="67"/>
  <c r="E19" i="67"/>
  <c r="D19" i="67"/>
  <c r="C19" i="67"/>
  <c r="B19" i="67"/>
  <c r="I14" i="67"/>
  <c r="H14" i="67"/>
  <c r="G14" i="67"/>
  <c r="F14" i="67"/>
  <c r="E14" i="67"/>
  <c r="D14" i="67"/>
  <c r="C14" i="67"/>
  <c r="B14" i="67"/>
  <c r="G414" i="30"/>
  <c r="F414" i="30"/>
  <c r="E414" i="30"/>
  <c r="D414" i="30"/>
  <c r="C414" i="30"/>
  <c r="G398" i="30"/>
  <c r="F398" i="30"/>
  <c r="E398" i="30"/>
  <c r="D398" i="30"/>
  <c r="C398" i="30"/>
  <c r="G382" i="30"/>
  <c r="F382" i="30"/>
  <c r="E382" i="30"/>
  <c r="D382" i="30"/>
  <c r="C382" i="30"/>
  <c r="G366" i="30"/>
  <c r="F366" i="30"/>
  <c r="E366" i="30"/>
  <c r="D366" i="30"/>
  <c r="C366" i="30"/>
  <c r="G350" i="30"/>
  <c r="F350" i="30"/>
  <c r="E350" i="30"/>
  <c r="D350" i="30"/>
  <c r="C350" i="30"/>
  <c r="G334" i="30"/>
  <c r="F334" i="30"/>
  <c r="E334" i="30"/>
  <c r="D334" i="30"/>
  <c r="C334" i="30"/>
  <c r="G317" i="30"/>
  <c r="F317" i="30"/>
  <c r="E317" i="30"/>
  <c r="D317" i="30"/>
  <c r="C317" i="30"/>
  <c r="G316" i="30"/>
  <c r="F316" i="30"/>
  <c r="E316" i="30"/>
  <c r="D316" i="30"/>
  <c r="C316" i="30"/>
  <c r="G315" i="30"/>
  <c r="F315" i="30"/>
  <c r="E315" i="30"/>
  <c r="D315" i="30"/>
  <c r="C315" i="30"/>
  <c r="G314" i="30"/>
  <c r="F314" i="30"/>
  <c r="E314" i="30"/>
  <c r="D314" i="30"/>
  <c r="C314" i="30"/>
  <c r="G313" i="30"/>
  <c r="F313" i="30"/>
  <c r="E313" i="30"/>
  <c r="D313" i="30"/>
  <c r="C313" i="30"/>
  <c r="G312" i="30"/>
  <c r="F312" i="30"/>
  <c r="E312" i="30"/>
  <c r="D312" i="30"/>
  <c r="C312" i="30"/>
  <c r="G311" i="30"/>
  <c r="F311" i="30"/>
  <c r="E311" i="30"/>
  <c r="D311" i="30"/>
  <c r="C311" i="30"/>
  <c r="G310" i="30"/>
  <c r="F310" i="30"/>
  <c r="E310" i="30"/>
  <c r="D310" i="30"/>
  <c r="C310" i="30"/>
  <c r="G309" i="30"/>
  <c r="F309" i="30"/>
  <c r="E309" i="30"/>
  <c r="D309" i="30"/>
  <c r="C309" i="30"/>
  <c r="G308" i="30"/>
  <c r="F308" i="30"/>
  <c r="E308" i="30"/>
  <c r="D308" i="30"/>
  <c r="C308" i="30"/>
  <c r="G307" i="30"/>
  <c r="F307" i="30"/>
  <c r="E307" i="30"/>
  <c r="D307" i="30"/>
  <c r="C307" i="30"/>
  <c r="G306" i="30"/>
  <c r="F306" i="30"/>
  <c r="E306" i="30"/>
  <c r="D306" i="30"/>
  <c r="C306" i="30"/>
  <c r="G301" i="30"/>
  <c r="F301" i="30"/>
  <c r="E301" i="30"/>
  <c r="D301" i="30"/>
  <c r="C301" i="30"/>
  <c r="G300" i="30"/>
  <c r="F300" i="30"/>
  <c r="E300" i="30"/>
  <c r="D300" i="30"/>
  <c r="C300" i="30"/>
  <c r="G299" i="30"/>
  <c r="F299" i="30"/>
  <c r="E299" i="30"/>
  <c r="D299" i="30"/>
  <c r="C299" i="30"/>
  <c r="G298" i="30"/>
  <c r="F298" i="30"/>
  <c r="E298" i="30"/>
  <c r="D298" i="30"/>
  <c r="C298" i="30"/>
  <c r="G297" i="30"/>
  <c r="F297" i="30"/>
  <c r="E297" i="30"/>
  <c r="D297" i="30"/>
  <c r="C297" i="30"/>
  <c r="G296" i="30"/>
  <c r="F296" i="30"/>
  <c r="E296" i="30"/>
  <c r="D296" i="30"/>
  <c r="C296" i="30"/>
  <c r="G295" i="30"/>
  <c r="F295" i="30"/>
  <c r="E295" i="30"/>
  <c r="D295" i="30"/>
  <c r="C295" i="30"/>
  <c r="G294" i="30"/>
  <c r="F294" i="30"/>
  <c r="E294" i="30"/>
  <c r="D294" i="30"/>
  <c r="C294" i="30"/>
  <c r="G293" i="30"/>
  <c r="F293" i="30"/>
  <c r="E293" i="30"/>
  <c r="D293" i="30"/>
  <c r="C293" i="30"/>
  <c r="G292" i="30"/>
  <c r="F292" i="30"/>
  <c r="E292" i="30"/>
  <c r="D292" i="30"/>
  <c r="C292" i="30"/>
  <c r="G291" i="30"/>
  <c r="F291" i="30"/>
  <c r="E291" i="30"/>
  <c r="D291" i="30"/>
  <c r="C291" i="30"/>
  <c r="G290" i="30"/>
  <c r="F290" i="30"/>
  <c r="E290" i="30"/>
  <c r="D290" i="30"/>
  <c r="C290" i="30"/>
  <c r="G287" i="30"/>
  <c r="F287" i="30"/>
  <c r="E287" i="30"/>
  <c r="D287" i="30"/>
  <c r="C287" i="30"/>
  <c r="F260" i="30"/>
  <c r="D260" i="30"/>
  <c r="C260" i="30"/>
  <c r="G259" i="30"/>
  <c r="F259" i="30"/>
  <c r="D259" i="30"/>
  <c r="C259" i="30"/>
  <c r="G258" i="30"/>
  <c r="F258" i="30"/>
  <c r="D258" i="30"/>
  <c r="C258" i="30"/>
  <c r="G257" i="30"/>
  <c r="F257" i="30"/>
  <c r="D257" i="30"/>
  <c r="C257" i="30"/>
  <c r="E246" i="30"/>
  <c r="D242" i="30"/>
  <c r="G230" i="30"/>
  <c r="G229" i="30"/>
  <c r="G228" i="30"/>
  <c r="G227" i="30"/>
  <c r="G226" i="30"/>
  <c r="G225" i="30"/>
  <c r="G224" i="30"/>
  <c r="G223" i="30"/>
  <c r="E221" i="30"/>
  <c r="F173" i="30"/>
  <c r="E173" i="30"/>
  <c r="D173" i="30"/>
  <c r="C173" i="30"/>
  <c r="G159" i="30"/>
  <c r="F159" i="30"/>
  <c r="E159" i="30"/>
  <c r="D159" i="30"/>
  <c r="C159" i="30"/>
  <c r="F141" i="30"/>
  <c r="E141" i="30"/>
  <c r="D141" i="30"/>
  <c r="C141" i="30"/>
  <c r="G139" i="30"/>
  <c r="F136" i="30"/>
  <c r="D136" i="30"/>
  <c r="E117" i="30"/>
  <c r="D117" i="30"/>
  <c r="C117" i="30"/>
  <c r="E84" i="30"/>
  <c r="G69" i="30"/>
  <c r="F69" i="30"/>
  <c r="E69" i="30"/>
  <c r="D69" i="30"/>
  <c r="C69" i="30"/>
  <c r="J2581" i="33"/>
  <c r="I2581" i="33"/>
  <c r="H2581" i="33"/>
  <c r="G2581" i="33"/>
  <c r="F2581" i="33"/>
  <c r="E2581" i="33"/>
  <c r="D2581" i="33"/>
  <c r="C2581" i="33"/>
  <c r="B2581" i="33"/>
  <c r="J2572" i="33"/>
  <c r="I2572" i="33"/>
  <c r="H2572" i="33"/>
  <c r="G2572" i="33"/>
  <c r="F2572" i="33"/>
  <c r="E2572" i="33"/>
  <c r="D2572" i="33"/>
  <c r="C2572" i="33"/>
  <c r="B2572" i="33"/>
  <c r="J2564" i="33"/>
  <c r="I2564" i="33"/>
  <c r="H2564" i="33"/>
  <c r="G2564" i="33"/>
  <c r="F2564" i="33"/>
  <c r="E2564" i="33"/>
  <c r="D2564" i="33"/>
  <c r="C2564" i="33"/>
  <c r="B2564" i="33"/>
  <c r="J2556" i="33"/>
  <c r="I2556" i="33"/>
  <c r="H2556" i="33"/>
  <c r="G2556" i="33"/>
  <c r="F2556" i="33"/>
  <c r="E2556" i="33"/>
  <c r="D2556" i="33"/>
  <c r="C2556" i="33"/>
  <c r="B2556" i="33"/>
  <c r="J2546" i="33"/>
  <c r="I2546" i="33"/>
  <c r="H2546" i="33"/>
  <c r="G2546" i="33"/>
  <c r="F2546" i="33"/>
  <c r="E2546" i="33"/>
  <c r="D2546" i="33"/>
  <c r="C2546" i="33"/>
  <c r="B2546" i="33"/>
  <c r="J2538" i="33"/>
  <c r="I2538" i="33"/>
  <c r="H2538" i="33"/>
  <c r="G2538" i="33"/>
  <c r="F2538" i="33"/>
  <c r="E2538" i="33"/>
  <c r="D2538" i="33"/>
  <c r="C2538" i="33"/>
  <c r="B2538" i="33"/>
  <c r="J2530" i="33"/>
  <c r="I2530" i="33"/>
  <c r="H2530" i="33"/>
  <c r="G2530" i="33"/>
  <c r="F2530" i="33"/>
  <c r="E2530" i="33"/>
  <c r="D2530" i="33"/>
  <c r="C2530" i="33"/>
  <c r="B2530" i="33"/>
  <c r="I2520" i="33"/>
  <c r="H2520" i="33"/>
  <c r="G2520" i="33"/>
  <c r="F2520" i="33"/>
  <c r="E2520" i="33"/>
  <c r="D2520" i="33"/>
  <c r="C2520" i="33"/>
  <c r="B2520" i="33"/>
  <c r="J2519" i="33"/>
  <c r="J2518" i="33"/>
  <c r="J2516" i="33"/>
  <c r="I2512" i="33"/>
  <c r="H2512" i="33"/>
  <c r="G2512" i="33"/>
  <c r="F2512" i="33"/>
  <c r="E2512" i="33"/>
  <c r="D2512" i="33"/>
  <c r="C2512" i="33"/>
  <c r="B2512" i="33"/>
  <c r="J2511" i="33"/>
  <c r="J2510" i="33"/>
  <c r="J2509" i="33"/>
  <c r="J2507" i="33"/>
  <c r="I2503" i="33"/>
  <c r="H2503" i="33"/>
  <c r="G2503" i="33"/>
  <c r="F2503" i="33"/>
  <c r="E2503" i="33"/>
  <c r="D2503" i="33"/>
  <c r="C2503" i="33"/>
  <c r="B2503" i="33"/>
  <c r="J2502" i="33"/>
  <c r="J2501" i="33"/>
  <c r="J2500" i="33"/>
  <c r="J2499" i="33"/>
  <c r="J2495" i="33"/>
  <c r="I2495" i="33"/>
  <c r="H2495" i="33"/>
  <c r="G2495" i="33"/>
  <c r="F2495" i="33"/>
  <c r="E2495" i="33"/>
  <c r="D2495" i="33"/>
  <c r="C2495" i="33"/>
  <c r="B2495" i="33"/>
  <c r="I2486" i="33"/>
  <c r="F90" i="30" s="1"/>
  <c r="H2486" i="33"/>
  <c r="F2486" i="33"/>
  <c r="C90" i="30" s="1"/>
  <c r="C93" i="30" s="1"/>
  <c r="E2486" i="33"/>
  <c r="D2486" i="33"/>
  <c r="C2486" i="33"/>
  <c r="B2486" i="33"/>
  <c r="J2485" i="33"/>
  <c r="G2485" i="33"/>
  <c r="J2484" i="33"/>
  <c r="J2483" i="33"/>
  <c r="G2483" i="33"/>
  <c r="J2482" i="33"/>
  <c r="I2478" i="33"/>
  <c r="H2478" i="33"/>
  <c r="E89" i="30" s="1"/>
  <c r="G2478" i="33"/>
  <c r="F2478" i="33"/>
  <c r="E2478" i="33"/>
  <c r="D2478" i="33"/>
  <c r="C2478" i="33"/>
  <c r="B2478" i="33"/>
  <c r="J2477" i="33"/>
  <c r="J2476" i="33"/>
  <c r="J2475" i="33"/>
  <c r="J2474" i="33"/>
  <c r="J2470" i="33"/>
  <c r="I2470" i="33"/>
  <c r="H2470" i="33"/>
  <c r="G2470" i="33"/>
  <c r="F2470" i="33"/>
  <c r="E2470" i="33"/>
  <c r="D2470" i="33"/>
  <c r="C2470" i="33"/>
  <c r="B2470" i="33"/>
  <c r="J2461" i="33"/>
  <c r="I2461" i="33"/>
  <c r="H2461" i="33"/>
  <c r="G2461" i="33"/>
  <c r="F2461" i="33"/>
  <c r="E2461" i="33"/>
  <c r="D2461" i="33"/>
  <c r="C2461" i="33"/>
  <c r="B2461" i="33"/>
  <c r="J2453" i="33"/>
  <c r="I2453" i="33"/>
  <c r="F86" i="30" s="1"/>
  <c r="H2453" i="33"/>
  <c r="G2453" i="33"/>
  <c r="D86" i="30" s="1"/>
  <c r="F2453" i="33"/>
  <c r="E2453" i="33"/>
  <c r="D2453" i="33"/>
  <c r="C2453" i="33"/>
  <c r="B2453" i="33"/>
  <c r="J2445" i="33"/>
  <c r="I2445" i="33"/>
  <c r="F85" i="30" s="1"/>
  <c r="H2445" i="33"/>
  <c r="G2445" i="33"/>
  <c r="D85" i="30" s="1"/>
  <c r="F2445" i="33"/>
  <c r="E2445" i="33"/>
  <c r="D2445" i="33"/>
  <c r="C2445" i="33"/>
  <c r="B2445" i="33"/>
  <c r="J2436" i="33"/>
  <c r="I2436" i="33"/>
  <c r="H2436" i="33"/>
  <c r="G2436" i="33"/>
  <c r="F2436" i="33"/>
  <c r="E2436" i="33"/>
  <c r="D2436" i="33"/>
  <c r="C2436" i="33"/>
  <c r="B2436" i="33"/>
  <c r="J2428" i="33"/>
  <c r="I2428" i="33"/>
  <c r="H2428" i="33"/>
  <c r="G2428" i="33"/>
  <c r="F2428" i="33"/>
  <c r="E2428" i="33"/>
  <c r="D2428" i="33"/>
  <c r="C2428" i="33"/>
  <c r="B2428" i="33"/>
  <c r="J2419" i="33"/>
  <c r="I2419" i="33"/>
  <c r="H2419" i="33"/>
  <c r="G2419" i="33"/>
  <c r="F2419" i="33"/>
  <c r="E2419" i="33"/>
  <c r="D2419" i="33"/>
  <c r="C2419" i="33"/>
  <c r="B2419" i="33"/>
  <c r="I2411" i="33"/>
  <c r="H2411" i="33"/>
  <c r="G2411" i="33"/>
  <c r="F2411" i="33"/>
  <c r="E2411" i="33"/>
  <c r="D2411" i="33"/>
  <c r="C2411" i="33"/>
  <c r="B2411" i="33"/>
  <c r="J2410" i="33"/>
  <c r="J2409" i="33"/>
  <c r="J2408" i="33"/>
  <c r="J2403" i="33"/>
  <c r="I2403" i="33"/>
  <c r="H2403" i="33"/>
  <c r="G2403" i="33"/>
  <c r="F2403" i="33"/>
  <c r="E2403" i="33"/>
  <c r="D2403" i="33"/>
  <c r="C2403" i="33"/>
  <c r="B2403" i="33"/>
  <c r="J2395" i="33"/>
  <c r="I2395" i="33"/>
  <c r="H2395" i="33"/>
  <c r="G2395" i="33"/>
  <c r="F2395" i="33"/>
  <c r="E2395" i="33"/>
  <c r="D2395" i="33"/>
  <c r="C2395" i="33"/>
  <c r="B2395" i="33"/>
  <c r="J2386" i="33"/>
  <c r="I2386" i="33"/>
  <c r="H2386" i="33"/>
  <c r="G2386" i="33"/>
  <c r="F2386" i="33"/>
  <c r="E2386" i="33"/>
  <c r="D2386" i="33"/>
  <c r="C2386" i="33"/>
  <c r="B2386" i="33"/>
  <c r="J2378" i="33"/>
  <c r="I2378" i="33"/>
  <c r="H2378" i="33"/>
  <c r="G2378" i="33"/>
  <c r="F2378" i="33"/>
  <c r="E2378" i="33"/>
  <c r="D2378" i="33"/>
  <c r="C2378" i="33"/>
  <c r="B2378" i="33"/>
  <c r="J2370" i="33"/>
  <c r="I2370" i="33"/>
  <c r="H2370" i="33"/>
  <c r="G2370" i="33"/>
  <c r="F2370" i="33"/>
  <c r="E2370" i="33"/>
  <c r="D2370" i="33"/>
  <c r="C2370" i="33"/>
  <c r="B2370" i="33"/>
  <c r="J2361" i="33"/>
  <c r="I2361" i="33"/>
  <c r="F111" i="30" s="1"/>
  <c r="F117" i="30" s="1"/>
  <c r="H2361" i="33"/>
  <c r="G2361" i="33"/>
  <c r="F2361" i="33"/>
  <c r="E2361" i="33"/>
  <c r="D2361" i="33"/>
  <c r="C2361" i="33"/>
  <c r="B2361" i="33"/>
  <c r="J2353" i="33"/>
  <c r="I2353" i="33"/>
  <c r="H2353" i="33"/>
  <c r="G2353" i="33"/>
  <c r="F2353" i="33"/>
  <c r="E2353" i="33"/>
  <c r="D2353" i="33"/>
  <c r="C2353" i="33"/>
  <c r="B2353" i="33"/>
  <c r="I2344" i="33"/>
  <c r="H2344" i="33"/>
  <c r="G2344" i="33"/>
  <c r="F2344" i="33"/>
  <c r="E2344" i="33"/>
  <c r="D2344" i="33"/>
  <c r="C2344" i="33"/>
  <c r="B2344" i="33"/>
  <c r="J2343" i="33"/>
  <c r="J2342" i="33"/>
  <c r="J2341" i="33"/>
  <c r="J2340" i="33"/>
  <c r="I2336" i="33"/>
  <c r="H2336" i="33"/>
  <c r="G2336" i="33"/>
  <c r="F2336" i="33"/>
  <c r="E2336" i="33"/>
  <c r="D2336" i="33"/>
  <c r="C2336" i="33"/>
  <c r="B2336" i="33"/>
  <c r="J2335" i="33"/>
  <c r="J2334" i="33"/>
  <c r="J2333" i="33"/>
  <c r="J2332" i="33"/>
  <c r="I2328" i="33"/>
  <c r="H2328" i="33"/>
  <c r="G2328" i="33"/>
  <c r="F2328" i="33"/>
  <c r="E2328" i="33"/>
  <c r="D2328" i="33"/>
  <c r="C2328" i="33"/>
  <c r="B2328" i="33"/>
  <c r="J2327" i="33"/>
  <c r="J2326" i="33"/>
  <c r="J2325" i="33"/>
  <c r="J2324" i="33"/>
  <c r="J2323" i="33"/>
  <c r="I2319" i="33"/>
  <c r="H2319" i="33"/>
  <c r="G2319" i="33"/>
  <c r="F2319" i="33"/>
  <c r="E2319" i="33"/>
  <c r="D2319" i="33"/>
  <c r="C2319" i="33"/>
  <c r="B2319" i="33"/>
  <c r="J2318" i="33"/>
  <c r="J2317" i="33"/>
  <c r="J2316" i="33"/>
  <c r="J2315" i="33"/>
  <c r="I2311" i="33"/>
  <c r="H2311" i="33"/>
  <c r="G2311" i="33"/>
  <c r="F2311" i="33"/>
  <c r="E2311" i="33"/>
  <c r="D2311" i="33"/>
  <c r="C2311" i="33"/>
  <c r="B2311" i="33"/>
  <c r="J2310" i="33"/>
  <c r="J2309" i="33"/>
  <c r="J2308" i="33"/>
  <c r="J2307" i="33"/>
  <c r="I2303" i="33"/>
  <c r="H2303" i="33"/>
  <c r="G2303" i="33"/>
  <c r="F2303" i="33"/>
  <c r="E2303" i="33"/>
  <c r="D2303" i="33"/>
  <c r="C2303" i="33"/>
  <c r="B2303" i="33"/>
  <c r="J2302" i="33"/>
  <c r="J2301" i="33"/>
  <c r="J2300" i="33"/>
  <c r="J2299" i="33"/>
  <c r="J2298" i="33"/>
  <c r="I2294" i="33"/>
  <c r="H2294" i="33"/>
  <c r="G2294" i="33"/>
  <c r="F2294" i="33"/>
  <c r="E2294" i="33"/>
  <c r="D2294" i="33"/>
  <c r="C2294" i="33"/>
  <c r="B2294" i="33"/>
  <c r="J2293" i="33"/>
  <c r="J2292" i="33"/>
  <c r="J2291" i="33"/>
  <c r="J2290" i="33"/>
  <c r="I2286" i="33"/>
  <c r="H2286" i="33"/>
  <c r="G2286" i="33"/>
  <c r="F2286" i="33"/>
  <c r="E2286" i="33"/>
  <c r="D2286" i="33"/>
  <c r="C2286" i="33"/>
  <c r="B2286" i="33"/>
  <c r="J2285" i="33"/>
  <c r="J2284" i="33"/>
  <c r="J2283" i="33"/>
  <c r="J2282" i="33"/>
  <c r="I2278" i="33"/>
  <c r="H2278" i="33"/>
  <c r="G2278" i="33"/>
  <c r="F2278" i="33"/>
  <c r="E2278" i="33"/>
  <c r="D2278" i="33"/>
  <c r="C2278" i="33"/>
  <c r="B2278" i="33"/>
  <c r="J2277" i="33"/>
  <c r="J2276" i="33"/>
  <c r="J2275" i="33"/>
  <c r="J2274" i="33"/>
  <c r="J2273" i="33"/>
  <c r="I2269" i="33"/>
  <c r="H2269" i="33"/>
  <c r="G2269" i="33"/>
  <c r="F2269" i="33"/>
  <c r="E2269" i="33"/>
  <c r="D2269" i="33"/>
  <c r="C2269" i="33"/>
  <c r="B2269" i="33"/>
  <c r="J2268" i="33"/>
  <c r="J2267" i="33"/>
  <c r="J2266" i="33"/>
  <c r="J2265" i="33"/>
  <c r="I2261" i="33"/>
  <c r="H2261" i="33"/>
  <c r="G2261" i="33"/>
  <c r="F2261" i="33"/>
  <c r="E2261" i="33"/>
  <c r="D2261" i="33"/>
  <c r="C2261" i="33"/>
  <c r="B2261" i="33"/>
  <c r="J2260" i="33"/>
  <c r="J2259" i="33"/>
  <c r="J2258" i="33"/>
  <c r="J2257" i="33"/>
  <c r="J2256" i="33"/>
  <c r="I2252" i="33"/>
  <c r="H2252" i="33"/>
  <c r="G2252" i="33"/>
  <c r="F2252" i="33"/>
  <c r="E2252" i="33"/>
  <c r="D2252" i="33"/>
  <c r="C2252" i="33"/>
  <c r="B2252" i="33"/>
  <c r="J2251" i="33"/>
  <c r="J2250" i="33"/>
  <c r="J2249" i="33"/>
  <c r="J2248" i="33"/>
  <c r="I2244" i="33"/>
  <c r="H2244" i="33"/>
  <c r="G2244" i="33"/>
  <c r="F2244" i="33"/>
  <c r="E2244" i="33"/>
  <c r="D2244" i="33"/>
  <c r="C2244" i="33"/>
  <c r="B2244" i="33"/>
  <c r="J2243" i="33"/>
  <c r="J2242" i="33"/>
  <c r="J2241" i="33"/>
  <c r="J2240" i="33"/>
  <c r="I2236" i="33"/>
  <c r="H2236" i="33"/>
  <c r="G2236" i="33"/>
  <c r="F2236" i="33"/>
  <c r="E2236" i="33"/>
  <c r="D2236" i="33"/>
  <c r="C2236" i="33"/>
  <c r="B2236" i="33"/>
  <c r="J2235" i="33"/>
  <c r="J2234" i="33"/>
  <c r="J2233" i="33"/>
  <c r="J2232" i="33"/>
  <c r="J2231" i="33"/>
  <c r="I2227" i="33"/>
  <c r="H2227" i="33"/>
  <c r="G2227" i="33"/>
  <c r="F2227" i="33"/>
  <c r="E2227" i="33"/>
  <c r="D2227" i="33"/>
  <c r="C2227" i="33"/>
  <c r="B2227" i="33"/>
  <c r="J2226" i="33"/>
  <c r="J2225" i="33"/>
  <c r="J2224" i="33"/>
  <c r="P2223" i="33"/>
  <c r="J2223" i="33"/>
  <c r="I2218" i="33"/>
  <c r="H2218" i="33"/>
  <c r="G2218" i="33"/>
  <c r="F2218" i="33"/>
  <c r="E2218" i="33"/>
  <c r="D2218" i="33"/>
  <c r="C2218" i="33"/>
  <c r="B2218" i="33"/>
  <c r="J2217" i="33"/>
  <c r="J2216" i="33"/>
  <c r="J2215" i="33"/>
  <c r="J2214" i="33"/>
  <c r="J2210" i="33"/>
  <c r="G129" i="30" s="1"/>
  <c r="I2210" i="33"/>
  <c r="H2210" i="33"/>
  <c r="G2210" i="33"/>
  <c r="F2210" i="33"/>
  <c r="E2210" i="33"/>
  <c r="D2210" i="33"/>
  <c r="C2210" i="33"/>
  <c r="B2210" i="33"/>
  <c r="I2201" i="33"/>
  <c r="H2201" i="33"/>
  <c r="G2201" i="33"/>
  <c r="F2201" i="33"/>
  <c r="E2201" i="33"/>
  <c r="D2201" i="33"/>
  <c r="C2201" i="33"/>
  <c r="B2201" i="33"/>
  <c r="J2200" i="33"/>
  <c r="J2199" i="33"/>
  <c r="J2198" i="33"/>
  <c r="J2197" i="33"/>
  <c r="I2193" i="33"/>
  <c r="H2193" i="33"/>
  <c r="G2193" i="33"/>
  <c r="F2193" i="33"/>
  <c r="E2193" i="33"/>
  <c r="D2193" i="33"/>
  <c r="C2193" i="33"/>
  <c r="B2193" i="33"/>
  <c r="J2192" i="33"/>
  <c r="J2191" i="33"/>
  <c r="J2190" i="33"/>
  <c r="J2189" i="33"/>
  <c r="I2185" i="33"/>
  <c r="H2185" i="33"/>
  <c r="G2185" i="33"/>
  <c r="F2185" i="33"/>
  <c r="E2185" i="33"/>
  <c r="D2185" i="33"/>
  <c r="C2185" i="33"/>
  <c r="B2185" i="33"/>
  <c r="J2184" i="33"/>
  <c r="J2183" i="33"/>
  <c r="J2182" i="33"/>
  <c r="J2181" i="33"/>
  <c r="J2180" i="33"/>
  <c r="J2176" i="33"/>
  <c r="I2176" i="33"/>
  <c r="H2176" i="33"/>
  <c r="G2176" i="33"/>
  <c r="F2176" i="33"/>
  <c r="E2176" i="33"/>
  <c r="D2176" i="33"/>
  <c r="C2176" i="33"/>
  <c r="B2176" i="33"/>
  <c r="J2168" i="33"/>
  <c r="I2168" i="33"/>
  <c r="H2168" i="33"/>
  <c r="G2168" i="33"/>
  <c r="F2168" i="33"/>
  <c r="E2168" i="33"/>
  <c r="D2168" i="33"/>
  <c r="C2168" i="33"/>
  <c r="B2168" i="33"/>
  <c r="J2160" i="33"/>
  <c r="I2160" i="33"/>
  <c r="H2160" i="33"/>
  <c r="G2160" i="33"/>
  <c r="F2160" i="33"/>
  <c r="E2160" i="33"/>
  <c r="D2160" i="33"/>
  <c r="C2160" i="33"/>
  <c r="B2160" i="33"/>
  <c r="J2151" i="33"/>
  <c r="I2151" i="33"/>
  <c r="H2151" i="33"/>
  <c r="G2151" i="33"/>
  <c r="F2151" i="33"/>
  <c r="E2151" i="33"/>
  <c r="D2151" i="33"/>
  <c r="C2151" i="33"/>
  <c r="B2151" i="33"/>
  <c r="J2143" i="33"/>
  <c r="I2143" i="33"/>
  <c r="H2143" i="33"/>
  <c r="G2143" i="33"/>
  <c r="F2143" i="33"/>
  <c r="E2143" i="33"/>
  <c r="D2143" i="33"/>
  <c r="C2143" i="33"/>
  <c r="B2143" i="33"/>
  <c r="J2134" i="33"/>
  <c r="I2134" i="33"/>
  <c r="F2134" i="33"/>
  <c r="E2134" i="33"/>
  <c r="D2134" i="33"/>
  <c r="C2134" i="33"/>
  <c r="B2134" i="33"/>
  <c r="G2133" i="33"/>
  <c r="G2132" i="33"/>
  <c r="G2131" i="33"/>
  <c r="J2126" i="33"/>
  <c r="I2126" i="33"/>
  <c r="F2126" i="33"/>
  <c r="E2126" i="33"/>
  <c r="D2126" i="33"/>
  <c r="C2126" i="33"/>
  <c r="B2126" i="33"/>
  <c r="G2125" i="33"/>
  <c r="G2124" i="33"/>
  <c r="G2123" i="33"/>
  <c r="G2122" i="33"/>
  <c r="J2118" i="33"/>
  <c r="I2118" i="33"/>
  <c r="G2118" i="33"/>
  <c r="F2118" i="33"/>
  <c r="E2118" i="33"/>
  <c r="D2118" i="33"/>
  <c r="C2118" i="33"/>
  <c r="B2118" i="33"/>
  <c r="J2110" i="33"/>
  <c r="I2110" i="33"/>
  <c r="H2110" i="33"/>
  <c r="G2110" i="33"/>
  <c r="F2110" i="33"/>
  <c r="E2110" i="33"/>
  <c r="D2110" i="33"/>
  <c r="C2110" i="33"/>
  <c r="B2110" i="33"/>
  <c r="I2101" i="33"/>
  <c r="H2101" i="33"/>
  <c r="G2101" i="33"/>
  <c r="F2101" i="33"/>
  <c r="E2101" i="33"/>
  <c r="D2101" i="33"/>
  <c r="C2101" i="33"/>
  <c r="B2101" i="33"/>
  <c r="J2098" i="33"/>
  <c r="J2097" i="33"/>
  <c r="I2093" i="33"/>
  <c r="F175" i="30" s="1"/>
  <c r="H2093" i="33"/>
  <c r="E175" i="30" s="1"/>
  <c r="G2093" i="33"/>
  <c r="D175" i="30" s="1"/>
  <c r="F2093" i="33"/>
  <c r="C175" i="30" s="1"/>
  <c r="E2093" i="33"/>
  <c r="D2093" i="33"/>
  <c r="C2093" i="33"/>
  <c r="B2093" i="33"/>
  <c r="J2091" i="33"/>
  <c r="J2090" i="33"/>
  <c r="J2089" i="33"/>
  <c r="I2085" i="33"/>
  <c r="H2085" i="33"/>
  <c r="E174" i="30" s="1"/>
  <c r="G2085" i="33"/>
  <c r="F2085" i="33"/>
  <c r="E2085" i="33"/>
  <c r="D2085" i="33"/>
  <c r="C2085" i="33"/>
  <c r="B2085" i="33"/>
  <c r="J2084" i="33"/>
  <c r="J2081" i="33"/>
  <c r="J2080" i="33"/>
  <c r="I2076" i="33"/>
  <c r="H2076" i="33"/>
  <c r="G2076" i="33"/>
  <c r="F2076" i="33"/>
  <c r="E2076" i="33"/>
  <c r="D2076" i="33"/>
  <c r="C2076" i="33"/>
  <c r="B2076" i="33"/>
  <c r="J2075" i="33"/>
  <c r="J2073" i="33"/>
  <c r="J2072" i="33"/>
  <c r="I2068" i="33"/>
  <c r="H2068" i="33"/>
  <c r="F2068" i="33"/>
  <c r="E2068" i="33"/>
  <c r="D2068" i="33"/>
  <c r="C2068" i="33"/>
  <c r="B2068" i="33"/>
  <c r="J2067" i="33"/>
  <c r="G2067" i="33"/>
  <c r="G2066" i="33"/>
  <c r="J2065" i="33"/>
  <c r="G2065" i="33"/>
  <c r="J2064" i="33"/>
  <c r="G2064" i="33"/>
  <c r="I2060" i="33"/>
  <c r="H2060" i="33"/>
  <c r="G2060" i="33"/>
  <c r="F2060" i="33"/>
  <c r="E2060" i="33"/>
  <c r="D2060" i="33"/>
  <c r="C2060" i="33"/>
  <c r="B2060" i="33"/>
  <c r="J2059" i="33"/>
  <c r="J2058" i="33"/>
  <c r="J2056" i="33"/>
  <c r="J2055" i="33"/>
  <c r="I2051" i="33"/>
  <c r="H2051" i="33"/>
  <c r="G2051" i="33"/>
  <c r="F2051" i="33"/>
  <c r="E2051" i="33"/>
  <c r="D2051" i="33"/>
  <c r="C2051" i="33"/>
  <c r="B2051" i="33"/>
  <c r="J2050" i="33"/>
  <c r="J2049" i="33"/>
  <c r="J2048" i="33"/>
  <c r="J2047" i="33"/>
  <c r="I2043" i="33"/>
  <c r="H2043" i="33"/>
  <c r="G2043" i="33"/>
  <c r="F2043" i="33"/>
  <c r="E2043" i="33"/>
  <c r="D2043" i="33"/>
  <c r="C2043" i="33"/>
  <c r="B2043" i="33"/>
  <c r="J2041" i="33"/>
  <c r="J2040" i="33"/>
  <c r="J2039" i="33"/>
  <c r="J2038" i="33"/>
  <c r="I2034" i="33"/>
  <c r="H2034" i="33"/>
  <c r="F2034" i="33"/>
  <c r="E2034" i="33"/>
  <c r="D2034" i="33"/>
  <c r="C2034" i="33"/>
  <c r="B2034" i="33"/>
  <c r="J2033" i="33"/>
  <c r="G2033" i="33"/>
  <c r="J2032" i="33"/>
  <c r="G2032" i="33"/>
  <c r="J2031" i="33"/>
  <c r="G2031" i="33"/>
  <c r="J2030" i="33"/>
  <c r="G2030" i="33"/>
  <c r="I2026" i="33"/>
  <c r="H2026" i="33"/>
  <c r="F2026" i="33"/>
  <c r="E2026" i="33"/>
  <c r="D2026" i="33"/>
  <c r="C2026" i="33"/>
  <c r="B2026" i="33"/>
  <c r="J2025" i="33"/>
  <c r="G2025" i="33"/>
  <c r="J2024" i="33"/>
  <c r="G2024" i="33"/>
  <c r="J2023" i="33"/>
  <c r="G2023" i="33"/>
  <c r="J2022" i="33"/>
  <c r="G2022" i="33"/>
  <c r="I2018" i="33"/>
  <c r="H2018" i="33"/>
  <c r="G2018" i="33"/>
  <c r="F2018" i="33"/>
  <c r="E2018" i="33"/>
  <c r="D2018" i="33"/>
  <c r="C2018" i="33"/>
  <c r="B2018" i="33"/>
  <c r="J2017" i="33"/>
  <c r="J2016" i="33"/>
  <c r="J2015" i="33"/>
  <c r="J2014" i="33"/>
  <c r="I2010" i="33"/>
  <c r="F165" i="30" s="1"/>
  <c r="H2010" i="33"/>
  <c r="E165" i="30" s="1"/>
  <c r="G2010" i="33"/>
  <c r="D165" i="30" s="1"/>
  <c r="F2010" i="33"/>
  <c r="C165" i="30" s="1"/>
  <c r="E2010" i="33"/>
  <c r="D2010" i="33"/>
  <c r="C2010" i="33"/>
  <c r="B2010" i="33"/>
  <c r="J2009" i="33"/>
  <c r="J2008" i="33"/>
  <c r="J2007" i="33"/>
  <c r="J2006" i="33"/>
  <c r="J2005" i="33"/>
  <c r="I2001" i="33"/>
  <c r="H2001" i="33"/>
  <c r="G2001" i="33"/>
  <c r="F2001" i="33"/>
  <c r="E2001" i="33"/>
  <c r="D2001" i="33"/>
  <c r="C2001" i="33"/>
  <c r="B2001" i="33"/>
  <c r="J2000" i="33"/>
  <c r="J1999" i="33"/>
  <c r="J1998" i="33"/>
  <c r="J1997" i="33"/>
  <c r="I1993" i="33"/>
  <c r="H1993" i="33"/>
  <c r="G1993" i="33"/>
  <c r="F1993" i="33"/>
  <c r="E1993" i="33"/>
  <c r="D1993" i="33"/>
  <c r="C1993" i="33"/>
  <c r="B1993" i="33"/>
  <c r="J1989" i="33"/>
  <c r="J1993" i="33" s="1"/>
  <c r="I1985" i="33"/>
  <c r="G1985" i="33"/>
  <c r="F1985" i="33"/>
  <c r="E1985" i="33"/>
  <c r="D1985" i="33"/>
  <c r="C1985" i="33"/>
  <c r="B1985" i="33"/>
  <c r="J1984" i="33"/>
  <c r="J1983" i="33"/>
  <c r="J1982" i="33"/>
  <c r="J1981" i="33"/>
  <c r="J1980" i="33"/>
  <c r="I1976" i="33"/>
  <c r="G1976" i="33"/>
  <c r="F1976" i="33"/>
  <c r="E1976" i="33"/>
  <c r="D1976" i="33"/>
  <c r="C1976" i="33"/>
  <c r="B1976" i="33"/>
  <c r="J1975" i="33"/>
  <c r="J1974" i="33"/>
  <c r="J1973" i="33"/>
  <c r="J1972" i="33"/>
  <c r="I1968" i="33"/>
  <c r="H1968" i="33"/>
  <c r="G1968" i="33"/>
  <c r="F1968" i="33"/>
  <c r="E1968" i="33"/>
  <c r="D1968" i="33"/>
  <c r="C1968" i="33"/>
  <c r="B1968" i="33"/>
  <c r="J1967" i="33"/>
  <c r="J1966" i="33"/>
  <c r="J1965" i="33"/>
  <c r="J1964" i="33"/>
  <c r="J1963" i="33"/>
  <c r="I1959" i="33"/>
  <c r="H1959" i="33"/>
  <c r="G1959" i="33"/>
  <c r="F1959" i="33"/>
  <c r="E1959" i="33"/>
  <c r="D1959" i="33"/>
  <c r="C1959" i="33"/>
  <c r="B1959" i="33"/>
  <c r="J1958" i="33"/>
  <c r="J1957" i="33"/>
  <c r="J1956" i="33"/>
  <c r="J1955" i="33"/>
  <c r="I1951" i="33"/>
  <c r="H1951" i="33"/>
  <c r="G1951" i="33"/>
  <c r="F1951" i="33"/>
  <c r="E1951" i="33"/>
  <c r="D1951" i="33"/>
  <c r="C1951" i="33"/>
  <c r="B1951" i="33"/>
  <c r="J1950" i="33"/>
  <c r="J1949" i="33"/>
  <c r="J1948" i="33"/>
  <c r="J1947" i="33"/>
  <c r="N1944" i="33"/>
  <c r="I1943" i="33"/>
  <c r="H1943" i="33"/>
  <c r="G1943" i="33"/>
  <c r="F1943" i="33"/>
  <c r="E1943" i="33"/>
  <c r="D1943" i="33"/>
  <c r="C1943" i="33"/>
  <c r="B1943" i="33"/>
  <c r="J1942" i="33"/>
  <c r="J1941" i="33"/>
  <c r="J1940" i="33"/>
  <c r="J1939" i="33"/>
  <c r="J1938" i="33"/>
  <c r="I1934" i="33"/>
  <c r="F187" i="30" s="1"/>
  <c r="F192" i="30" s="1"/>
  <c r="H1934" i="33"/>
  <c r="G1934" i="33"/>
  <c r="D187" i="30" s="1"/>
  <c r="D192" i="30" s="1"/>
  <c r="F1934" i="33"/>
  <c r="C187" i="30" s="1"/>
  <c r="C192" i="30" s="1"/>
  <c r="E1934" i="33"/>
  <c r="D1934" i="33"/>
  <c r="C1934" i="33"/>
  <c r="B1934" i="33"/>
  <c r="J1933" i="33"/>
  <c r="J1932" i="33"/>
  <c r="J1931" i="33"/>
  <c r="J1930" i="33"/>
  <c r="I1926" i="33"/>
  <c r="F186" i="30" s="1"/>
  <c r="H1926" i="33"/>
  <c r="E186" i="30" s="1"/>
  <c r="G1926" i="33"/>
  <c r="D186" i="30" s="1"/>
  <c r="F1926" i="33"/>
  <c r="C186" i="30" s="1"/>
  <c r="E1926" i="33"/>
  <c r="D1926" i="33"/>
  <c r="C1926" i="33"/>
  <c r="B1926" i="33"/>
  <c r="J1925" i="33"/>
  <c r="J1924" i="33"/>
  <c r="J1923" i="33"/>
  <c r="J1922" i="33"/>
  <c r="I1918" i="33"/>
  <c r="F185" i="30" s="1"/>
  <c r="H1918" i="33"/>
  <c r="E185" i="30" s="1"/>
  <c r="G1918" i="33"/>
  <c r="D185" i="30" s="1"/>
  <c r="F1918" i="33"/>
  <c r="C185" i="30" s="1"/>
  <c r="E1918" i="33"/>
  <c r="D1918" i="33"/>
  <c r="C1918" i="33"/>
  <c r="B1918" i="33"/>
  <c r="J1917" i="33"/>
  <c r="J1916" i="33"/>
  <c r="J1915" i="33"/>
  <c r="J1914" i="33"/>
  <c r="J1913" i="33"/>
  <c r="I1909" i="33"/>
  <c r="F184" i="30" s="1"/>
  <c r="H1909" i="33"/>
  <c r="E184" i="30" s="1"/>
  <c r="G1909" i="33"/>
  <c r="D184" i="30" s="1"/>
  <c r="F1909" i="33"/>
  <c r="C184" i="30" s="1"/>
  <c r="E1909" i="33"/>
  <c r="D1909" i="33"/>
  <c r="C1909" i="33"/>
  <c r="B1909" i="33"/>
  <c r="J1908" i="33"/>
  <c r="J1907" i="33"/>
  <c r="J1906" i="33"/>
  <c r="J1905" i="33"/>
  <c r="I1901" i="33"/>
  <c r="F213" i="30" s="1"/>
  <c r="H1901" i="33"/>
  <c r="E213" i="30" s="1"/>
  <c r="G1901" i="33"/>
  <c r="F1901" i="33"/>
  <c r="C213" i="30" s="1"/>
  <c r="E1901" i="33"/>
  <c r="D1901" i="33"/>
  <c r="C1901" i="33"/>
  <c r="B1901" i="33"/>
  <c r="J1900" i="33"/>
  <c r="J1899" i="33"/>
  <c r="J1898" i="33"/>
  <c r="J1897" i="33"/>
  <c r="I1893" i="33"/>
  <c r="H1893" i="33"/>
  <c r="G1893" i="33"/>
  <c r="F1893" i="33"/>
  <c r="E1893" i="33"/>
  <c r="D1893" i="33"/>
  <c r="C1893" i="33"/>
  <c r="B1893" i="33"/>
  <c r="J1892" i="33"/>
  <c r="J1891" i="33"/>
  <c r="J1890" i="33"/>
  <c r="J1889" i="33"/>
  <c r="J1888" i="33"/>
  <c r="J1884" i="33"/>
  <c r="I1884" i="33"/>
  <c r="H1884" i="33"/>
  <c r="G1884" i="33"/>
  <c r="F1884" i="33"/>
  <c r="E1884" i="33"/>
  <c r="D1884" i="33"/>
  <c r="C1884" i="33"/>
  <c r="B1884" i="33"/>
  <c r="J1876" i="33"/>
  <c r="G210" i="30" s="1"/>
  <c r="I1876" i="33"/>
  <c r="F210" i="30" s="1"/>
  <c r="H1876" i="33"/>
  <c r="E210" i="30" s="1"/>
  <c r="G1876" i="33"/>
  <c r="D210" i="30" s="1"/>
  <c r="F1876" i="33"/>
  <c r="C210" i="30" s="1"/>
  <c r="E1876" i="33"/>
  <c r="D1876" i="33"/>
  <c r="C1876" i="33"/>
  <c r="B1876" i="33"/>
  <c r="J1867" i="33"/>
  <c r="G209" i="30" s="1"/>
  <c r="I1867" i="33"/>
  <c r="F209" i="30" s="1"/>
  <c r="H1867" i="33"/>
  <c r="E209" i="30" s="1"/>
  <c r="G1867" i="33"/>
  <c r="D209" i="30" s="1"/>
  <c r="F1867" i="33"/>
  <c r="C209" i="30" s="1"/>
  <c r="E1867" i="33"/>
  <c r="D1867" i="33"/>
  <c r="C1867" i="33"/>
  <c r="B1867" i="33"/>
  <c r="J1857" i="33"/>
  <c r="G208" i="30" s="1"/>
  <c r="I1857" i="33"/>
  <c r="F208" i="30" s="1"/>
  <c r="H1857" i="33"/>
  <c r="E208" i="30" s="1"/>
  <c r="G1857" i="33"/>
  <c r="D208" i="30" s="1"/>
  <c r="F1857" i="33"/>
  <c r="C208" i="30" s="1"/>
  <c r="E1857" i="33"/>
  <c r="D1857" i="33"/>
  <c r="C1857" i="33"/>
  <c r="B1857" i="33"/>
  <c r="I1847" i="33"/>
  <c r="F207" i="30" s="1"/>
  <c r="H1847" i="33"/>
  <c r="E207" i="30" s="1"/>
  <c r="G1847" i="33"/>
  <c r="D207" i="30" s="1"/>
  <c r="F1847" i="33"/>
  <c r="C207" i="30" s="1"/>
  <c r="E1847" i="33"/>
  <c r="D1847" i="33"/>
  <c r="C1847" i="33"/>
  <c r="B1847" i="33"/>
  <c r="J1842" i="33"/>
  <c r="J1847" i="33" s="1"/>
  <c r="G207" i="30" s="1"/>
  <c r="I1837" i="33"/>
  <c r="F206" i="30" s="1"/>
  <c r="H1837" i="33"/>
  <c r="E206" i="30" s="1"/>
  <c r="G1837" i="33"/>
  <c r="D206" i="30" s="1"/>
  <c r="F1837" i="33"/>
  <c r="C206" i="30" s="1"/>
  <c r="E1837" i="33"/>
  <c r="D1837" i="33"/>
  <c r="C1837" i="33"/>
  <c r="B1837" i="33"/>
  <c r="J1836" i="33"/>
  <c r="J1835" i="33"/>
  <c r="J1834" i="33"/>
  <c r="J1833" i="33"/>
  <c r="I1828" i="33"/>
  <c r="F205" i="30" s="1"/>
  <c r="H1828" i="33"/>
  <c r="E205" i="30" s="1"/>
  <c r="G1828" i="33"/>
  <c r="D205" i="30" s="1"/>
  <c r="F1828" i="33"/>
  <c r="C205" i="30" s="1"/>
  <c r="E1828" i="33"/>
  <c r="D1828" i="33"/>
  <c r="C1828" i="33"/>
  <c r="B1828" i="33"/>
  <c r="J1827" i="33"/>
  <c r="J1826" i="33"/>
  <c r="J1825" i="33"/>
  <c r="J1824" i="33"/>
  <c r="I1819" i="33"/>
  <c r="F204" i="30" s="1"/>
  <c r="H1819" i="33"/>
  <c r="E204" i="30" s="1"/>
  <c r="F1819" i="33"/>
  <c r="C204" i="30" s="1"/>
  <c r="E1819" i="33"/>
  <c r="D1819" i="33"/>
  <c r="C1819" i="33"/>
  <c r="B1819" i="33"/>
  <c r="J1818" i="33"/>
  <c r="J1817" i="33"/>
  <c r="J1816" i="33"/>
  <c r="J1815" i="33"/>
  <c r="G1815" i="33"/>
  <c r="J1814" i="33"/>
  <c r="G1814" i="33"/>
  <c r="I1809" i="33"/>
  <c r="H1809" i="33"/>
  <c r="E203" i="30" s="1"/>
  <c r="G1809" i="33"/>
  <c r="F1809" i="33"/>
  <c r="E1809" i="33"/>
  <c r="D1809" i="33"/>
  <c r="C1809" i="33"/>
  <c r="B1809" i="33"/>
  <c r="J1808" i="33"/>
  <c r="J1807" i="33"/>
  <c r="J1806" i="33"/>
  <c r="J1805" i="33"/>
  <c r="G1805" i="33"/>
  <c r="I1800" i="33"/>
  <c r="H1800" i="33"/>
  <c r="F1800" i="33"/>
  <c r="E1800" i="33"/>
  <c r="D1800" i="33"/>
  <c r="C1800" i="33"/>
  <c r="B1800" i="33"/>
  <c r="J1799" i="33"/>
  <c r="G1799" i="33"/>
  <c r="J1798" i="33"/>
  <c r="G1798" i="33"/>
  <c r="J1797" i="33"/>
  <c r="J1796" i="33"/>
  <c r="G1796" i="33"/>
  <c r="I1791" i="33"/>
  <c r="F231" i="30" s="1"/>
  <c r="H1791" i="33"/>
  <c r="E231" i="30" s="1"/>
  <c r="G1791" i="33"/>
  <c r="D231" i="30" s="1"/>
  <c r="F1791" i="33"/>
  <c r="C231" i="30" s="1"/>
  <c r="E1791" i="33"/>
  <c r="D1791" i="33"/>
  <c r="C1791" i="33"/>
  <c r="B1791" i="33"/>
  <c r="O1790" i="33"/>
  <c r="J1790" i="33"/>
  <c r="J1789" i="33"/>
  <c r="O1788" i="33"/>
  <c r="P1788" i="33" s="1"/>
  <c r="J1788" i="33"/>
  <c r="J1787" i="33"/>
  <c r="N1786" i="33"/>
  <c r="P1786" i="33" s="1"/>
  <c r="J1786" i="33"/>
  <c r="I1782" i="33"/>
  <c r="H1782" i="33"/>
  <c r="E230" i="30" s="1"/>
  <c r="G1782" i="33"/>
  <c r="D230" i="30" s="1"/>
  <c r="F1782" i="33"/>
  <c r="C230" i="30" s="1"/>
  <c r="E1782" i="33"/>
  <c r="D1782" i="33"/>
  <c r="C1782" i="33"/>
  <c r="B1782" i="33"/>
  <c r="I1774" i="33"/>
  <c r="F230" i="30" s="1"/>
  <c r="H1774" i="33"/>
  <c r="E229" i="30" s="1"/>
  <c r="G1774" i="33"/>
  <c r="D229" i="30" s="1"/>
  <c r="F1774" i="33"/>
  <c r="C229" i="30" s="1"/>
  <c r="E1774" i="33"/>
  <c r="D1774" i="33"/>
  <c r="C1774" i="33"/>
  <c r="B1774" i="33"/>
  <c r="I1766" i="33"/>
  <c r="F228" i="30" s="1"/>
  <c r="H1766" i="33"/>
  <c r="E228" i="30" s="1"/>
  <c r="G1766" i="33"/>
  <c r="D228" i="30" s="1"/>
  <c r="F1766" i="33"/>
  <c r="C228" i="30" s="1"/>
  <c r="E1766" i="33"/>
  <c r="D1766" i="33"/>
  <c r="C1766" i="33"/>
  <c r="B1766" i="33"/>
  <c r="I1757" i="33"/>
  <c r="F227" i="30" s="1"/>
  <c r="H1757" i="33"/>
  <c r="E227" i="30" s="1"/>
  <c r="G1757" i="33"/>
  <c r="D227" i="30" s="1"/>
  <c r="F1757" i="33"/>
  <c r="C227" i="30" s="1"/>
  <c r="E1757" i="33"/>
  <c r="D1757" i="33"/>
  <c r="C1757" i="33"/>
  <c r="B1757" i="33"/>
  <c r="I1749" i="33"/>
  <c r="F226" i="30" s="1"/>
  <c r="H1749" i="33"/>
  <c r="E226" i="30" s="1"/>
  <c r="G1749" i="33"/>
  <c r="D226" i="30" s="1"/>
  <c r="F1749" i="33"/>
  <c r="C226" i="30" s="1"/>
  <c r="E1749" i="33"/>
  <c r="D1749" i="33"/>
  <c r="C1749" i="33"/>
  <c r="B1749" i="33"/>
  <c r="I1740" i="33"/>
  <c r="H1740" i="33"/>
  <c r="G1740" i="33"/>
  <c r="F1740" i="33"/>
  <c r="E1740" i="33"/>
  <c r="D1740" i="33"/>
  <c r="C1740" i="33"/>
  <c r="B1740" i="33"/>
  <c r="I1732" i="33"/>
  <c r="F224" i="30" s="1"/>
  <c r="H1732" i="33"/>
  <c r="E224" i="30" s="1"/>
  <c r="G1732" i="33"/>
  <c r="D225" i="30" s="1"/>
  <c r="F1732" i="33"/>
  <c r="C225" i="30" s="1"/>
  <c r="E1732" i="33"/>
  <c r="D1732" i="33"/>
  <c r="C1732" i="33"/>
  <c r="B1732" i="33"/>
  <c r="I1724" i="33"/>
  <c r="F223" i="30" s="1"/>
  <c r="H1724" i="33"/>
  <c r="E223" i="30" s="1"/>
  <c r="G1724" i="33"/>
  <c r="D223" i="30" s="1"/>
  <c r="F1724" i="33"/>
  <c r="C223" i="30" s="1"/>
  <c r="E1724" i="33"/>
  <c r="D1724" i="33"/>
  <c r="C1724" i="33"/>
  <c r="B1724" i="33"/>
  <c r="I1716" i="33"/>
  <c r="F222" i="30" s="1"/>
  <c r="H1716" i="33"/>
  <c r="E222" i="30" s="1"/>
  <c r="G1716" i="33"/>
  <c r="D222" i="30" s="1"/>
  <c r="F1716" i="33"/>
  <c r="C222" i="30" s="1"/>
  <c r="E1716" i="33"/>
  <c r="D1716" i="33"/>
  <c r="C1716" i="33"/>
  <c r="B1716" i="33"/>
  <c r="J1715" i="33"/>
  <c r="J1714" i="33"/>
  <c r="J1713" i="33"/>
  <c r="J1712" i="33"/>
  <c r="J1711" i="33"/>
  <c r="I1707" i="33"/>
  <c r="F221" i="30" s="1"/>
  <c r="H1707" i="33"/>
  <c r="G1707" i="33"/>
  <c r="D221" i="30" s="1"/>
  <c r="F1707" i="33"/>
  <c r="C221" i="30" s="1"/>
  <c r="E1707" i="33"/>
  <c r="D1707" i="33"/>
  <c r="C1707" i="33"/>
  <c r="B1707" i="33"/>
  <c r="J1706" i="33"/>
  <c r="J1705" i="33"/>
  <c r="J1704" i="33"/>
  <c r="J1703" i="33"/>
  <c r="I1699" i="33"/>
  <c r="F220" i="30" s="1"/>
  <c r="H1699" i="33"/>
  <c r="E220" i="30" s="1"/>
  <c r="G1699" i="33"/>
  <c r="D220" i="30" s="1"/>
  <c r="F1699" i="33"/>
  <c r="C220" i="30" s="1"/>
  <c r="E1699" i="33"/>
  <c r="D1699" i="33"/>
  <c r="C1699" i="33"/>
  <c r="B1699" i="33"/>
  <c r="J1698" i="33"/>
  <c r="J1697" i="33"/>
  <c r="J1696" i="33"/>
  <c r="J1695" i="33"/>
  <c r="G220" i="30" s="1"/>
  <c r="I1691" i="33"/>
  <c r="F250" i="30" s="1"/>
  <c r="H1691" i="33"/>
  <c r="E250" i="30" s="1"/>
  <c r="G1691" i="33"/>
  <c r="D250" i="30" s="1"/>
  <c r="F1691" i="33"/>
  <c r="C250" i="30" s="1"/>
  <c r="E1691" i="33"/>
  <c r="D1691" i="33"/>
  <c r="C1691" i="33"/>
  <c r="B1691" i="33"/>
  <c r="J1690" i="33"/>
  <c r="J1689" i="33"/>
  <c r="J1688" i="33"/>
  <c r="J1687" i="33"/>
  <c r="J1686" i="33"/>
  <c r="I1682" i="33"/>
  <c r="F249" i="30" s="1"/>
  <c r="H1682" i="33"/>
  <c r="E249" i="30" s="1"/>
  <c r="G1682" i="33"/>
  <c r="D249" i="30" s="1"/>
  <c r="F1682" i="33"/>
  <c r="C249" i="30" s="1"/>
  <c r="E1682" i="33"/>
  <c r="D1682" i="33"/>
  <c r="C1682" i="33"/>
  <c r="B1682" i="33"/>
  <c r="J1681" i="33"/>
  <c r="J1680" i="33"/>
  <c r="J1679" i="33"/>
  <c r="J1678" i="33"/>
  <c r="I1674" i="33"/>
  <c r="F248" i="30" s="1"/>
  <c r="H1674" i="33"/>
  <c r="E248" i="30" s="1"/>
  <c r="G1674" i="33"/>
  <c r="D248" i="30" s="1"/>
  <c r="F1674" i="33"/>
  <c r="C248" i="30" s="1"/>
  <c r="E1674" i="33"/>
  <c r="D1674" i="33"/>
  <c r="C1674" i="33"/>
  <c r="B1674" i="33"/>
  <c r="J1673" i="33"/>
  <c r="J1672" i="33"/>
  <c r="J1671" i="33"/>
  <c r="J1670" i="33"/>
  <c r="I1666" i="33"/>
  <c r="F247" i="30" s="1"/>
  <c r="H1666" i="33"/>
  <c r="E247" i="30" s="1"/>
  <c r="G1666" i="33"/>
  <c r="D247" i="30" s="1"/>
  <c r="F1666" i="33"/>
  <c r="C247" i="30" s="1"/>
  <c r="E1666" i="33"/>
  <c r="D1666" i="33"/>
  <c r="C1666" i="33"/>
  <c r="B1666" i="33"/>
  <c r="J1665" i="33"/>
  <c r="J1664" i="33"/>
  <c r="J1663" i="33"/>
  <c r="J1662" i="33"/>
  <c r="J1661" i="33"/>
  <c r="I1657" i="33"/>
  <c r="F246" i="30" s="1"/>
  <c r="H1657" i="33"/>
  <c r="G1657" i="33"/>
  <c r="D246" i="30" s="1"/>
  <c r="F1657" i="33"/>
  <c r="C246" i="30" s="1"/>
  <c r="E1657" i="33"/>
  <c r="D1657" i="33"/>
  <c r="C1657" i="33"/>
  <c r="B1657" i="33"/>
  <c r="J1656" i="33"/>
  <c r="J1655" i="33"/>
  <c r="J1654" i="33"/>
  <c r="J1653" i="33"/>
  <c r="I1649" i="33"/>
  <c r="F245" i="30" s="1"/>
  <c r="H1649" i="33"/>
  <c r="E245" i="30" s="1"/>
  <c r="G1649" i="33"/>
  <c r="D245" i="30" s="1"/>
  <c r="F1649" i="33"/>
  <c r="C245" i="30" s="1"/>
  <c r="E1649" i="33"/>
  <c r="D1649" i="33"/>
  <c r="C1649" i="33"/>
  <c r="B1649" i="33"/>
  <c r="J1648" i="33"/>
  <c r="J1647" i="33"/>
  <c r="J1646" i="33"/>
  <c r="J1645" i="33"/>
  <c r="J1644" i="33"/>
  <c r="I1640" i="33"/>
  <c r="F244" i="30" s="1"/>
  <c r="H1640" i="33"/>
  <c r="E244" i="30" s="1"/>
  <c r="G1640" i="33"/>
  <c r="D244" i="30" s="1"/>
  <c r="F1640" i="33"/>
  <c r="C244" i="30" s="1"/>
  <c r="E1640" i="33"/>
  <c r="D1640" i="33"/>
  <c r="C1640" i="33"/>
  <c r="B1640" i="33"/>
  <c r="J1639" i="33"/>
  <c r="J1638" i="33"/>
  <c r="J1637" i="33"/>
  <c r="J1636" i="33"/>
  <c r="I1632" i="33"/>
  <c r="F243" i="30" s="1"/>
  <c r="H1632" i="33"/>
  <c r="E243" i="30" s="1"/>
  <c r="G1632" i="33"/>
  <c r="D243" i="30" s="1"/>
  <c r="F1632" i="33"/>
  <c r="C243" i="30" s="1"/>
  <c r="E1632" i="33"/>
  <c r="D1632" i="33"/>
  <c r="C1632" i="33"/>
  <c r="B1632" i="33"/>
  <c r="J1631" i="33"/>
  <c r="J1630" i="33"/>
  <c r="J1629" i="33"/>
  <c r="J1628" i="33"/>
  <c r="I1624" i="33"/>
  <c r="F242" i="30" s="1"/>
  <c r="H1624" i="33"/>
  <c r="E242" i="30" s="1"/>
  <c r="F1624" i="33"/>
  <c r="C242" i="30" s="1"/>
  <c r="E1624" i="33"/>
  <c r="D1624" i="33"/>
  <c r="C1624" i="33"/>
  <c r="B1624" i="33"/>
  <c r="J1623" i="33"/>
  <c r="J1622" i="33"/>
  <c r="J1621" i="33"/>
  <c r="J1620" i="33"/>
  <c r="J1619" i="33"/>
  <c r="I1615" i="33"/>
  <c r="F241" i="30" s="1"/>
  <c r="H1615" i="33"/>
  <c r="E241" i="30" s="1"/>
  <c r="G1615" i="33"/>
  <c r="D241" i="30" s="1"/>
  <c r="F1615" i="33"/>
  <c r="C241" i="30" s="1"/>
  <c r="E1615" i="33"/>
  <c r="D1615" i="33"/>
  <c r="C1615" i="33"/>
  <c r="B1615" i="33"/>
  <c r="J1614" i="33"/>
  <c r="J1613" i="33"/>
  <c r="J1612" i="33"/>
  <c r="J1611" i="33"/>
  <c r="I1607" i="33"/>
  <c r="F240" i="30" s="1"/>
  <c r="H1607" i="33"/>
  <c r="E240" i="30" s="1"/>
  <c r="G1607" i="33"/>
  <c r="D240" i="30" s="1"/>
  <c r="F1607" i="33"/>
  <c r="C240" i="30" s="1"/>
  <c r="E1607" i="33"/>
  <c r="D1607" i="33"/>
  <c r="C1607" i="33"/>
  <c r="B1607" i="33"/>
  <c r="J1606" i="33"/>
  <c r="J1605" i="33"/>
  <c r="J1604" i="33"/>
  <c r="J1603" i="33"/>
  <c r="I1599" i="33"/>
  <c r="F239" i="30" s="1"/>
  <c r="H1599" i="33"/>
  <c r="E239" i="30" s="1"/>
  <c r="G1599" i="33"/>
  <c r="D239" i="30" s="1"/>
  <c r="F1599" i="33"/>
  <c r="C239" i="30" s="1"/>
  <c r="E1599" i="33"/>
  <c r="D1599" i="33"/>
  <c r="C1599" i="33"/>
  <c r="B1599" i="33"/>
  <c r="J1598" i="33"/>
  <c r="J1596" i="33"/>
  <c r="J1595" i="33"/>
  <c r="J1594" i="33"/>
  <c r="I1590" i="33"/>
  <c r="F268" i="30" s="1"/>
  <c r="H1590" i="33"/>
  <c r="E268" i="30" s="1"/>
  <c r="G1590" i="33"/>
  <c r="F1590" i="33"/>
  <c r="E1590" i="33"/>
  <c r="D1590" i="33"/>
  <c r="C1590" i="33"/>
  <c r="B1590" i="33"/>
  <c r="J1589" i="33"/>
  <c r="J1588" i="33"/>
  <c r="J1587" i="33"/>
  <c r="J1586" i="33"/>
  <c r="I1582" i="33"/>
  <c r="F267" i="30" s="1"/>
  <c r="H1582" i="33"/>
  <c r="G1582" i="33"/>
  <c r="F1582" i="33"/>
  <c r="E1582" i="33"/>
  <c r="D1582" i="33"/>
  <c r="C1582" i="33"/>
  <c r="B1582" i="33"/>
  <c r="J1581" i="33"/>
  <c r="J1580" i="33"/>
  <c r="J1579" i="33"/>
  <c r="J1578" i="33"/>
  <c r="I1574" i="33"/>
  <c r="F266" i="30" s="1"/>
  <c r="H1574" i="33"/>
  <c r="G1574" i="33"/>
  <c r="D266" i="30" s="1"/>
  <c r="F1574" i="33"/>
  <c r="J1573" i="33"/>
  <c r="E1573" i="33"/>
  <c r="D1573" i="33"/>
  <c r="C1573" i="33"/>
  <c r="B1573" i="33"/>
  <c r="J1572" i="33"/>
  <c r="E1572" i="33"/>
  <c r="D1572" i="33"/>
  <c r="C1572" i="33"/>
  <c r="B1572" i="33"/>
  <c r="J1571" i="33"/>
  <c r="E1571" i="33"/>
  <c r="D1571" i="33"/>
  <c r="C1571" i="33"/>
  <c r="B1571" i="33"/>
  <c r="J1570" i="33"/>
  <c r="E1570" i="33"/>
  <c r="D1570" i="33"/>
  <c r="C1570" i="33"/>
  <c r="B1570" i="33"/>
  <c r="J1569" i="33"/>
  <c r="E1569" i="33"/>
  <c r="D1569" i="33"/>
  <c r="C1569" i="33"/>
  <c r="B1569" i="33"/>
  <c r="I1565" i="33"/>
  <c r="F265" i="30" s="1"/>
  <c r="H1565" i="33"/>
  <c r="E265" i="30" s="1"/>
  <c r="G1565" i="33"/>
  <c r="D265" i="30" s="1"/>
  <c r="F1565" i="33"/>
  <c r="C265" i="30" s="1"/>
  <c r="E1565" i="33"/>
  <c r="D1565" i="33"/>
  <c r="C1565" i="33"/>
  <c r="B1565" i="33"/>
  <c r="J1564" i="33"/>
  <c r="J1563" i="33"/>
  <c r="J1562" i="33"/>
  <c r="J1561" i="33"/>
  <c r="J1557" i="33"/>
  <c r="G264" i="30" s="1"/>
  <c r="I1557" i="33"/>
  <c r="F264" i="30" s="1"/>
  <c r="H1557" i="33"/>
  <c r="E264" i="30" s="1"/>
  <c r="G1557" i="33"/>
  <c r="D264" i="30" s="1"/>
  <c r="F1557" i="33"/>
  <c r="C264" i="30" s="1"/>
  <c r="E1557" i="33"/>
  <c r="D1557" i="33"/>
  <c r="C1557" i="33"/>
  <c r="B1557" i="33"/>
  <c r="M1549" i="33"/>
  <c r="I1549" i="33"/>
  <c r="F263" i="30" s="1"/>
  <c r="G1549" i="33"/>
  <c r="D263" i="30" s="1"/>
  <c r="F1549" i="33"/>
  <c r="C263" i="30" s="1"/>
  <c r="J1548" i="33"/>
  <c r="E1548" i="33"/>
  <c r="D1548" i="33"/>
  <c r="C1548" i="33"/>
  <c r="B1548" i="33"/>
  <c r="J1547" i="33"/>
  <c r="E1547" i="33"/>
  <c r="D1547" i="33"/>
  <c r="C1547" i="33"/>
  <c r="B1547" i="33"/>
  <c r="J1546" i="33"/>
  <c r="E1546" i="33"/>
  <c r="D1546" i="33"/>
  <c r="C1546" i="33"/>
  <c r="B1546" i="33"/>
  <c r="J1545" i="33"/>
  <c r="E1545" i="33"/>
  <c r="D1545" i="33"/>
  <c r="C1545" i="33"/>
  <c r="B1545" i="33"/>
  <c r="J1544" i="33"/>
  <c r="E1544" i="33"/>
  <c r="D1544" i="33"/>
  <c r="C1544" i="33"/>
  <c r="B1544" i="33"/>
  <c r="G1540" i="33"/>
  <c r="D262" i="30" s="1"/>
  <c r="F1540" i="33"/>
  <c r="C262" i="30" s="1"/>
  <c r="J1539" i="33"/>
  <c r="I1539" i="33"/>
  <c r="E1539" i="33"/>
  <c r="D1539" i="33"/>
  <c r="C1539" i="33"/>
  <c r="B1539" i="33"/>
  <c r="J1538" i="33"/>
  <c r="I1538" i="33"/>
  <c r="E1538" i="33"/>
  <c r="D1538" i="33"/>
  <c r="C1538" i="33"/>
  <c r="B1538" i="33"/>
  <c r="J1537" i="33"/>
  <c r="I1537" i="33"/>
  <c r="E1537" i="33"/>
  <c r="D1537" i="33"/>
  <c r="C1537" i="33"/>
  <c r="B1537" i="33"/>
  <c r="J1536" i="33"/>
  <c r="I1536" i="33"/>
  <c r="E1536" i="33"/>
  <c r="D1536" i="33"/>
  <c r="C1536" i="33"/>
  <c r="B1536" i="33"/>
  <c r="I1532" i="33"/>
  <c r="F261" i="30" s="1"/>
  <c r="G1532" i="33"/>
  <c r="D261" i="30" s="1"/>
  <c r="F1532" i="33"/>
  <c r="C261" i="30" s="1"/>
  <c r="J1531" i="33"/>
  <c r="E1531" i="33"/>
  <c r="D1531" i="33"/>
  <c r="C1531" i="33"/>
  <c r="B1531" i="33"/>
  <c r="J1530" i="33"/>
  <c r="E1530" i="33"/>
  <c r="D1530" i="33"/>
  <c r="C1530" i="33"/>
  <c r="B1530" i="33"/>
  <c r="J1529" i="33"/>
  <c r="E1529" i="33"/>
  <c r="D1529" i="33"/>
  <c r="C1529" i="33"/>
  <c r="B1529" i="33"/>
  <c r="J1528" i="33"/>
  <c r="E1528" i="33"/>
  <c r="D1528" i="33"/>
  <c r="C1528" i="33"/>
  <c r="B1528" i="33"/>
  <c r="I1524" i="33"/>
  <c r="G1524" i="33"/>
  <c r="F1524" i="33"/>
  <c r="J1523" i="33"/>
  <c r="E1523" i="33"/>
  <c r="D1523" i="33"/>
  <c r="C1523" i="33"/>
  <c r="B1523" i="33"/>
  <c r="J1522" i="33"/>
  <c r="E1522" i="33"/>
  <c r="D1522" i="33"/>
  <c r="C1522" i="33"/>
  <c r="B1522" i="33"/>
  <c r="J1521" i="33"/>
  <c r="E1521" i="33"/>
  <c r="D1521" i="33"/>
  <c r="C1521" i="33"/>
  <c r="B1521" i="33"/>
  <c r="J1520" i="33"/>
  <c r="E1520" i="33"/>
  <c r="D1520" i="33"/>
  <c r="C1520" i="33"/>
  <c r="B1520" i="33"/>
  <c r="J1519" i="33"/>
  <c r="G260" i="30" s="1"/>
  <c r="E1519" i="33"/>
  <c r="D1519" i="33"/>
  <c r="C1519" i="33"/>
  <c r="B1519" i="33"/>
  <c r="I1515" i="33"/>
  <c r="G1515" i="33"/>
  <c r="F1515" i="33"/>
  <c r="J1514" i="33"/>
  <c r="E1514" i="33"/>
  <c r="D1514" i="33"/>
  <c r="C1514" i="33"/>
  <c r="B1514" i="33"/>
  <c r="J1513" i="33"/>
  <c r="E1513" i="33"/>
  <c r="D1513" i="33"/>
  <c r="C1513" i="33"/>
  <c r="B1513" i="33"/>
  <c r="J1512" i="33"/>
  <c r="E1512" i="33"/>
  <c r="D1512" i="33"/>
  <c r="C1512" i="33"/>
  <c r="B1512" i="33"/>
  <c r="J1511" i="33"/>
  <c r="E1511" i="33"/>
  <c r="D1511" i="33"/>
  <c r="C1511" i="33"/>
  <c r="B1511" i="33"/>
  <c r="I1507" i="33"/>
  <c r="H1507" i="33"/>
  <c r="G1507" i="33"/>
  <c r="F1507" i="33"/>
  <c r="J1506" i="33"/>
  <c r="E1506" i="33"/>
  <c r="D1506" i="33"/>
  <c r="C1506" i="33"/>
  <c r="B1506" i="33"/>
  <c r="J1505" i="33"/>
  <c r="E1505" i="33"/>
  <c r="D1505" i="33"/>
  <c r="C1505" i="33"/>
  <c r="B1505" i="33"/>
  <c r="J1504" i="33"/>
  <c r="E1504" i="33"/>
  <c r="D1504" i="33"/>
  <c r="C1504" i="33"/>
  <c r="B1504" i="33"/>
  <c r="J1503" i="33"/>
  <c r="E1503" i="33"/>
  <c r="D1503" i="33"/>
  <c r="C1503" i="33"/>
  <c r="B1503" i="33"/>
  <c r="I1499" i="33"/>
  <c r="H1499" i="33"/>
  <c r="G1499" i="33"/>
  <c r="F1499" i="33"/>
  <c r="J1498" i="33"/>
  <c r="E1498" i="33"/>
  <c r="D1498" i="33"/>
  <c r="C1498" i="33"/>
  <c r="B1498" i="33"/>
  <c r="J1497" i="33"/>
  <c r="E1497" i="33"/>
  <c r="D1497" i="33"/>
  <c r="C1497" i="33"/>
  <c r="B1497" i="33"/>
  <c r="J1496" i="33"/>
  <c r="E1496" i="33"/>
  <c r="D1496" i="33"/>
  <c r="C1496" i="33"/>
  <c r="B1496" i="33"/>
  <c r="J1495" i="33"/>
  <c r="E1495" i="33"/>
  <c r="D1495" i="33"/>
  <c r="C1495" i="33"/>
  <c r="B1495" i="33"/>
  <c r="J1494" i="33"/>
  <c r="E1494" i="33"/>
  <c r="D1494" i="33"/>
  <c r="C1494" i="33"/>
  <c r="B1494" i="33"/>
  <c r="I1490" i="33"/>
  <c r="H1490" i="33"/>
  <c r="G1490" i="33"/>
  <c r="F1490" i="33"/>
  <c r="J1489" i="33"/>
  <c r="E1489" i="33"/>
  <c r="D1489" i="33"/>
  <c r="C1489" i="33"/>
  <c r="B1489" i="33"/>
  <c r="J1488" i="33"/>
  <c r="E1488" i="33"/>
  <c r="D1488" i="33"/>
  <c r="C1488" i="33"/>
  <c r="B1488" i="33"/>
  <c r="J1487" i="33"/>
  <c r="E1487" i="33"/>
  <c r="D1487" i="33"/>
  <c r="C1487" i="33"/>
  <c r="B1487" i="33"/>
  <c r="J1486" i="33"/>
  <c r="E1486" i="33"/>
  <c r="D1486" i="33"/>
  <c r="C1486" i="33"/>
  <c r="B1486" i="33"/>
  <c r="I1482" i="33"/>
  <c r="H1482" i="33"/>
  <c r="G1482" i="33"/>
  <c r="F1482" i="33"/>
  <c r="J1481" i="33"/>
  <c r="E1481" i="33"/>
  <c r="D1481" i="33"/>
  <c r="C1481" i="33"/>
  <c r="B1481" i="33"/>
  <c r="J1480" i="33"/>
  <c r="E1480" i="33"/>
  <c r="D1480" i="33"/>
  <c r="C1480" i="33"/>
  <c r="B1480" i="33"/>
  <c r="J1479" i="33"/>
  <c r="E1479" i="33"/>
  <c r="D1479" i="33"/>
  <c r="C1479" i="33"/>
  <c r="B1479" i="33"/>
  <c r="J1478" i="33"/>
  <c r="E1478" i="33"/>
  <c r="D1478" i="33"/>
  <c r="C1478" i="33"/>
  <c r="B1478" i="33"/>
  <c r="I1474" i="33"/>
  <c r="H1474" i="33"/>
  <c r="G1474" i="33"/>
  <c r="F1474" i="33"/>
  <c r="J1473" i="33"/>
  <c r="E1473" i="33"/>
  <c r="D1473" i="33"/>
  <c r="C1473" i="33"/>
  <c r="B1473" i="33"/>
  <c r="J1472" i="33"/>
  <c r="E1472" i="33"/>
  <c r="D1472" i="33"/>
  <c r="C1472" i="33"/>
  <c r="B1472" i="33"/>
  <c r="J1471" i="33"/>
  <c r="E1471" i="33"/>
  <c r="D1471" i="33"/>
  <c r="C1471" i="33"/>
  <c r="B1471" i="33"/>
  <c r="J1470" i="33"/>
  <c r="E1470" i="33"/>
  <c r="D1470" i="33"/>
  <c r="C1470" i="33"/>
  <c r="B1470" i="33"/>
  <c r="J1469" i="33"/>
  <c r="E1469" i="33"/>
  <c r="D1469" i="33"/>
  <c r="C1469" i="33"/>
  <c r="B1469" i="33"/>
  <c r="I1465" i="33"/>
  <c r="H1465" i="33"/>
  <c r="G1465" i="33"/>
  <c r="F1465" i="33"/>
  <c r="J1464" i="33"/>
  <c r="E1464" i="33"/>
  <c r="D1464" i="33"/>
  <c r="C1464" i="33"/>
  <c r="B1464" i="33"/>
  <c r="J1463" i="33"/>
  <c r="E1463" i="33"/>
  <c r="D1463" i="33"/>
  <c r="C1463" i="33"/>
  <c r="B1463" i="33"/>
  <c r="J1462" i="33"/>
  <c r="E1462" i="33"/>
  <c r="D1462" i="33"/>
  <c r="C1462" i="33"/>
  <c r="B1462" i="33"/>
  <c r="J1461" i="33"/>
  <c r="E1461" i="33"/>
  <c r="D1461" i="33"/>
  <c r="C1461" i="33"/>
  <c r="B1461" i="33"/>
  <c r="I1457" i="33"/>
  <c r="H1457" i="33"/>
  <c r="G1457" i="33"/>
  <c r="F1457" i="33"/>
  <c r="J1456" i="33"/>
  <c r="A1456" i="33"/>
  <c r="C1456" i="33" s="1"/>
  <c r="J1455" i="33"/>
  <c r="A1455" i="33"/>
  <c r="B1455" i="33" s="1"/>
  <c r="J1454" i="33"/>
  <c r="A1454" i="33"/>
  <c r="E1454" i="33" s="1"/>
  <c r="J1453" i="33"/>
  <c r="A1453" i="33"/>
  <c r="E1453" i="33" s="1"/>
  <c r="J1452" i="33"/>
  <c r="A1452" i="33"/>
  <c r="D1452" i="33" s="1"/>
  <c r="I1448" i="33"/>
  <c r="H1448" i="33"/>
  <c r="G1448" i="33"/>
  <c r="F1448" i="33"/>
  <c r="J1447" i="33"/>
  <c r="E1447" i="33"/>
  <c r="D1447" i="33"/>
  <c r="C1447" i="33"/>
  <c r="B1447" i="33"/>
  <c r="J1446" i="33"/>
  <c r="E1446" i="33"/>
  <c r="D1446" i="33"/>
  <c r="C1446" i="33"/>
  <c r="B1446" i="33"/>
  <c r="J1445" i="33"/>
  <c r="E1445" i="33"/>
  <c r="D1445" i="33"/>
  <c r="C1445" i="33"/>
  <c r="B1445" i="33"/>
  <c r="J1444" i="33"/>
  <c r="E1444" i="33"/>
  <c r="D1444" i="33"/>
  <c r="C1444" i="33"/>
  <c r="B1444" i="33"/>
  <c r="I1440" i="33"/>
  <c r="H1440" i="33"/>
  <c r="G1440" i="33"/>
  <c r="F1440" i="33"/>
  <c r="J1439" i="33"/>
  <c r="J1438" i="33"/>
  <c r="E1438" i="33"/>
  <c r="D1438" i="33"/>
  <c r="C1438" i="33"/>
  <c r="B1438" i="33"/>
  <c r="J1437" i="33"/>
  <c r="E1437" i="33"/>
  <c r="D1437" i="33"/>
  <c r="C1437" i="33"/>
  <c r="B1437" i="33"/>
  <c r="J1436" i="33"/>
  <c r="E1436" i="33"/>
  <c r="D1436" i="33"/>
  <c r="C1436" i="33"/>
  <c r="B1436" i="33"/>
  <c r="I1432" i="33"/>
  <c r="H1432" i="33"/>
  <c r="G1432" i="33"/>
  <c r="F1432" i="33"/>
  <c r="J1431" i="33"/>
  <c r="E1431" i="33"/>
  <c r="D1431" i="33"/>
  <c r="C1431" i="33"/>
  <c r="B1431" i="33"/>
  <c r="J1430" i="33"/>
  <c r="E1430" i="33"/>
  <c r="D1430" i="33"/>
  <c r="C1430" i="33"/>
  <c r="B1430" i="33"/>
  <c r="J1429" i="33"/>
  <c r="E1429" i="33"/>
  <c r="D1429" i="33"/>
  <c r="C1429" i="33"/>
  <c r="B1429" i="33"/>
  <c r="J1428" i="33"/>
  <c r="E1428" i="33"/>
  <c r="D1428" i="33"/>
  <c r="C1428" i="33"/>
  <c r="B1428" i="33"/>
  <c r="J1427" i="33"/>
  <c r="E1427" i="33"/>
  <c r="D1427" i="33"/>
  <c r="C1427" i="33"/>
  <c r="B1427" i="33"/>
  <c r="I1423" i="33"/>
  <c r="H1423" i="33"/>
  <c r="G1423" i="33"/>
  <c r="F1423" i="33"/>
  <c r="J1422" i="33"/>
  <c r="E1422" i="33"/>
  <c r="D1422" i="33"/>
  <c r="C1422" i="33"/>
  <c r="B1422" i="33"/>
  <c r="J1421" i="33"/>
  <c r="E1421" i="33"/>
  <c r="D1421" i="33"/>
  <c r="C1421" i="33"/>
  <c r="B1421" i="33"/>
  <c r="J1420" i="33"/>
  <c r="E1420" i="33"/>
  <c r="D1420" i="33"/>
  <c r="C1420" i="33"/>
  <c r="B1420" i="33"/>
  <c r="J1419" i="33"/>
  <c r="E1419" i="33"/>
  <c r="D1419" i="33"/>
  <c r="C1419" i="33"/>
  <c r="B1419" i="33"/>
  <c r="I1415" i="33"/>
  <c r="H1415" i="33"/>
  <c r="G1415" i="33"/>
  <c r="F1415" i="33"/>
  <c r="J1414" i="33"/>
  <c r="E1414" i="33"/>
  <c r="D1414" i="33"/>
  <c r="C1414" i="33"/>
  <c r="B1414" i="33"/>
  <c r="J1413" i="33"/>
  <c r="E1413" i="33"/>
  <c r="D1413" i="33"/>
  <c r="C1413" i="33"/>
  <c r="B1413" i="33"/>
  <c r="J1412" i="33"/>
  <c r="E1412" i="33"/>
  <c r="D1412" i="33"/>
  <c r="C1412" i="33"/>
  <c r="B1412" i="33"/>
  <c r="J1411" i="33"/>
  <c r="E1411" i="33"/>
  <c r="D1411" i="33"/>
  <c r="C1411" i="33"/>
  <c r="B1411" i="33"/>
  <c r="I1407" i="33"/>
  <c r="H1407" i="33"/>
  <c r="F1407" i="33"/>
  <c r="J1406" i="33"/>
  <c r="G1406" i="33"/>
  <c r="E1406" i="33"/>
  <c r="D1406" i="33"/>
  <c r="C1406" i="33"/>
  <c r="B1406" i="33"/>
  <c r="J1405" i="33"/>
  <c r="G1405" i="33"/>
  <c r="E1405" i="33"/>
  <c r="D1405" i="33"/>
  <c r="C1405" i="33"/>
  <c r="B1405" i="33"/>
  <c r="J1404" i="33"/>
  <c r="G1404" i="33"/>
  <c r="E1404" i="33"/>
  <c r="D1404" i="33"/>
  <c r="C1404" i="33"/>
  <c r="B1404" i="33"/>
  <c r="J1403" i="33"/>
  <c r="G1403" i="33"/>
  <c r="E1403" i="33"/>
  <c r="D1403" i="33"/>
  <c r="C1403" i="33"/>
  <c r="B1403" i="33"/>
  <c r="I1399" i="33"/>
  <c r="H1399" i="33"/>
  <c r="F1399" i="33"/>
  <c r="J1398" i="33"/>
  <c r="G1398" i="33"/>
  <c r="E1398" i="33"/>
  <c r="D1398" i="33"/>
  <c r="C1398" i="33"/>
  <c r="B1398" i="33"/>
  <c r="J1397" i="33"/>
  <c r="G1397" i="33"/>
  <c r="E1397" i="33"/>
  <c r="D1397" i="33"/>
  <c r="C1397" i="33"/>
  <c r="B1397" i="33"/>
  <c r="J1396" i="33"/>
  <c r="G1396" i="33"/>
  <c r="E1396" i="33"/>
  <c r="D1396" i="33"/>
  <c r="C1396" i="33"/>
  <c r="B1396" i="33"/>
  <c r="J1395" i="33"/>
  <c r="G1395" i="33"/>
  <c r="E1395" i="33"/>
  <c r="D1395" i="33"/>
  <c r="C1395" i="33"/>
  <c r="B1395" i="33"/>
  <c r="J1394" i="33"/>
  <c r="G1394" i="33"/>
  <c r="E1394" i="33"/>
  <c r="D1394" i="33"/>
  <c r="C1394" i="33"/>
  <c r="B1394" i="33"/>
  <c r="I1390" i="33"/>
  <c r="H1390" i="33"/>
  <c r="G1390" i="33"/>
  <c r="F1390" i="33"/>
  <c r="J1389" i="33"/>
  <c r="E1389" i="33"/>
  <c r="D1389" i="33"/>
  <c r="C1389" i="33"/>
  <c r="B1389" i="33"/>
  <c r="J1388" i="33"/>
  <c r="E1388" i="33"/>
  <c r="D1388" i="33"/>
  <c r="C1388" i="33"/>
  <c r="B1388" i="33"/>
  <c r="J1387" i="33"/>
  <c r="E1387" i="33"/>
  <c r="D1387" i="33"/>
  <c r="C1387" i="33"/>
  <c r="B1387" i="33"/>
  <c r="J1386" i="33"/>
  <c r="E1386" i="33"/>
  <c r="D1386" i="33"/>
  <c r="C1386" i="33"/>
  <c r="B1386" i="33"/>
  <c r="I1382" i="33"/>
  <c r="H1382" i="33"/>
  <c r="G1382" i="33"/>
  <c r="F1382" i="33"/>
  <c r="J1381" i="33"/>
  <c r="E1381" i="33"/>
  <c r="D1381" i="33"/>
  <c r="C1381" i="33"/>
  <c r="B1381" i="33"/>
  <c r="J1380" i="33"/>
  <c r="E1380" i="33"/>
  <c r="D1380" i="33"/>
  <c r="C1380" i="33"/>
  <c r="B1380" i="33"/>
  <c r="J1379" i="33"/>
  <c r="E1379" i="33"/>
  <c r="D1379" i="33"/>
  <c r="C1379" i="33"/>
  <c r="B1379" i="33"/>
  <c r="J1378" i="33"/>
  <c r="E1378" i="33"/>
  <c r="D1378" i="33"/>
  <c r="C1378" i="33"/>
  <c r="B1378" i="33"/>
  <c r="J1377" i="33"/>
  <c r="E1377" i="33"/>
  <c r="D1377" i="33"/>
  <c r="C1377" i="33"/>
  <c r="B1377" i="33"/>
  <c r="I1373" i="33"/>
  <c r="H1373" i="33"/>
  <c r="G1373" i="33"/>
  <c r="F1373" i="33"/>
  <c r="J1372" i="33"/>
  <c r="E1372" i="33"/>
  <c r="D1372" i="33"/>
  <c r="C1372" i="33"/>
  <c r="B1372" i="33"/>
  <c r="J1371" i="33"/>
  <c r="E1371" i="33"/>
  <c r="D1371" i="33"/>
  <c r="C1371" i="33"/>
  <c r="B1371" i="33"/>
  <c r="J1370" i="33"/>
  <c r="E1370" i="33"/>
  <c r="D1370" i="33"/>
  <c r="C1370" i="33"/>
  <c r="B1370" i="33"/>
  <c r="J1369" i="33"/>
  <c r="E1369" i="33"/>
  <c r="D1369" i="33"/>
  <c r="C1369" i="33"/>
  <c r="B1369" i="33"/>
  <c r="J1368" i="33"/>
  <c r="E1368" i="33"/>
  <c r="D1368" i="33"/>
  <c r="C1368" i="33"/>
  <c r="B1368" i="33"/>
  <c r="I1364" i="33"/>
  <c r="H1364" i="33"/>
  <c r="G1364" i="33"/>
  <c r="F1364" i="33"/>
  <c r="J1363" i="33"/>
  <c r="E1363" i="33"/>
  <c r="D1363" i="33"/>
  <c r="C1363" i="33"/>
  <c r="B1363" i="33"/>
  <c r="J1362" i="33"/>
  <c r="E1362" i="33"/>
  <c r="D1362" i="33"/>
  <c r="C1362" i="33"/>
  <c r="B1362" i="33"/>
  <c r="J1361" i="33"/>
  <c r="E1361" i="33"/>
  <c r="D1361" i="33"/>
  <c r="C1361" i="33"/>
  <c r="B1361" i="33"/>
  <c r="J1360" i="33"/>
  <c r="E1360" i="33"/>
  <c r="D1360" i="33"/>
  <c r="C1360" i="33"/>
  <c r="B1360" i="33"/>
  <c r="I1356" i="33"/>
  <c r="H1356" i="33"/>
  <c r="G1356" i="33"/>
  <c r="F1356" i="33"/>
  <c r="J1355" i="33"/>
  <c r="E1355" i="33"/>
  <c r="D1355" i="33"/>
  <c r="C1355" i="33"/>
  <c r="B1355" i="33"/>
  <c r="J1354" i="33"/>
  <c r="E1354" i="33"/>
  <c r="D1354" i="33"/>
  <c r="C1354" i="33"/>
  <c r="B1354" i="33"/>
  <c r="J1353" i="33"/>
  <c r="E1353" i="33"/>
  <c r="D1353" i="33"/>
  <c r="C1353" i="33"/>
  <c r="B1353" i="33"/>
  <c r="J1352" i="33"/>
  <c r="E1352" i="33"/>
  <c r="D1352" i="33"/>
  <c r="C1352" i="33"/>
  <c r="B1352" i="33"/>
  <c r="J1351" i="33"/>
  <c r="E1351" i="33"/>
  <c r="D1351" i="33"/>
  <c r="C1351" i="33"/>
  <c r="B1351" i="33"/>
  <c r="I1347" i="33"/>
  <c r="H1347" i="33"/>
  <c r="G1347" i="33"/>
  <c r="F1347" i="33"/>
  <c r="J1346" i="33"/>
  <c r="E1346" i="33"/>
  <c r="D1346" i="33"/>
  <c r="C1346" i="33"/>
  <c r="B1346" i="33"/>
  <c r="J1345" i="33"/>
  <c r="E1345" i="33"/>
  <c r="D1345" i="33"/>
  <c r="C1345" i="33"/>
  <c r="B1345" i="33"/>
  <c r="J1344" i="33"/>
  <c r="E1344" i="33"/>
  <c r="D1344" i="33"/>
  <c r="C1344" i="33"/>
  <c r="B1344" i="33"/>
  <c r="J1343" i="33"/>
  <c r="E1343" i="33"/>
  <c r="D1343" i="33"/>
  <c r="C1343" i="33"/>
  <c r="B1343" i="33"/>
  <c r="I1339" i="33"/>
  <c r="H1339" i="33"/>
  <c r="G1339" i="33"/>
  <c r="F1339" i="33"/>
  <c r="J1338" i="33"/>
  <c r="E1338" i="33"/>
  <c r="D1338" i="33"/>
  <c r="C1338" i="33"/>
  <c r="B1338" i="33"/>
  <c r="J1337" i="33"/>
  <c r="E1337" i="33"/>
  <c r="D1337" i="33"/>
  <c r="C1337" i="33"/>
  <c r="B1337" i="33"/>
  <c r="J1336" i="33"/>
  <c r="E1336" i="33"/>
  <c r="D1336" i="33"/>
  <c r="C1336" i="33"/>
  <c r="B1336" i="33"/>
  <c r="J1335" i="33"/>
  <c r="E1335" i="33"/>
  <c r="D1335" i="33"/>
  <c r="C1335" i="33"/>
  <c r="B1335" i="33"/>
  <c r="I1331" i="33"/>
  <c r="H1331" i="33"/>
  <c r="G1331" i="33"/>
  <c r="F1331" i="33"/>
  <c r="J1330" i="33"/>
  <c r="E1330" i="33"/>
  <c r="D1330" i="33"/>
  <c r="C1330" i="33"/>
  <c r="B1330" i="33"/>
  <c r="J1329" i="33"/>
  <c r="E1329" i="33"/>
  <c r="D1329" i="33"/>
  <c r="C1329" i="33"/>
  <c r="B1329" i="33"/>
  <c r="J1328" i="33"/>
  <c r="E1328" i="33"/>
  <c r="D1328" i="33"/>
  <c r="C1328" i="33"/>
  <c r="B1328" i="33"/>
  <c r="J1327" i="33"/>
  <c r="E1327" i="33"/>
  <c r="D1327" i="33"/>
  <c r="C1327" i="33"/>
  <c r="B1327" i="33"/>
  <c r="J1326" i="33"/>
  <c r="E1326" i="33"/>
  <c r="D1326" i="33"/>
  <c r="C1326" i="33"/>
  <c r="B1326" i="33"/>
  <c r="I1322" i="33"/>
  <c r="H1322" i="33"/>
  <c r="G1322" i="33"/>
  <c r="F1322" i="33"/>
  <c r="J1321" i="33"/>
  <c r="E1321" i="33"/>
  <c r="D1321" i="33"/>
  <c r="C1321" i="33"/>
  <c r="B1321" i="33"/>
  <c r="J1320" i="33"/>
  <c r="E1320" i="33"/>
  <c r="D1320" i="33"/>
  <c r="C1320" i="33"/>
  <c r="B1320" i="33"/>
  <c r="J1319" i="33"/>
  <c r="E1319" i="33"/>
  <c r="D1319" i="33"/>
  <c r="C1319" i="33"/>
  <c r="B1319" i="33"/>
  <c r="J1318" i="33"/>
  <c r="E1318" i="33"/>
  <c r="D1318" i="33"/>
  <c r="C1318" i="33"/>
  <c r="B1318" i="33"/>
  <c r="I1314" i="33"/>
  <c r="H1314" i="33"/>
  <c r="G1314" i="33"/>
  <c r="F1314" i="33"/>
  <c r="J1313" i="33"/>
  <c r="E1313" i="33"/>
  <c r="D1313" i="33"/>
  <c r="C1313" i="33"/>
  <c r="B1313" i="33"/>
  <c r="J1312" i="33"/>
  <c r="E1312" i="33"/>
  <c r="D1312" i="33"/>
  <c r="C1312" i="33"/>
  <c r="B1312" i="33"/>
  <c r="J1311" i="33"/>
  <c r="E1311" i="33"/>
  <c r="D1311" i="33"/>
  <c r="C1311" i="33"/>
  <c r="B1311" i="33"/>
  <c r="J1310" i="33"/>
  <c r="E1310" i="33"/>
  <c r="D1310" i="33"/>
  <c r="C1310" i="33"/>
  <c r="B1310" i="33"/>
  <c r="J1309" i="33"/>
  <c r="E1309" i="33"/>
  <c r="D1309" i="33"/>
  <c r="C1309" i="33"/>
  <c r="B1309" i="33"/>
  <c r="I1305" i="33"/>
  <c r="H1305" i="33"/>
  <c r="G1305" i="33"/>
  <c r="F1305" i="33"/>
  <c r="J1304" i="33"/>
  <c r="E1304" i="33"/>
  <c r="D1304" i="33"/>
  <c r="C1304" i="33"/>
  <c r="B1304" i="33"/>
  <c r="J1303" i="33"/>
  <c r="E1303" i="33"/>
  <c r="D1303" i="33"/>
  <c r="C1303" i="33"/>
  <c r="B1303" i="33"/>
  <c r="J1302" i="33"/>
  <c r="E1302" i="33"/>
  <c r="D1302" i="33"/>
  <c r="C1302" i="33"/>
  <c r="B1302" i="33"/>
  <c r="J1301" i="33"/>
  <c r="E1301" i="33"/>
  <c r="D1301" i="33"/>
  <c r="C1301" i="33"/>
  <c r="B1301" i="33"/>
  <c r="I1297" i="33"/>
  <c r="H1297" i="33"/>
  <c r="G1297" i="33"/>
  <c r="F1297" i="33"/>
  <c r="J1296" i="33"/>
  <c r="E1296" i="33"/>
  <c r="D1296" i="33"/>
  <c r="C1296" i="33"/>
  <c r="B1296" i="33"/>
  <c r="J1295" i="33"/>
  <c r="E1295" i="33"/>
  <c r="D1295" i="33"/>
  <c r="C1295" i="33"/>
  <c r="B1295" i="33"/>
  <c r="J1294" i="33"/>
  <c r="E1294" i="33"/>
  <c r="D1294" i="33"/>
  <c r="C1294" i="33"/>
  <c r="B1294" i="33"/>
  <c r="J1293" i="33"/>
  <c r="E1293" i="33"/>
  <c r="D1293" i="33"/>
  <c r="C1293" i="33"/>
  <c r="B1293" i="33"/>
  <c r="I1289" i="33"/>
  <c r="H1289" i="33"/>
  <c r="G1289" i="33"/>
  <c r="F1289" i="33"/>
  <c r="J1288" i="33"/>
  <c r="E1288" i="33"/>
  <c r="D1288" i="33"/>
  <c r="C1288" i="33"/>
  <c r="B1288" i="33"/>
  <c r="J1287" i="33"/>
  <c r="E1287" i="33"/>
  <c r="D1287" i="33"/>
  <c r="C1287" i="33"/>
  <c r="B1287" i="33"/>
  <c r="J1286" i="33"/>
  <c r="E1286" i="33"/>
  <c r="D1286" i="33"/>
  <c r="C1286" i="33"/>
  <c r="B1286" i="33"/>
  <c r="J1285" i="33"/>
  <c r="E1285" i="33"/>
  <c r="D1285" i="33"/>
  <c r="C1285" i="33"/>
  <c r="B1285" i="33"/>
  <c r="I1281" i="33"/>
  <c r="H1281" i="33"/>
  <c r="G1281" i="33"/>
  <c r="F1281" i="33"/>
  <c r="J1280" i="33"/>
  <c r="E1280" i="33"/>
  <c r="D1280" i="33"/>
  <c r="C1280" i="33"/>
  <c r="B1280" i="33"/>
  <c r="J1279" i="33"/>
  <c r="E1279" i="33"/>
  <c r="D1279" i="33"/>
  <c r="C1279" i="33"/>
  <c r="B1279" i="33"/>
  <c r="J1278" i="33"/>
  <c r="E1278" i="33"/>
  <c r="D1278" i="33"/>
  <c r="C1278" i="33"/>
  <c r="B1278" i="33"/>
  <c r="J1277" i="33"/>
  <c r="E1277" i="33"/>
  <c r="D1277" i="33"/>
  <c r="C1277" i="33"/>
  <c r="B1277" i="33"/>
  <c r="J1276" i="33"/>
  <c r="E1276" i="33"/>
  <c r="D1276" i="33"/>
  <c r="C1276" i="33"/>
  <c r="B1276" i="33"/>
  <c r="I1272" i="33"/>
  <c r="H1272" i="33"/>
  <c r="G1272" i="33"/>
  <c r="F1272" i="33"/>
  <c r="J1271" i="33"/>
  <c r="E1271" i="33"/>
  <c r="D1271" i="33"/>
  <c r="C1271" i="33"/>
  <c r="B1271" i="33"/>
  <c r="J1270" i="33"/>
  <c r="E1270" i="33"/>
  <c r="D1270" i="33"/>
  <c r="C1270" i="33"/>
  <c r="B1270" i="33"/>
  <c r="J1269" i="33"/>
  <c r="E1269" i="33"/>
  <c r="D1269" i="33"/>
  <c r="C1269" i="33"/>
  <c r="B1269" i="33"/>
  <c r="J1268" i="33"/>
  <c r="E1268" i="33"/>
  <c r="D1268" i="33"/>
  <c r="C1268" i="33"/>
  <c r="B1268" i="33"/>
  <c r="I1264" i="33"/>
  <c r="H1264" i="33"/>
  <c r="G1264" i="33"/>
  <c r="F1264" i="33"/>
  <c r="J1263" i="33"/>
  <c r="E1263" i="33"/>
  <c r="D1263" i="33"/>
  <c r="C1263" i="33"/>
  <c r="B1263" i="33"/>
  <c r="J1262" i="33"/>
  <c r="E1262" i="33"/>
  <c r="D1262" i="33"/>
  <c r="C1262" i="33"/>
  <c r="B1262" i="33"/>
  <c r="J1261" i="33"/>
  <c r="E1261" i="33"/>
  <c r="D1261" i="33"/>
  <c r="C1261" i="33"/>
  <c r="B1261" i="33"/>
  <c r="J1260" i="33"/>
  <c r="E1260" i="33"/>
  <c r="D1260" i="33"/>
  <c r="C1260" i="33"/>
  <c r="B1260" i="33"/>
  <c r="I1256" i="33"/>
  <c r="H1256" i="33"/>
  <c r="G1256" i="33"/>
  <c r="F1256" i="33"/>
  <c r="J1255" i="33"/>
  <c r="E1255" i="33"/>
  <c r="D1255" i="33"/>
  <c r="C1255" i="33"/>
  <c r="B1255" i="33"/>
  <c r="J1254" i="33"/>
  <c r="E1254" i="33"/>
  <c r="D1254" i="33"/>
  <c r="C1254" i="33"/>
  <c r="B1254" i="33"/>
  <c r="J1253" i="33"/>
  <c r="E1253" i="33"/>
  <c r="D1253" i="33"/>
  <c r="C1253" i="33"/>
  <c r="B1253" i="33"/>
  <c r="J1252" i="33"/>
  <c r="E1252" i="33"/>
  <c r="D1252" i="33"/>
  <c r="C1252" i="33"/>
  <c r="B1252" i="33"/>
  <c r="J1251" i="33"/>
  <c r="E1251" i="33"/>
  <c r="D1251" i="33"/>
  <c r="C1251" i="33"/>
  <c r="B1251" i="33"/>
  <c r="I1247" i="33"/>
  <c r="H1247" i="33"/>
  <c r="G1247" i="33"/>
  <c r="F1247" i="33"/>
  <c r="J1246" i="33"/>
  <c r="E1246" i="33"/>
  <c r="D1246" i="33"/>
  <c r="C1246" i="33"/>
  <c r="B1246" i="33"/>
  <c r="J1245" i="33"/>
  <c r="E1245" i="33"/>
  <c r="D1245" i="33"/>
  <c r="C1245" i="33"/>
  <c r="B1245" i="33"/>
  <c r="J1244" i="33"/>
  <c r="E1244" i="33"/>
  <c r="D1244" i="33"/>
  <c r="C1244" i="33"/>
  <c r="B1244" i="33"/>
  <c r="J1243" i="33"/>
  <c r="E1243" i="33"/>
  <c r="D1243" i="33"/>
  <c r="C1243" i="33"/>
  <c r="B1243" i="33"/>
  <c r="J1242" i="33"/>
  <c r="E1242" i="33"/>
  <c r="D1242" i="33"/>
  <c r="C1242" i="33"/>
  <c r="B1242" i="33"/>
  <c r="I1238" i="33"/>
  <c r="H1238" i="33"/>
  <c r="G1238" i="33"/>
  <c r="F1238" i="33"/>
  <c r="J1237" i="33"/>
  <c r="E1237" i="33"/>
  <c r="D1237" i="33"/>
  <c r="C1237" i="33"/>
  <c r="B1237" i="33"/>
  <c r="J1236" i="33"/>
  <c r="E1236" i="33"/>
  <c r="D1236" i="33"/>
  <c r="C1236" i="33"/>
  <c r="B1236" i="33"/>
  <c r="J1235" i="33"/>
  <c r="E1235" i="33"/>
  <c r="D1235" i="33"/>
  <c r="C1235" i="33"/>
  <c r="B1235" i="33"/>
  <c r="J1234" i="33"/>
  <c r="E1234" i="33"/>
  <c r="D1234" i="33"/>
  <c r="C1234" i="33"/>
  <c r="B1234" i="33"/>
  <c r="I1230" i="33"/>
  <c r="H1230" i="33"/>
  <c r="G1230" i="33"/>
  <c r="F1230" i="33"/>
  <c r="J1229" i="33"/>
  <c r="E1229" i="33"/>
  <c r="D1229" i="33"/>
  <c r="C1229" i="33"/>
  <c r="B1229" i="33"/>
  <c r="J1228" i="33"/>
  <c r="E1228" i="33"/>
  <c r="D1228" i="33"/>
  <c r="C1228" i="33"/>
  <c r="B1228" i="33"/>
  <c r="J1227" i="33"/>
  <c r="E1227" i="33"/>
  <c r="D1227" i="33"/>
  <c r="C1227" i="33"/>
  <c r="B1227" i="33"/>
  <c r="J1226" i="33"/>
  <c r="E1226" i="33"/>
  <c r="D1226" i="33"/>
  <c r="C1226" i="33"/>
  <c r="B1226" i="33"/>
  <c r="I1222" i="33"/>
  <c r="H1222" i="33"/>
  <c r="G1222" i="33"/>
  <c r="F1222" i="33"/>
  <c r="J1221" i="33"/>
  <c r="E1221" i="33"/>
  <c r="D1221" i="33"/>
  <c r="C1221" i="33"/>
  <c r="B1221" i="33"/>
  <c r="J1220" i="33"/>
  <c r="E1220" i="33"/>
  <c r="D1220" i="33"/>
  <c r="C1220" i="33"/>
  <c r="B1220" i="33"/>
  <c r="J1219" i="33"/>
  <c r="E1219" i="33"/>
  <c r="D1219" i="33"/>
  <c r="C1219" i="33"/>
  <c r="B1219" i="33"/>
  <c r="J1218" i="33"/>
  <c r="E1218" i="33"/>
  <c r="D1218" i="33"/>
  <c r="C1218" i="33"/>
  <c r="B1218" i="33"/>
  <c r="M1214" i="33"/>
  <c r="L1214" i="33"/>
  <c r="I1214" i="33"/>
  <c r="H1214" i="33"/>
  <c r="G1214" i="33"/>
  <c r="F1214" i="33"/>
  <c r="J1213" i="33"/>
  <c r="E1213" i="33"/>
  <c r="D1213" i="33"/>
  <c r="C1213" i="33"/>
  <c r="B1213" i="33"/>
  <c r="J1212" i="33"/>
  <c r="E1212" i="33"/>
  <c r="D1212" i="33"/>
  <c r="C1212" i="33"/>
  <c r="B1212" i="33"/>
  <c r="J1211" i="33"/>
  <c r="E1211" i="33"/>
  <c r="D1211" i="33"/>
  <c r="C1211" i="33"/>
  <c r="B1211" i="33"/>
  <c r="J1210" i="33"/>
  <c r="E1210" i="33"/>
  <c r="D1210" i="33"/>
  <c r="C1210" i="33"/>
  <c r="B1210" i="33"/>
  <c r="J1209" i="33"/>
  <c r="E1209" i="33"/>
  <c r="D1209" i="33"/>
  <c r="C1209" i="33"/>
  <c r="B1209" i="33"/>
  <c r="M1205" i="33"/>
  <c r="I1205" i="33"/>
  <c r="H1205" i="33"/>
  <c r="G1205" i="33"/>
  <c r="F1205" i="33"/>
  <c r="L1204" i="33"/>
  <c r="J1204" i="33"/>
  <c r="E1204" i="33"/>
  <c r="D1204" i="33"/>
  <c r="C1204" i="33"/>
  <c r="B1204" i="33"/>
  <c r="L1203" i="33"/>
  <c r="J1203" i="33"/>
  <c r="E1203" i="33"/>
  <c r="D1203" i="33"/>
  <c r="C1203" i="33"/>
  <c r="B1203" i="33"/>
  <c r="L1202" i="33"/>
  <c r="J1202" i="33"/>
  <c r="E1202" i="33"/>
  <c r="D1202" i="33"/>
  <c r="C1202" i="33"/>
  <c r="B1202" i="33"/>
  <c r="L1201" i="33"/>
  <c r="J1201" i="33"/>
  <c r="E1201" i="33"/>
  <c r="D1201" i="33"/>
  <c r="C1201" i="33"/>
  <c r="B1201" i="33"/>
  <c r="M1197" i="33"/>
  <c r="I1197" i="33"/>
  <c r="H1197" i="33"/>
  <c r="G1197" i="33"/>
  <c r="F1197" i="33"/>
  <c r="L1196" i="33"/>
  <c r="J1196" i="33"/>
  <c r="E1196" i="33"/>
  <c r="D1196" i="33"/>
  <c r="C1196" i="33"/>
  <c r="B1196" i="33"/>
  <c r="L1195" i="33"/>
  <c r="J1195" i="33"/>
  <c r="E1195" i="33"/>
  <c r="D1195" i="33"/>
  <c r="C1195" i="33"/>
  <c r="B1195" i="33"/>
  <c r="L1194" i="33"/>
  <c r="J1194" i="33"/>
  <c r="E1194" i="33"/>
  <c r="D1194" i="33"/>
  <c r="C1194" i="33"/>
  <c r="B1194" i="33"/>
  <c r="L1193" i="33"/>
  <c r="J1193" i="33"/>
  <c r="E1193" i="33"/>
  <c r="D1193" i="33"/>
  <c r="C1193" i="33"/>
  <c r="B1193" i="33"/>
  <c r="M1189" i="33"/>
  <c r="I1189" i="33"/>
  <c r="H1189" i="33"/>
  <c r="G1189" i="33"/>
  <c r="F1189" i="33"/>
  <c r="L1188" i="33"/>
  <c r="J1188" i="33"/>
  <c r="E1188" i="33"/>
  <c r="D1188" i="33"/>
  <c r="C1188" i="33"/>
  <c r="B1188" i="33"/>
  <c r="L1187" i="33"/>
  <c r="J1187" i="33"/>
  <c r="E1187" i="33"/>
  <c r="D1187" i="33"/>
  <c r="C1187" i="33"/>
  <c r="B1187" i="33"/>
  <c r="L1186" i="33"/>
  <c r="J1186" i="33"/>
  <c r="E1186" i="33"/>
  <c r="D1186" i="33"/>
  <c r="C1186" i="33"/>
  <c r="B1186" i="33"/>
  <c r="L1185" i="33"/>
  <c r="J1185" i="33"/>
  <c r="E1185" i="33"/>
  <c r="D1185" i="33"/>
  <c r="C1185" i="33"/>
  <c r="B1185" i="33"/>
  <c r="L1184" i="33"/>
  <c r="J1184" i="33"/>
  <c r="E1184" i="33"/>
  <c r="D1184" i="33"/>
  <c r="C1184" i="33"/>
  <c r="B1184" i="33"/>
  <c r="M1180" i="33"/>
  <c r="I1180" i="33"/>
  <c r="H1180" i="33"/>
  <c r="F1180" i="33"/>
  <c r="L1179" i="33"/>
  <c r="G1179" i="33" s="1"/>
  <c r="J1179" i="33"/>
  <c r="E1179" i="33"/>
  <c r="D1179" i="33"/>
  <c r="C1179" i="33"/>
  <c r="B1179" i="33"/>
  <c r="L1178" i="33"/>
  <c r="G1178" i="33" s="1"/>
  <c r="J1178" i="33"/>
  <c r="E1178" i="33"/>
  <c r="D1178" i="33"/>
  <c r="C1178" i="33"/>
  <c r="B1178" i="33"/>
  <c r="L1177" i="33"/>
  <c r="G1177" i="33" s="1"/>
  <c r="J1177" i="33"/>
  <c r="E1177" i="33"/>
  <c r="D1177" i="33"/>
  <c r="C1177" i="33"/>
  <c r="B1177" i="33"/>
  <c r="L1176" i="33"/>
  <c r="J1176" i="33"/>
  <c r="E1176" i="33"/>
  <c r="D1176" i="33"/>
  <c r="C1176" i="33"/>
  <c r="B1176" i="33"/>
  <c r="M1172" i="33"/>
  <c r="I1172" i="33"/>
  <c r="H1172" i="33"/>
  <c r="F1172" i="33"/>
  <c r="L1171" i="33"/>
  <c r="G1171" i="33" s="1"/>
  <c r="J1171" i="33"/>
  <c r="E1171" i="33"/>
  <c r="D1171" i="33"/>
  <c r="C1171" i="33"/>
  <c r="B1171" i="33"/>
  <c r="L1170" i="33"/>
  <c r="G1170" i="33" s="1"/>
  <c r="J1170" i="33"/>
  <c r="E1170" i="33"/>
  <c r="D1170" i="33"/>
  <c r="C1170" i="33"/>
  <c r="B1170" i="33"/>
  <c r="L1169" i="33"/>
  <c r="G1169" i="33" s="1"/>
  <c r="J1169" i="33"/>
  <c r="E1169" i="33"/>
  <c r="D1169" i="33"/>
  <c r="C1169" i="33"/>
  <c r="B1169" i="33"/>
  <c r="L1168" i="33"/>
  <c r="J1168" i="33"/>
  <c r="E1168" i="33"/>
  <c r="D1168" i="33"/>
  <c r="C1168" i="33"/>
  <c r="B1168" i="33"/>
  <c r="M1164" i="33"/>
  <c r="I1164" i="33"/>
  <c r="H1164" i="33"/>
  <c r="F1164" i="33"/>
  <c r="L1163" i="33"/>
  <c r="G1163" i="33" s="1"/>
  <c r="J1163" i="33"/>
  <c r="E1163" i="33"/>
  <c r="D1163" i="33"/>
  <c r="C1163" i="33"/>
  <c r="B1163" i="33"/>
  <c r="L1162" i="33"/>
  <c r="G1162" i="33" s="1"/>
  <c r="J1162" i="33"/>
  <c r="E1162" i="33"/>
  <c r="D1162" i="33"/>
  <c r="C1162" i="33"/>
  <c r="B1162" i="33"/>
  <c r="L1161" i="33"/>
  <c r="G1161" i="33" s="1"/>
  <c r="J1161" i="33"/>
  <c r="E1161" i="33"/>
  <c r="D1161" i="33"/>
  <c r="C1161" i="33"/>
  <c r="B1161" i="33"/>
  <c r="L1160" i="33"/>
  <c r="J1160" i="33"/>
  <c r="E1160" i="33"/>
  <c r="D1160" i="33"/>
  <c r="C1160" i="33"/>
  <c r="B1160" i="33"/>
  <c r="L1159" i="33"/>
  <c r="G1159" i="33" s="1"/>
  <c r="J1159" i="33"/>
  <c r="E1159" i="33"/>
  <c r="D1159" i="33"/>
  <c r="C1159" i="33"/>
  <c r="B1159" i="33"/>
  <c r="I1155" i="33"/>
  <c r="H1155" i="33"/>
  <c r="F1155" i="33"/>
  <c r="L1154" i="33"/>
  <c r="G1154" i="33" s="1"/>
  <c r="J1154" i="33"/>
  <c r="E1154" i="33"/>
  <c r="D1154" i="33"/>
  <c r="C1154" i="33"/>
  <c r="B1154" i="33"/>
  <c r="M1153" i="33"/>
  <c r="L1153" i="33"/>
  <c r="J1153" i="33"/>
  <c r="E1153" i="33"/>
  <c r="D1153" i="33"/>
  <c r="C1153" i="33"/>
  <c r="B1153" i="33"/>
  <c r="M1152" i="33"/>
  <c r="L1152" i="33"/>
  <c r="J1152" i="33"/>
  <c r="E1152" i="33"/>
  <c r="D1152" i="33"/>
  <c r="C1152" i="33"/>
  <c r="B1152" i="33"/>
  <c r="M1151" i="33"/>
  <c r="L1151" i="33"/>
  <c r="J1151" i="33"/>
  <c r="E1151" i="33"/>
  <c r="D1151" i="33"/>
  <c r="C1151" i="33"/>
  <c r="B1151" i="33"/>
  <c r="I1147" i="33"/>
  <c r="H1147" i="33"/>
  <c r="F1147" i="33"/>
  <c r="M1146" i="33"/>
  <c r="L1146" i="33"/>
  <c r="J1146" i="33"/>
  <c r="G1146" i="33"/>
  <c r="E1146" i="33"/>
  <c r="D1146" i="33"/>
  <c r="C1146" i="33"/>
  <c r="B1146" i="33"/>
  <c r="M1145" i="33"/>
  <c r="L1145" i="33"/>
  <c r="J1145" i="33"/>
  <c r="G1145" i="33"/>
  <c r="E1145" i="33"/>
  <c r="D1145" i="33"/>
  <c r="C1145" i="33"/>
  <c r="B1145" i="33"/>
  <c r="M1144" i="33"/>
  <c r="L1144" i="33"/>
  <c r="J1144" i="33"/>
  <c r="G1144" i="33"/>
  <c r="E1144" i="33"/>
  <c r="D1144" i="33"/>
  <c r="C1144" i="33"/>
  <c r="B1144" i="33"/>
  <c r="L1143" i="33"/>
  <c r="J1143" i="33"/>
  <c r="G1143" i="33"/>
  <c r="E1143" i="33"/>
  <c r="D1143" i="33"/>
  <c r="C1143" i="33"/>
  <c r="B1143" i="33"/>
  <c r="M1142" i="33"/>
  <c r="L1142" i="33"/>
  <c r="J1142" i="33"/>
  <c r="G1142" i="33"/>
  <c r="E1142" i="33"/>
  <c r="D1142" i="33"/>
  <c r="C1142" i="33"/>
  <c r="B1142" i="33"/>
  <c r="I1138" i="33"/>
  <c r="H1138" i="33"/>
  <c r="F1138" i="33"/>
  <c r="M1137" i="33"/>
  <c r="L1137" i="33"/>
  <c r="J1137" i="33"/>
  <c r="G1137" i="33"/>
  <c r="E1137" i="33"/>
  <c r="D1137" i="33"/>
  <c r="C1137" i="33"/>
  <c r="B1137" i="33"/>
  <c r="M1136" i="33"/>
  <c r="L1136" i="33"/>
  <c r="J1136" i="33"/>
  <c r="G1136" i="33"/>
  <c r="E1136" i="33"/>
  <c r="D1136" i="33"/>
  <c r="C1136" i="33"/>
  <c r="B1136" i="33"/>
  <c r="M1135" i="33"/>
  <c r="L1135" i="33"/>
  <c r="J1135" i="33"/>
  <c r="G1135" i="33"/>
  <c r="E1135" i="33"/>
  <c r="D1135" i="33"/>
  <c r="C1135" i="33"/>
  <c r="B1135" i="33"/>
  <c r="M1134" i="33"/>
  <c r="L1134" i="33"/>
  <c r="J1134" i="33"/>
  <c r="G1134" i="33"/>
  <c r="E1134" i="33"/>
  <c r="D1134" i="33"/>
  <c r="C1134" i="33"/>
  <c r="B1134" i="33"/>
  <c r="I1130" i="33"/>
  <c r="H1130" i="33"/>
  <c r="F1130" i="33"/>
  <c r="M1129" i="33"/>
  <c r="L1129" i="33"/>
  <c r="J1129" i="33"/>
  <c r="G1129" i="33"/>
  <c r="E1129" i="33"/>
  <c r="D1129" i="33"/>
  <c r="C1129" i="33"/>
  <c r="B1129" i="33"/>
  <c r="M1128" i="33"/>
  <c r="L1128" i="33"/>
  <c r="J1128" i="33"/>
  <c r="G1128" i="33"/>
  <c r="E1128" i="33"/>
  <c r="D1128" i="33"/>
  <c r="C1128" i="33"/>
  <c r="B1128" i="33"/>
  <c r="M1127" i="33"/>
  <c r="L1127" i="33"/>
  <c r="J1127" i="33"/>
  <c r="G1127" i="33"/>
  <c r="E1127" i="33"/>
  <c r="D1127" i="33"/>
  <c r="C1127" i="33"/>
  <c r="B1127" i="33"/>
  <c r="M1126" i="33"/>
  <c r="L1126" i="33"/>
  <c r="J1126" i="33"/>
  <c r="G1126" i="33"/>
  <c r="E1126" i="33"/>
  <c r="D1126" i="33"/>
  <c r="C1126" i="33"/>
  <c r="B1126" i="33"/>
  <c r="I1122" i="33"/>
  <c r="H1122" i="33"/>
  <c r="F1122" i="33"/>
  <c r="M1121" i="33"/>
  <c r="L1121" i="33"/>
  <c r="J1121" i="33"/>
  <c r="G1121" i="33"/>
  <c r="E1121" i="33"/>
  <c r="D1121" i="33"/>
  <c r="C1121" i="33"/>
  <c r="B1121" i="33"/>
  <c r="M1120" i="33"/>
  <c r="L1120" i="33"/>
  <c r="J1120" i="33"/>
  <c r="G1120" i="33"/>
  <c r="E1120" i="33"/>
  <c r="D1120" i="33"/>
  <c r="C1120" i="33"/>
  <c r="B1120" i="33"/>
  <c r="M1119" i="33"/>
  <c r="L1119" i="33"/>
  <c r="J1119" i="33"/>
  <c r="G1119" i="33"/>
  <c r="E1119" i="33"/>
  <c r="D1119" i="33"/>
  <c r="C1119" i="33"/>
  <c r="B1119" i="33"/>
  <c r="L1118" i="33"/>
  <c r="J1118" i="33"/>
  <c r="G1118" i="33"/>
  <c r="E1118" i="33"/>
  <c r="D1118" i="33"/>
  <c r="C1118" i="33"/>
  <c r="B1118" i="33"/>
  <c r="I1114" i="33"/>
  <c r="H1114" i="33"/>
  <c r="F1114" i="33"/>
  <c r="L1113" i="33"/>
  <c r="J1113" i="33"/>
  <c r="G1113" i="33"/>
  <c r="E1113" i="33"/>
  <c r="D1113" i="33"/>
  <c r="C1113" i="33"/>
  <c r="B1113" i="33"/>
  <c r="L1112" i="33"/>
  <c r="J1112" i="33"/>
  <c r="G1112" i="33"/>
  <c r="E1112" i="33"/>
  <c r="D1112" i="33"/>
  <c r="C1112" i="33"/>
  <c r="B1112" i="33"/>
  <c r="L1111" i="33"/>
  <c r="J1111" i="33"/>
  <c r="G1111" i="33"/>
  <c r="E1111" i="33"/>
  <c r="D1111" i="33"/>
  <c r="C1111" i="33"/>
  <c r="B1111" i="33"/>
  <c r="L1110" i="33"/>
  <c r="J1110" i="33"/>
  <c r="G1110" i="33"/>
  <c r="E1110" i="33"/>
  <c r="D1110" i="33"/>
  <c r="C1110" i="33"/>
  <c r="B1110" i="33"/>
  <c r="L1109" i="33"/>
  <c r="J1109" i="33"/>
  <c r="G1109" i="33"/>
  <c r="E1109" i="33"/>
  <c r="D1109" i="33"/>
  <c r="C1109" i="33"/>
  <c r="B1109" i="33"/>
  <c r="I1105" i="33"/>
  <c r="H1105" i="33"/>
  <c r="F1105" i="33"/>
  <c r="L1104" i="33"/>
  <c r="J1104" i="33"/>
  <c r="G1104" i="33"/>
  <c r="E1104" i="33"/>
  <c r="D1104" i="33"/>
  <c r="C1104" i="33"/>
  <c r="B1104" i="33"/>
  <c r="L1103" i="33"/>
  <c r="J1103" i="33"/>
  <c r="G1103" i="33"/>
  <c r="E1103" i="33"/>
  <c r="D1103" i="33"/>
  <c r="C1103" i="33"/>
  <c r="B1103" i="33"/>
  <c r="H1099" i="33"/>
  <c r="F1099" i="33"/>
  <c r="J1098" i="33"/>
  <c r="I1098" i="33"/>
  <c r="G1098" i="33"/>
  <c r="E1098" i="33"/>
  <c r="D1098" i="33"/>
  <c r="C1098" i="33"/>
  <c r="B1098" i="33"/>
  <c r="J1097" i="33"/>
  <c r="I1097" i="33"/>
  <c r="G1097" i="33"/>
  <c r="J1096" i="33"/>
  <c r="I1096" i="33"/>
  <c r="G1096" i="33"/>
  <c r="J1095" i="33"/>
  <c r="I1095" i="33"/>
  <c r="G1095" i="33"/>
  <c r="E1095" i="33"/>
  <c r="D1095" i="33"/>
  <c r="C1095" i="33"/>
  <c r="B1095" i="33"/>
  <c r="H1091" i="33"/>
  <c r="F1091" i="33"/>
  <c r="E1091" i="33"/>
  <c r="D1091" i="33"/>
  <c r="C1091" i="33"/>
  <c r="B1091" i="33"/>
  <c r="J1090" i="33"/>
  <c r="I1090" i="33"/>
  <c r="G1090" i="33"/>
  <c r="J1089" i="33"/>
  <c r="I1089" i="33"/>
  <c r="G1089" i="33"/>
  <c r="J1088" i="33"/>
  <c r="I1088" i="33"/>
  <c r="G1088" i="33"/>
  <c r="J1087" i="33"/>
  <c r="I1087" i="33"/>
  <c r="G1087" i="33"/>
  <c r="H1083" i="33"/>
  <c r="F1083" i="33"/>
  <c r="E1083" i="33"/>
  <c r="D1083" i="33"/>
  <c r="C1083" i="33"/>
  <c r="B1083" i="33"/>
  <c r="J1082" i="33"/>
  <c r="I1082" i="33"/>
  <c r="G1082" i="33"/>
  <c r="J1081" i="33"/>
  <c r="I1081" i="33"/>
  <c r="G1081" i="33"/>
  <c r="J1080" i="33"/>
  <c r="I1080" i="33"/>
  <c r="G1080" i="33"/>
  <c r="J1079" i="33"/>
  <c r="I1079" i="33"/>
  <c r="G1079" i="33"/>
  <c r="H1075" i="33"/>
  <c r="F1075" i="33"/>
  <c r="E1075" i="33"/>
  <c r="D1075" i="33"/>
  <c r="C1075" i="33"/>
  <c r="B1075" i="33"/>
  <c r="J1074" i="33"/>
  <c r="I1074" i="33"/>
  <c r="G1074" i="33"/>
  <c r="J1073" i="33"/>
  <c r="I1073" i="33"/>
  <c r="G1073" i="33"/>
  <c r="J1072" i="33"/>
  <c r="I1072" i="33"/>
  <c r="G1072" i="33"/>
  <c r="J1071" i="33"/>
  <c r="I1071" i="33"/>
  <c r="G1071" i="33"/>
  <c r="J1070" i="33"/>
  <c r="I1070" i="33"/>
  <c r="G1070" i="33"/>
  <c r="I1066" i="33"/>
  <c r="H1066" i="33"/>
  <c r="F1066" i="33"/>
  <c r="E1066" i="33"/>
  <c r="D1066" i="33"/>
  <c r="C1066" i="33"/>
  <c r="B1066" i="33"/>
  <c r="J1065" i="33"/>
  <c r="G1065" i="33"/>
  <c r="J1064" i="33"/>
  <c r="G1064" i="33"/>
  <c r="J1063" i="33"/>
  <c r="G1063" i="33"/>
  <c r="J1062" i="33"/>
  <c r="G1062" i="33"/>
  <c r="I1058" i="33"/>
  <c r="H1058" i="33"/>
  <c r="F1058" i="33"/>
  <c r="E1058" i="33"/>
  <c r="D1058" i="33"/>
  <c r="C1058" i="33"/>
  <c r="B1058" i="33"/>
  <c r="J1057" i="33"/>
  <c r="G1057" i="33"/>
  <c r="J1056" i="33"/>
  <c r="G1056" i="33"/>
  <c r="J1055" i="33"/>
  <c r="G1055" i="33"/>
  <c r="J1054" i="33"/>
  <c r="G1054" i="33"/>
  <c r="J1053" i="33"/>
  <c r="G1053" i="33"/>
  <c r="I1049" i="33"/>
  <c r="H1049" i="33"/>
  <c r="F1049" i="33"/>
  <c r="E1049" i="33"/>
  <c r="D1049" i="33"/>
  <c r="C1049" i="33"/>
  <c r="B1049" i="33"/>
  <c r="J1048" i="33"/>
  <c r="G1048" i="33"/>
  <c r="J1047" i="33"/>
  <c r="G1047" i="33"/>
  <c r="J1046" i="33"/>
  <c r="G1046" i="33"/>
  <c r="J1045" i="33"/>
  <c r="G1045" i="33"/>
  <c r="I1041" i="33"/>
  <c r="H1041" i="33"/>
  <c r="F1041" i="33"/>
  <c r="E1041" i="33"/>
  <c r="D1041" i="33"/>
  <c r="C1041" i="33"/>
  <c r="B1041" i="33"/>
  <c r="J1040" i="33"/>
  <c r="G1040" i="33"/>
  <c r="J1039" i="33"/>
  <c r="G1039" i="33"/>
  <c r="J1038" i="33"/>
  <c r="G1038" i="33"/>
  <c r="J1037" i="33"/>
  <c r="G1037" i="33"/>
  <c r="H1033" i="33"/>
  <c r="F1033" i="33"/>
  <c r="E1033" i="33"/>
  <c r="D1033" i="33"/>
  <c r="C1033" i="33"/>
  <c r="B1033" i="33"/>
  <c r="J1032" i="33"/>
  <c r="G1032" i="33"/>
  <c r="J1031" i="33"/>
  <c r="I1031" i="33"/>
  <c r="G1031" i="33"/>
  <c r="J1030" i="33"/>
  <c r="I1030" i="33"/>
  <c r="G1030" i="33"/>
  <c r="J1029" i="33"/>
  <c r="I1029" i="33"/>
  <c r="G1029" i="33"/>
  <c r="J1028" i="33"/>
  <c r="I1028" i="33"/>
  <c r="G1028" i="33"/>
  <c r="I1024" i="33"/>
  <c r="H1024" i="33"/>
  <c r="F1024" i="33"/>
  <c r="E1024" i="33"/>
  <c r="D1024" i="33"/>
  <c r="C1024" i="33"/>
  <c r="B1024" i="33"/>
  <c r="J1023" i="33"/>
  <c r="G1023" i="33"/>
  <c r="J1022" i="33"/>
  <c r="G1022" i="33"/>
  <c r="J1021" i="33"/>
  <c r="G1021" i="33"/>
  <c r="J1020" i="33"/>
  <c r="G1020" i="33"/>
  <c r="I1016" i="33"/>
  <c r="H1016" i="33"/>
  <c r="F1016" i="33"/>
  <c r="E1016" i="33"/>
  <c r="D1016" i="33"/>
  <c r="C1016" i="33"/>
  <c r="B1016" i="33"/>
  <c r="J1015" i="33"/>
  <c r="G1015" i="33"/>
  <c r="J1014" i="33"/>
  <c r="G1014" i="33"/>
  <c r="J1013" i="33"/>
  <c r="G1013" i="33"/>
  <c r="J1012" i="33"/>
  <c r="G1012" i="33"/>
  <c r="I1008" i="33"/>
  <c r="H1008" i="33"/>
  <c r="F1008" i="33"/>
  <c r="E1008" i="33"/>
  <c r="D1008" i="33"/>
  <c r="C1008" i="33"/>
  <c r="B1008" i="33"/>
  <c r="J1007" i="33"/>
  <c r="G1007" i="33"/>
  <c r="J1006" i="33"/>
  <c r="G1006" i="33"/>
  <c r="J1005" i="33"/>
  <c r="G1005" i="33"/>
  <c r="J1004" i="33"/>
  <c r="G1004" i="33"/>
  <c r="H1000" i="33"/>
  <c r="F1000" i="33"/>
  <c r="E1000" i="33"/>
  <c r="D1000" i="33"/>
  <c r="C1000" i="33"/>
  <c r="B1000" i="33"/>
  <c r="J999" i="33"/>
  <c r="G999" i="33"/>
  <c r="J998" i="33"/>
  <c r="G998" i="33"/>
  <c r="J997" i="33"/>
  <c r="G997" i="33"/>
  <c r="J996" i="33"/>
  <c r="I996" i="33"/>
  <c r="G996" i="33"/>
  <c r="J995" i="33"/>
  <c r="I995" i="33"/>
  <c r="G995" i="33"/>
  <c r="H991" i="33"/>
  <c r="F991" i="33"/>
  <c r="E991" i="33"/>
  <c r="D991" i="33"/>
  <c r="C991" i="33"/>
  <c r="B991" i="33"/>
  <c r="J990" i="33"/>
  <c r="I990" i="33"/>
  <c r="G990" i="33"/>
  <c r="J989" i="33"/>
  <c r="I989" i="33"/>
  <c r="G989" i="33"/>
  <c r="J988" i="33"/>
  <c r="I988" i="33"/>
  <c r="G988" i="33"/>
  <c r="J987" i="33"/>
  <c r="I987" i="33"/>
  <c r="G987" i="33"/>
  <c r="H983" i="33"/>
  <c r="F983" i="33"/>
  <c r="E983" i="33"/>
  <c r="D983" i="33"/>
  <c r="C983" i="33"/>
  <c r="B983" i="33"/>
  <c r="J982" i="33"/>
  <c r="I982" i="33"/>
  <c r="G982" i="33"/>
  <c r="J981" i="33"/>
  <c r="I981" i="33"/>
  <c r="G981" i="33"/>
  <c r="J980" i="33"/>
  <c r="I980" i="33"/>
  <c r="G980" i="33"/>
  <c r="J979" i="33"/>
  <c r="I979" i="33"/>
  <c r="G979" i="33"/>
  <c r="H975" i="33"/>
  <c r="F975" i="33"/>
  <c r="E975" i="33"/>
  <c r="D975" i="33"/>
  <c r="C975" i="33"/>
  <c r="B975" i="33"/>
  <c r="J974" i="33"/>
  <c r="G974" i="33"/>
  <c r="J973" i="33"/>
  <c r="G973" i="33"/>
  <c r="J972" i="33"/>
  <c r="G972" i="33"/>
  <c r="J971" i="33"/>
  <c r="I971" i="33"/>
  <c r="G971" i="33"/>
  <c r="J970" i="33"/>
  <c r="I970" i="33"/>
  <c r="G970" i="33"/>
  <c r="H966" i="33"/>
  <c r="F966" i="33"/>
  <c r="E966" i="33"/>
  <c r="D966" i="33"/>
  <c r="C966" i="33"/>
  <c r="B966" i="33"/>
  <c r="J965" i="33"/>
  <c r="I965" i="33"/>
  <c r="G965" i="33"/>
  <c r="J964" i="33"/>
  <c r="I964" i="33"/>
  <c r="G964" i="33"/>
  <c r="J963" i="33"/>
  <c r="I963" i="33"/>
  <c r="G963" i="33"/>
  <c r="J962" i="33"/>
  <c r="I962" i="33"/>
  <c r="G962" i="33"/>
  <c r="H958" i="33"/>
  <c r="F958" i="33"/>
  <c r="E958" i="33"/>
  <c r="D958" i="33"/>
  <c r="C958" i="33"/>
  <c r="B958" i="33"/>
  <c r="J957" i="33"/>
  <c r="I957" i="33"/>
  <c r="G957" i="33"/>
  <c r="J956" i="33"/>
  <c r="I956" i="33"/>
  <c r="G956" i="33"/>
  <c r="J955" i="33"/>
  <c r="I955" i="33"/>
  <c r="G955" i="33"/>
  <c r="J954" i="33"/>
  <c r="I954" i="33"/>
  <c r="G954" i="33"/>
  <c r="H950" i="33"/>
  <c r="F950" i="33"/>
  <c r="E950" i="33"/>
  <c r="D950" i="33"/>
  <c r="C950" i="33"/>
  <c r="B950" i="33"/>
  <c r="J949" i="33"/>
  <c r="I949" i="33"/>
  <c r="G949" i="33"/>
  <c r="J948" i="33"/>
  <c r="I948" i="33"/>
  <c r="G948" i="33"/>
  <c r="J947" i="33"/>
  <c r="I947" i="33"/>
  <c r="G947" i="33"/>
  <c r="J946" i="33"/>
  <c r="I946" i="33"/>
  <c r="G946" i="33"/>
  <c r="J945" i="33"/>
  <c r="I945" i="33"/>
  <c r="G945" i="33"/>
  <c r="H941" i="33"/>
  <c r="F941" i="33"/>
  <c r="E941" i="33"/>
  <c r="D941" i="33"/>
  <c r="C941" i="33"/>
  <c r="B941" i="33"/>
  <c r="J940" i="33"/>
  <c r="I940" i="33"/>
  <c r="G940" i="33"/>
  <c r="J939" i="33"/>
  <c r="I939" i="33"/>
  <c r="G939" i="33"/>
  <c r="J938" i="33"/>
  <c r="I938" i="33"/>
  <c r="G938" i="33"/>
  <c r="J937" i="33"/>
  <c r="I937" i="33"/>
  <c r="G937" i="33"/>
  <c r="H933" i="33"/>
  <c r="F933" i="33"/>
  <c r="E933" i="33"/>
  <c r="D933" i="33"/>
  <c r="C933" i="33"/>
  <c r="B933" i="33"/>
  <c r="J932" i="33"/>
  <c r="I932" i="33"/>
  <c r="G932" i="33"/>
  <c r="J931" i="33"/>
  <c r="I931" i="33"/>
  <c r="G931" i="33"/>
  <c r="J930" i="33"/>
  <c r="I930" i="33"/>
  <c r="G930" i="33"/>
  <c r="J929" i="33"/>
  <c r="I929" i="33"/>
  <c r="G929" i="33"/>
  <c r="J928" i="33"/>
  <c r="I928" i="33"/>
  <c r="G928" i="33"/>
  <c r="H924" i="33"/>
  <c r="F924" i="33"/>
  <c r="E924" i="33"/>
  <c r="D924" i="33"/>
  <c r="C924" i="33"/>
  <c r="B924" i="33"/>
  <c r="J923" i="33"/>
  <c r="I923" i="33"/>
  <c r="G923" i="33"/>
  <c r="J922" i="33"/>
  <c r="I922" i="33"/>
  <c r="G922" i="33"/>
  <c r="J921" i="33"/>
  <c r="I921" i="33"/>
  <c r="G921" i="33"/>
  <c r="J920" i="33"/>
  <c r="I920" i="33"/>
  <c r="G920" i="33"/>
  <c r="H916" i="33"/>
  <c r="F916" i="33"/>
  <c r="E916" i="33"/>
  <c r="D916" i="33"/>
  <c r="C916" i="33"/>
  <c r="B916" i="33"/>
  <c r="J915" i="33"/>
  <c r="I915" i="33"/>
  <c r="G915" i="33"/>
  <c r="J914" i="33"/>
  <c r="I914" i="33"/>
  <c r="G914" i="33"/>
  <c r="J913" i="33"/>
  <c r="I913" i="33"/>
  <c r="G913" i="33"/>
  <c r="J912" i="33"/>
  <c r="I912" i="33"/>
  <c r="G912" i="33"/>
  <c r="H908" i="33"/>
  <c r="F908" i="33"/>
  <c r="E908" i="33"/>
  <c r="D908" i="33"/>
  <c r="C908" i="33"/>
  <c r="B908" i="33"/>
  <c r="J907" i="33"/>
  <c r="I907" i="33"/>
  <c r="G907" i="33"/>
  <c r="J906" i="33"/>
  <c r="I906" i="33"/>
  <c r="G906" i="33"/>
  <c r="J905" i="33"/>
  <c r="I905" i="33"/>
  <c r="G905" i="33"/>
  <c r="J904" i="33"/>
  <c r="I904" i="33"/>
  <c r="G904" i="33"/>
  <c r="H900" i="33"/>
  <c r="F900" i="33"/>
  <c r="E900" i="33"/>
  <c r="D900" i="33"/>
  <c r="C900" i="33"/>
  <c r="B900" i="33"/>
  <c r="J899" i="33"/>
  <c r="I899" i="33"/>
  <c r="G899" i="33"/>
  <c r="J898" i="33"/>
  <c r="I898" i="33"/>
  <c r="G898" i="33"/>
  <c r="J897" i="33"/>
  <c r="I897" i="33"/>
  <c r="G897" i="33"/>
  <c r="J896" i="33"/>
  <c r="I896" i="33"/>
  <c r="G896" i="33"/>
  <c r="J895" i="33"/>
  <c r="I895" i="33"/>
  <c r="G895" i="33"/>
  <c r="H891" i="33"/>
  <c r="F891" i="33"/>
  <c r="E891" i="33"/>
  <c r="D891" i="33"/>
  <c r="C891" i="33"/>
  <c r="B891" i="33"/>
  <c r="J890" i="33"/>
  <c r="I890" i="33"/>
  <c r="G890" i="33"/>
  <c r="J889" i="33"/>
  <c r="I889" i="33"/>
  <c r="G889" i="33"/>
  <c r="J888" i="33"/>
  <c r="I888" i="33"/>
  <c r="G888" i="33"/>
  <c r="J887" i="33"/>
  <c r="I887" i="33"/>
  <c r="G887" i="33"/>
  <c r="H883" i="33"/>
  <c r="F883" i="33"/>
  <c r="E883" i="33"/>
  <c r="D883" i="33"/>
  <c r="C883" i="33"/>
  <c r="B883" i="33"/>
  <c r="J882" i="33"/>
  <c r="I882" i="33"/>
  <c r="G882" i="33"/>
  <c r="J881" i="33"/>
  <c r="I881" i="33"/>
  <c r="G881" i="33"/>
  <c r="J880" i="33"/>
  <c r="I880" i="33"/>
  <c r="G880" i="33"/>
  <c r="J879" i="33"/>
  <c r="I879" i="33"/>
  <c r="G879" i="33"/>
  <c r="H875" i="33"/>
  <c r="E875" i="33"/>
  <c r="D875" i="33"/>
  <c r="C875" i="33"/>
  <c r="B875" i="33"/>
  <c r="J874" i="33"/>
  <c r="I874" i="33"/>
  <c r="G874" i="33"/>
  <c r="J873" i="33"/>
  <c r="I873" i="33"/>
  <c r="G873" i="33"/>
  <c r="J872" i="33"/>
  <c r="I872" i="33"/>
  <c r="G872" i="33"/>
  <c r="F872" i="33"/>
  <c r="J871" i="33"/>
  <c r="I871" i="33"/>
  <c r="G871" i="33"/>
  <c r="F871" i="33"/>
  <c r="J870" i="33"/>
  <c r="I870" i="33"/>
  <c r="G870" i="33"/>
  <c r="H866" i="33"/>
  <c r="F866" i="33"/>
  <c r="E866" i="33"/>
  <c r="D866" i="33"/>
  <c r="C866" i="33"/>
  <c r="B866" i="33"/>
  <c r="J865" i="33"/>
  <c r="I865" i="33"/>
  <c r="G865" i="33"/>
  <c r="J864" i="33"/>
  <c r="I864" i="33"/>
  <c r="G864" i="33"/>
  <c r="J863" i="33"/>
  <c r="I863" i="33"/>
  <c r="G863" i="33"/>
  <c r="J862" i="33"/>
  <c r="I862" i="33"/>
  <c r="G862" i="33"/>
  <c r="H858" i="33"/>
  <c r="F858" i="33"/>
  <c r="E858" i="33"/>
  <c r="D858" i="33"/>
  <c r="C858" i="33"/>
  <c r="B858" i="33"/>
  <c r="J857" i="33"/>
  <c r="I857" i="33"/>
  <c r="G857" i="33"/>
  <c r="J856" i="33"/>
  <c r="I856" i="33"/>
  <c r="G856" i="33"/>
  <c r="J855" i="33"/>
  <c r="I855" i="33"/>
  <c r="G855" i="33"/>
  <c r="J854" i="33"/>
  <c r="I854" i="33"/>
  <c r="G854" i="33"/>
  <c r="J853" i="33"/>
  <c r="I853" i="33"/>
  <c r="G853" i="33"/>
  <c r="H849" i="33"/>
  <c r="F849" i="33"/>
  <c r="E849" i="33"/>
  <c r="D849" i="33"/>
  <c r="C849" i="33"/>
  <c r="B849" i="33"/>
  <c r="J848" i="33"/>
  <c r="I848" i="33"/>
  <c r="G848" i="33"/>
  <c r="J847" i="33"/>
  <c r="I847" i="33"/>
  <c r="G847" i="33"/>
  <c r="J846" i="33"/>
  <c r="I846" i="33"/>
  <c r="G846" i="33"/>
  <c r="J845" i="33"/>
  <c r="I845" i="33"/>
  <c r="G845" i="33"/>
  <c r="H841" i="33"/>
  <c r="F841" i="33"/>
  <c r="E841" i="33"/>
  <c r="D841" i="33"/>
  <c r="C841" i="33"/>
  <c r="B841" i="33"/>
  <c r="J840" i="33"/>
  <c r="I840" i="33"/>
  <c r="G840" i="33"/>
  <c r="J839" i="33"/>
  <c r="I839" i="33"/>
  <c r="G839" i="33"/>
  <c r="J838" i="33"/>
  <c r="I838" i="33"/>
  <c r="G838" i="33"/>
  <c r="J837" i="33"/>
  <c r="I837" i="33"/>
  <c r="G837" i="33"/>
  <c r="H833" i="33"/>
  <c r="F833" i="33"/>
  <c r="E833" i="33"/>
  <c r="D833" i="33"/>
  <c r="C833" i="33"/>
  <c r="B833" i="33"/>
  <c r="J832" i="33"/>
  <c r="I832" i="33"/>
  <c r="G832" i="33"/>
  <c r="J831" i="33"/>
  <c r="I831" i="33"/>
  <c r="G831" i="33"/>
  <c r="J830" i="33"/>
  <c r="I830" i="33"/>
  <c r="G830" i="33"/>
  <c r="J829" i="33"/>
  <c r="I829" i="33"/>
  <c r="G829" i="33"/>
  <c r="J828" i="33"/>
  <c r="I828" i="33"/>
  <c r="G828" i="33"/>
  <c r="H824" i="33"/>
  <c r="E824" i="33"/>
  <c r="D824" i="33"/>
  <c r="C824" i="33"/>
  <c r="B824" i="33"/>
  <c r="J823" i="33"/>
  <c r="I823" i="33"/>
  <c r="G823" i="33"/>
  <c r="J822" i="33"/>
  <c r="I822" i="33"/>
  <c r="G822" i="33"/>
  <c r="J821" i="33"/>
  <c r="I821" i="33"/>
  <c r="G821" i="33"/>
  <c r="F821" i="33"/>
  <c r="F824" i="33" s="1"/>
  <c r="J820" i="33"/>
  <c r="I820" i="33"/>
  <c r="G820" i="33"/>
  <c r="I816" i="33"/>
  <c r="H816" i="33"/>
  <c r="F816" i="33"/>
  <c r="E816" i="33"/>
  <c r="D816" i="33"/>
  <c r="C816" i="33"/>
  <c r="B816" i="33"/>
  <c r="J815" i="33"/>
  <c r="G815" i="33"/>
  <c r="J814" i="33"/>
  <c r="G814" i="33"/>
  <c r="J813" i="33"/>
  <c r="G813" i="33"/>
  <c r="J812" i="33"/>
  <c r="G812" i="33"/>
  <c r="H808" i="33"/>
  <c r="F808" i="33"/>
  <c r="E808" i="33"/>
  <c r="D808" i="33"/>
  <c r="C808" i="33"/>
  <c r="B808" i="33"/>
  <c r="J807" i="33"/>
  <c r="G807" i="33"/>
  <c r="J806" i="33"/>
  <c r="G806" i="33"/>
  <c r="J805" i="33"/>
  <c r="I805" i="33"/>
  <c r="G805" i="33"/>
  <c r="J804" i="33"/>
  <c r="I804" i="33"/>
  <c r="G804" i="33"/>
  <c r="H800" i="33"/>
  <c r="G800" i="33"/>
  <c r="F800" i="33"/>
  <c r="E800" i="33"/>
  <c r="D800" i="33"/>
  <c r="C800" i="33"/>
  <c r="B800" i="33"/>
  <c r="J799" i="33"/>
  <c r="I799" i="33"/>
  <c r="J798" i="33"/>
  <c r="I798" i="33"/>
  <c r="J797" i="33"/>
  <c r="I797" i="33"/>
  <c r="J796" i="33"/>
  <c r="I796" i="33"/>
  <c r="J795" i="33"/>
  <c r="I795" i="33"/>
  <c r="H791" i="33"/>
  <c r="G791" i="33"/>
  <c r="F791" i="33"/>
  <c r="E791" i="33"/>
  <c r="D791" i="33"/>
  <c r="C791" i="33"/>
  <c r="B791" i="33"/>
  <c r="J790" i="33"/>
  <c r="I790" i="33"/>
  <c r="J789" i="33"/>
  <c r="I789" i="33"/>
  <c r="J788" i="33"/>
  <c r="I788" i="33"/>
  <c r="J787" i="33"/>
  <c r="I787" i="33"/>
  <c r="H783" i="33"/>
  <c r="G783" i="33"/>
  <c r="F783" i="33"/>
  <c r="E783" i="33"/>
  <c r="D783" i="33"/>
  <c r="C783" i="33"/>
  <c r="B783" i="33"/>
  <c r="J782" i="33"/>
  <c r="J781" i="33"/>
  <c r="I781" i="33"/>
  <c r="J780" i="33"/>
  <c r="I780" i="33"/>
  <c r="J779" i="33"/>
  <c r="I779" i="33"/>
  <c r="J778" i="33"/>
  <c r="I778" i="33"/>
  <c r="I774" i="33"/>
  <c r="H774" i="33"/>
  <c r="F774" i="33"/>
  <c r="E774" i="33"/>
  <c r="D774" i="33"/>
  <c r="C774" i="33"/>
  <c r="B774" i="33"/>
  <c r="J773" i="33"/>
  <c r="G773" i="33"/>
  <c r="J772" i="33"/>
  <c r="G772" i="33"/>
  <c r="J771" i="33"/>
  <c r="G771" i="33"/>
  <c r="J770" i="33"/>
  <c r="G770" i="33"/>
  <c r="H766" i="33"/>
  <c r="F766" i="33"/>
  <c r="E766" i="33"/>
  <c r="D766" i="33"/>
  <c r="C766" i="33"/>
  <c r="B766" i="33"/>
  <c r="J765" i="33"/>
  <c r="I765" i="33"/>
  <c r="G765" i="33"/>
  <c r="J764" i="33"/>
  <c r="I764" i="33"/>
  <c r="G764" i="33"/>
  <c r="J763" i="33"/>
  <c r="I763" i="33"/>
  <c r="G763" i="33"/>
  <c r="J762" i="33"/>
  <c r="I762" i="33"/>
  <c r="G762" i="33"/>
  <c r="H758" i="33"/>
  <c r="F758" i="33"/>
  <c r="E758" i="33"/>
  <c r="D758" i="33"/>
  <c r="C758" i="33"/>
  <c r="B758" i="33"/>
  <c r="J757" i="33"/>
  <c r="I757" i="33"/>
  <c r="G757" i="33"/>
  <c r="J756" i="33"/>
  <c r="I756" i="33"/>
  <c r="G756" i="33"/>
  <c r="J755" i="33"/>
  <c r="I755" i="33"/>
  <c r="G755" i="33"/>
  <c r="J754" i="33"/>
  <c r="I754" i="33"/>
  <c r="G754" i="33"/>
  <c r="J753" i="33"/>
  <c r="I753" i="33"/>
  <c r="G753" i="33"/>
  <c r="H749" i="33"/>
  <c r="F749" i="33"/>
  <c r="E749" i="33"/>
  <c r="D749" i="33"/>
  <c r="C749" i="33"/>
  <c r="B749" i="33"/>
  <c r="J748" i="33"/>
  <c r="G748" i="33"/>
  <c r="J747" i="33"/>
  <c r="G747" i="33"/>
  <c r="J746" i="33"/>
  <c r="G746" i="33"/>
  <c r="J745" i="33"/>
  <c r="I745" i="33"/>
  <c r="I749" i="33" s="1"/>
  <c r="G745" i="33"/>
  <c r="H741" i="33"/>
  <c r="F741" i="33"/>
  <c r="E741" i="33"/>
  <c r="D741" i="33"/>
  <c r="C741" i="33"/>
  <c r="B741" i="33"/>
  <c r="J740" i="33"/>
  <c r="I740" i="33"/>
  <c r="G740" i="33"/>
  <c r="J739" i="33"/>
  <c r="I739" i="33"/>
  <c r="G739" i="33"/>
  <c r="J738" i="33"/>
  <c r="I738" i="33"/>
  <c r="G738" i="33"/>
  <c r="J737" i="33"/>
  <c r="I737" i="33"/>
  <c r="G737" i="33"/>
  <c r="H733" i="33"/>
  <c r="F733" i="33"/>
  <c r="E733" i="33"/>
  <c r="D733" i="33"/>
  <c r="C733" i="33"/>
  <c r="B733" i="33"/>
  <c r="J732" i="33"/>
  <c r="G732" i="33"/>
  <c r="J731" i="33"/>
  <c r="G731" i="33"/>
  <c r="J730" i="33"/>
  <c r="I730" i="33"/>
  <c r="G730" i="33"/>
  <c r="J729" i="33"/>
  <c r="I729" i="33"/>
  <c r="G729" i="33"/>
  <c r="J728" i="33"/>
  <c r="G728" i="33"/>
  <c r="H724" i="33"/>
  <c r="F724" i="33"/>
  <c r="E724" i="33"/>
  <c r="D724" i="33"/>
  <c r="C724" i="33"/>
  <c r="B724" i="33"/>
  <c r="J723" i="33"/>
  <c r="G723" i="33"/>
  <c r="J722" i="33"/>
  <c r="I722" i="33"/>
  <c r="I724" i="33" s="1"/>
  <c r="G722" i="33"/>
  <c r="J721" i="33"/>
  <c r="G721" i="33"/>
  <c r="J720" i="33"/>
  <c r="G720" i="33"/>
  <c r="F716" i="33"/>
  <c r="E716" i="33"/>
  <c r="D716" i="33"/>
  <c r="C716" i="33"/>
  <c r="B716" i="33"/>
  <c r="J715" i="33"/>
  <c r="G715" i="33"/>
  <c r="J714" i="33"/>
  <c r="I714" i="33"/>
  <c r="G714" i="33"/>
  <c r="J713" i="33"/>
  <c r="I713" i="33"/>
  <c r="G713" i="33"/>
  <c r="J712" i="33"/>
  <c r="I712" i="33"/>
  <c r="G712" i="33"/>
  <c r="J711" i="33"/>
  <c r="I711" i="33"/>
  <c r="H711" i="33"/>
  <c r="H716" i="33" s="1"/>
  <c r="G711" i="33"/>
  <c r="F707" i="33"/>
  <c r="E707" i="33"/>
  <c r="D707" i="33"/>
  <c r="C707" i="33"/>
  <c r="B707" i="33"/>
  <c r="J706" i="33"/>
  <c r="I706" i="33"/>
  <c r="G706" i="33"/>
  <c r="J705" i="33"/>
  <c r="I705" i="33"/>
  <c r="H705" i="33"/>
  <c r="H707" i="33" s="1"/>
  <c r="G705" i="33"/>
  <c r="J704" i="33"/>
  <c r="I704" i="33"/>
  <c r="G704" i="33"/>
  <c r="J703" i="33"/>
  <c r="I703" i="33"/>
  <c r="G703" i="33"/>
  <c r="H699" i="33"/>
  <c r="F699" i="33"/>
  <c r="E699" i="33"/>
  <c r="D699" i="33"/>
  <c r="C699" i="33"/>
  <c r="B699" i="33"/>
  <c r="J698" i="33"/>
  <c r="G698" i="33"/>
  <c r="J697" i="33"/>
  <c r="G697" i="33"/>
  <c r="J696" i="33"/>
  <c r="I696" i="33"/>
  <c r="I699" i="33" s="1"/>
  <c r="G696" i="33"/>
  <c r="J695" i="33"/>
  <c r="G695" i="33"/>
  <c r="H689" i="33"/>
  <c r="F689" i="33"/>
  <c r="E689" i="33"/>
  <c r="D689" i="33"/>
  <c r="C689" i="33"/>
  <c r="B689" i="33"/>
  <c r="J688" i="33"/>
  <c r="I688" i="33"/>
  <c r="G688" i="33"/>
  <c r="J687" i="33"/>
  <c r="I687" i="33"/>
  <c r="G687" i="33"/>
  <c r="J686" i="33"/>
  <c r="I686" i="33"/>
  <c r="G686" i="33"/>
  <c r="J685" i="33"/>
  <c r="I685" i="33"/>
  <c r="G685" i="33"/>
  <c r="J684" i="33"/>
  <c r="I684" i="33"/>
  <c r="G684" i="33"/>
  <c r="H680" i="33"/>
  <c r="F680" i="33"/>
  <c r="E680" i="33"/>
  <c r="D680" i="33"/>
  <c r="C680" i="33"/>
  <c r="B680" i="33"/>
  <c r="J679" i="33"/>
  <c r="I679" i="33"/>
  <c r="G679" i="33"/>
  <c r="J678" i="33"/>
  <c r="I678" i="33"/>
  <c r="G678" i="33"/>
  <c r="J677" i="33"/>
  <c r="I677" i="33"/>
  <c r="G677" i="33"/>
  <c r="J676" i="33"/>
  <c r="I676" i="33"/>
  <c r="G676" i="33"/>
  <c r="H672" i="33"/>
  <c r="F672" i="33"/>
  <c r="E672" i="33"/>
  <c r="D672" i="33"/>
  <c r="C672" i="33"/>
  <c r="B672" i="33"/>
  <c r="J671" i="33"/>
  <c r="I671" i="33"/>
  <c r="G671" i="33"/>
  <c r="J670" i="33"/>
  <c r="I670" i="33"/>
  <c r="G670" i="33"/>
  <c r="J669" i="33"/>
  <c r="G669" i="33"/>
  <c r="J668" i="33"/>
  <c r="G668" i="33"/>
  <c r="H664" i="33"/>
  <c r="F664" i="33"/>
  <c r="E664" i="33"/>
  <c r="D664" i="33"/>
  <c r="C664" i="33"/>
  <c r="B664" i="33"/>
  <c r="J663" i="33"/>
  <c r="I663" i="33"/>
  <c r="G663" i="33"/>
  <c r="J662" i="33"/>
  <c r="I662" i="33"/>
  <c r="G662" i="33"/>
  <c r="J661" i="33"/>
  <c r="G661" i="33"/>
  <c r="J660" i="33"/>
  <c r="I660" i="33"/>
  <c r="G660" i="33"/>
  <c r="J659" i="33"/>
  <c r="I659" i="33"/>
  <c r="G659" i="33"/>
  <c r="H655" i="33"/>
  <c r="E655" i="33"/>
  <c r="D655" i="33"/>
  <c r="C655" i="33"/>
  <c r="B655" i="33"/>
  <c r="J654" i="33"/>
  <c r="I654" i="33"/>
  <c r="G654" i="33"/>
  <c r="J653" i="33"/>
  <c r="I653" i="33"/>
  <c r="G653" i="33"/>
  <c r="F653" i="33"/>
  <c r="J652" i="33"/>
  <c r="I652" i="33"/>
  <c r="G652" i="33"/>
  <c r="F652" i="33"/>
  <c r="J651" i="33"/>
  <c r="I651" i="33"/>
  <c r="G651" i="33"/>
  <c r="F651" i="33"/>
  <c r="H647" i="33"/>
  <c r="E647" i="33"/>
  <c r="D647" i="33"/>
  <c r="C647" i="33"/>
  <c r="B647" i="33"/>
  <c r="J646" i="33"/>
  <c r="I646" i="33"/>
  <c r="G646" i="33"/>
  <c r="F646" i="33"/>
  <c r="J645" i="33"/>
  <c r="I645" i="33"/>
  <c r="G645" i="33"/>
  <c r="F645" i="33"/>
  <c r="J644" i="33"/>
  <c r="I644" i="33"/>
  <c r="G644" i="33"/>
  <c r="F644" i="33"/>
  <c r="J643" i="33"/>
  <c r="I643" i="33"/>
  <c r="G643" i="33"/>
  <c r="F643" i="33"/>
  <c r="J642" i="33"/>
  <c r="I642" i="33"/>
  <c r="G642" i="33"/>
  <c r="F642" i="33"/>
  <c r="H638" i="33"/>
  <c r="E638" i="33"/>
  <c r="D638" i="33"/>
  <c r="C638" i="33"/>
  <c r="B638" i="33"/>
  <c r="J637" i="33"/>
  <c r="I637" i="33"/>
  <c r="G637" i="33"/>
  <c r="F637" i="33"/>
  <c r="J636" i="33"/>
  <c r="I636" i="33"/>
  <c r="G636" i="33"/>
  <c r="F636" i="33"/>
  <c r="J635" i="33"/>
  <c r="I635" i="33"/>
  <c r="G635" i="33"/>
  <c r="F635" i="33"/>
  <c r="J634" i="33"/>
  <c r="I634" i="33"/>
  <c r="G634" i="33"/>
  <c r="F634" i="33"/>
  <c r="H630" i="33"/>
  <c r="E630" i="33"/>
  <c r="D630" i="33"/>
  <c r="C630" i="33"/>
  <c r="B630" i="33"/>
  <c r="J629" i="33"/>
  <c r="I629" i="33"/>
  <c r="G629" i="33"/>
  <c r="F629" i="33"/>
  <c r="J628" i="33"/>
  <c r="I628" i="33"/>
  <c r="G628" i="33"/>
  <c r="F628" i="33"/>
  <c r="J627" i="33"/>
  <c r="I627" i="33"/>
  <c r="G627" i="33"/>
  <c r="F627" i="33"/>
  <c r="J626" i="33"/>
  <c r="I626" i="33"/>
  <c r="G626" i="33"/>
  <c r="F626" i="33"/>
  <c r="H622" i="33"/>
  <c r="F622" i="33"/>
  <c r="E622" i="33"/>
  <c r="D622" i="33"/>
  <c r="C622" i="33"/>
  <c r="B622" i="33"/>
  <c r="J621" i="33"/>
  <c r="G621" i="33"/>
  <c r="J620" i="33"/>
  <c r="I620" i="33"/>
  <c r="G620" i="33"/>
  <c r="J619" i="33"/>
  <c r="I619" i="33"/>
  <c r="G619" i="33"/>
  <c r="J618" i="33"/>
  <c r="I618" i="33"/>
  <c r="G618" i="33"/>
  <c r="H614" i="33"/>
  <c r="F614" i="33"/>
  <c r="E614" i="33"/>
  <c r="D614" i="33"/>
  <c r="C614" i="33"/>
  <c r="B614" i="33"/>
  <c r="J613" i="33"/>
  <c r="I613" i="33"/>
  <c r="G613" i="33"/>
  <c r="J612" i="33"/>
  <c r="I612" i="33"/>
  <c r="G612" i="33"/>
  <c r="J611" i="33"/>
  <c r="I611" i="33"/>
  <c r="G611" i="33"/>
  <c r="J610" i="33"/>
  <c r="G610" i="33"/>
  <c r="J609" i="33"/>
  <c r="I609" i="33"/>
  <c r="G609" i="33"/>
  <c r="H605" i="33"/>
  <c r="F605" i="33"/>
  <c r="E605" i="33"/>
  <c r="D605" i="33"/>
  <c r="C605" i="33"/>
  <c r="B605" i="33"/>
  <c r="J604" i="33"/>
  <c r="I604" i="33"/>
  <c r="G604" i="33"/>
  <c r="J603" i="33"/>
  <c r="I603" i="33"/>
  <c r="G603" i="33"/>
  <c r="J602" i="33"/>
  <c r="G602" i="33"/>
  <c r="J601" i="33"/>
  <c r="I601" i="33"/>
  <c r="G601" i="33"/>
  <c r="H597" i="33"/>
  <c r="F597" i="33"/>
  <c r="E597" i="33"/>
  <c r="D597" i="33"/>
  <c r="C597" i="33"/>
  <c r="B597" i="33"/>
  <c r="J596" i="33"/>
  <c r="G596" i="33"/>
  <c r="J595" i="33"/>
  <c r="I595" i="33"/>
  <c r="G595" i="33"/>
  <c r="J594" i="33"/>
  <c r="G594" i="33"/>
  <c r="J593" i="33"/>
  <c r="I593" i="33"/>
  <c r="G593" i="33"/>
  <c r="H588" i="33"/>
  <c r="F588" i="33"/>
  <c r="E588" i="33"/>
  <c r="D588" i="33"/>
  <c r="C588" i="33"/>
  <c r="B588" i="33"/>
  <c r="J587" i="33"/>
  <c r="I587" i="33"/>
  <c r="G587" i="33"/>
  <c r="J586" i="33"/>
  <c r="I586" i="33"/>
  <c r="G586" i="33"/>
  <c r="J585" i="33"/>
  <c r="G585" i="33"/>
  <c r="J584" i="33"/>
  <c r="G584" i="33"/>
  <c r="J583" i="33"/>
  <c r="I583" i="33"/>
  <c r="G583" i="33"/>
  <c r="H579" i="33"/>
  <c r="F579" i="33"/>
  <c r="E579" i="33"/>
  <c r="D579" i="33"/>
  <c r="C579" i="33"/>
  <c r="B579" i="33"/>
  <c r="J578" i="33"/>
  <c r="I578" i="33"/>
  <c r="G578" i="33"/>
  <c r="J577" i="33"/>
  <c r="I577" i="33"/>
  <c r="G577" i="33"/>
  <c r="J576" i="33"/>
  <c r="I576" i="33"/>
  <c r="G576" i="33"/>
  <c r="J575" i="33"/>
  <c r="I575" i="33"/>
  <c r="G575" i="33"/>
  <c r="H571" i="33"/>
  <c r="F571" i="33"/>
  <c r="E571" i="33"/>
  <c r="D571" i="33"/>
  <c r="C571" i="33"/>
  <c r="B571" i="33"/>
  <c r="J570" i="33"/>
  <c r="I570" i="33"/>
  <c r="G570" i="33"/>
  <c r="J569" i="33"/>
  <c r="I569" i="33"/>
  <c r="G569" i="33"/>
  <c r="J568" i="33"/>
  <c r="I568" i="33"/>
  <c r="G568" i="33"/>
  <c r="J567" i="33"/>
  <c r="I567" i="33"/>
  <c r="G567" i="33"/>
  <c r="H563" i="33"/>
  <c r="F563" i="33"/>
  <c r="E563" i="33"/>
  <c r="D563" i="33"/>
  <c r="C563" i="33"/>
  <c r="B563" i="33"/>
  <c r="J562" i="33"/>
  <c r="I562" i="33"/>
  <c r="G562" i="33"/>
  <c r="J561" i="33"/>
  <c r="I561" i="33"/>
  <c r="G561" i="33"/>
  <c r="J560" i="33"/>
  <c r="I560" i="33"/>
  <c r="G560" i="33"/>
  <c r="J559" i="33"/>
  <c r="I559" i="33"/>
  <c r="G559" i="33"/>
  <c r="J558" i="33"/>
  <c r="I558" i="33"/>
  <c r="G558" i="33"/>
  <c r="H554" i="33"/>
  <c r="F554" i="33"/>
  <c r="E554" i="33"/>
  <c r="D554" i="33"/>
  <c r="C554" i="33"/>
  <c r="B554" i="33"/>
  <c r="J553" i="33"/>
  <c r="I553" i="33"/>
  <c r="G553" i="33"/>
  <c r="J552" i="33"/>
  <c r="I552" i="33"/>
  <c r="G552" i="33"/>
  <c r="J551" i="33"/>
  <c r="I551" i="33"/>
  <c r="G551" i="33"/>
  <c r="J550" i="33"/>
  <c r="I550" i="33"/>
  <c r="G550" i="33"/>
  <c r="H546" i="33"/>
  <c r="F546" i="33"/>
  <c r="E546" i="33"/>
  <c r="D546" i="33"/>
  <c r="C546" i="33"/>
  <c r="B546" i="33"/>
  <c r="J545" i="33"/>
  <c r="I545" i="33"/>
  <c r="G545" i="33"/>
  <c r="J544" i="33"/>
  <c r="I544" i="33"/>
  <c r="G544" i="33"/>
  <c r="J543" i="33"/>
  <c r="I543" i="33"/>
  <c r="G543" i="33"/>
  <c r="J542" i="33"/>
  <c r="I542" i="33"/>
  <c r="G542" i="33"/>
  <c r="J541" i="33"/>
  <c r="I541" i="33"/>
  <c r="G541" i="33"/>
  <c r="J537" i="33"/>
  <c r="F537" i="33"/>
  <c r="E537" i="33"/>
  <c r="D537" i="33"/>
  <c r="C537" i="33"/>
  <c r="B537" i="33"/>
  <c r="I536" i="33"/>
  <c r="H536" i="33"/>
  <c r="G536" i="33"/>
  <c r="I535" i="33"/>
  <c r="H535" i="33"/>
  <c r="G535" i="33"/>
  <c r="I534" i="33"/>
  <c r="H534" i="33"/>
  <c r="G534" i="33"/>
  <c r="I533" i="33"/>
  <c r="G533" i="33"/>
  <c r="J529" i="33"/>
  <c r="F529" i="33"/>
  <c r="E529" i="33"/>
  <c r="D529" i="33"/>
  <c r="C529" i="33"/>
  <c r="B529" i="33"/>
  <c r="I528" i="33"/>
  <c r="G528" i="33"/>
  <c r="I527" i="33"/>
  <c r="H527" i="33"/>
  <c r="H529" i="33" s="1"/>
  <c r="G527" i="33"/>
  <c r="I526" i="33"/>
  <c r="G526" i="33"/>
  <c r="I525" i="33"/>
  <c r="G525" i="33"/>
  <c r="F520" i="33"/>
  <c r="E520" i="33"/>
  <c r="D520" i="33"/>
  <c r="C520" i="33"/>
  <c r="B520" i="33"/>
  <c r="J519" i="33"/>
  <c r="I519" i="33"/>
  <c r="G519" i="33"/>
  <c r="J518" i="33"/>
  <c r="I518" i="33"/>
  <c r="H518" i="33"/>
  <c r="G518" i="33"/>
  <c r="I517" i="33"/>
  <c r="H517" i="33"/>
  <c r="G517" i="33"/>
  <c r="I516" i="33"/>
  <c r="H516" i="33"/>
  <c r="G516" i="33"/>
  <c r="I515" i="33"/>
  <c r="H515" i="33"/>
  <c r="G515" i="33"/>
  <c r="F511" i="33"/>
  <c r="E511" i="33"/>
  <c r="D511" i="33"/>
  <c r="C511" i="33"/>
  <c r="B511" i="33"/>
  <c r="I510" i="33"/>
  <c r="I511" i="33" s="1"/>
  <c r="G510" i="33"/>
  <c r="J509" i="33"/>
  <c r="H509" i="33"/>
  <c r="H511" i="33" s="1"/>
  <c r="G509" i="33"/>
  <c r="J508" i="33"/>
  <c r="G508" i="33"/>
  <c r="J507" i="33"/>
  <c r="G507" i="33"/>
  <c r="J503" i="33"/>
  <c r="I503" i="33"/>
  <c r="H503" i="33"/>
  <c r="F503" i="33"/>
  <c r="E503" i="33"/>
  <c r="D503" i="33"/>
  <c r="C503" i="33"/>
  <c r="B503" i="33"/>
  <c r="G501" i="33"/>
  <c r="G500" i="33"/>
  <c r="G499" i="33"/>
  <c r="J495" i="33"/>
  <c r="I495" i="33"/>
  <c r="F495" i="33"/>
  <c r="E495" i="33"/>
  <c r="D495" i="33"/>
  <c r="C495" i="33"/>
  <c r="B495" i="33"/>
  <c r="G494" i="33"/>
  <c r="G493" i="33"/>
  <c r="G492" i="33"/>
  <c r="H491" i="33"/>
  <c r="H495" i="33" s="1"/>
  <c r="G491" i="33"/>
  <c r="G490" i="33"/>
  <c r="F486" i="33"/>
  <c r="E486" i="33"/>
  <c r="D486" i="33"/>
  <c r="C486" i="33"/>
  <c r="B486" i="33"/>
  <c r="I485" i="33"/>
  <c r="H485" i="33"/>
  <c r="G485" i="33"/>
  <c r="I484" i="33"/>
  <c r="H484" i="33"/>
  <c r="G484" i="33"/>
  <c r="I483" i="33"/>
  <c r="H483" i="33"/>
  <c r="G483" i="33"/>
  <c r="I482" i="33"/>
  <c r="H482" i="33"/>
  <c r="G482" i="33"/>
  <c r="I481" i="33"/>
  <c r="H481" i="33"/>
  <c r="G481" i="33"/>
  <c r="F477" i="33"/>
  <c r="E477" i="33"/>
  <c r="D477" i="33"/>
  <c r="C477" i="33"/>
  <c r="B477" i="33"/>
  <c r="I475" i="33"/>
  <c r="H475" i="33"/>
  <c r="G475" i="33"/>
  <c r="I474" i="33"/>
  <c r="H474" i="33"/>
  <c r="G474" i="33"/>
  <c r="I473" i="33"/>
  <c r="H473" i="33"/>
  <c r="G473" i="33"/>
  <c r="I472" i="33"/>
  <c r="H472" i="33"/>
  <c r="G472" i="33"/>
  <c r="F468" i="33"/>
  <c r="E468" i="33"/>
  <c r="D468" i="33"/>
  <c r="C468" i="33"/>
  <c r="B468" i="33"/>
  <c r="I466" i="33"/>
  <c r="G466" i="33"/>
  <c r="I465" i="33"/>
  <c r="H465" i="33"/>
  <c r="I464" i="33"/>
  <c r="H464" i="33"/>
  <c r="G464" i="33"/>
  <c r="I463" i="33"/>
  <c r="H463" i="33"/>
  <c r="G463" i="33"/>
  <c r="I462" i="33"/>
  <c r="H462" i="33"/>
  <c r="G462" i="33"/>
  <c r="F458" i="33"/>
  <c r="E458" i="33"/>
  <c r="D458" i="33"/>
  <c r="C458" i="33"/>
  <c r="B458" i="33"/>
  <c r="I456" i="33"/>
  <c r="H456" i="33"/>
  <c r="G456" i="33"/>
  <c r="I455" i="33"/>
  <c r="H455" i="33"/>
  <c r="G455" i="33"/>
  <c r="I454" i="33"/>
  <c r="H454" i="33"/>
  <c r="G454" i="33"/>
  <c r="I453" i="33"/>
  <c r="H453" i="33"/>
  <c r="G453" i="33"/>
  <c r="F449" i="33"/>
  <c r="E449" i="33"/>
  <c r="D449" i="33"/>
  <c r="C449" i="33"/>
  <c r="B449" i="33"/>
  <c r="I446" i="33"/>
  <c r="H446" i="33"/>
  <c r="G446" i="33"/>
  <c r="I445" i="33"/>
  <c r="H445" i="33"/>
  <c r="G445" i="33"/>
  <c r="I444" i="33"/>
  <c r="H444" i="33"/>
  <c r="G444" i="33"/>
  <c r="I443" i="33"/>
  <c r="H443" i="33"/>
  <c r="G443" i="33"/>
  <c r="F439" i="33"/>
  <c r="E439" i="33"/>
  <c r="D439" i="33"/>
  <c r="C439" i="33"/>
  <c r="B439" i="33"/>
  <c r="I437" i="33"/>
  <c r="H437" i="33"/>
  <c r="G437" i="33"/>
  <c r="I436" i="33"/>
  <c r="H436" i="33"/>
  <c r="G436" i="33"/>
  <c r="I435" i="33"/>
  <c r="H435" i="33"/>
  <c r="G435" i="33"/>
  <c r="I434" i="33"/>
  <c r="H434" i="33"/>
  <c r="G434" i="33"/>
  <c r="I433" i="33"/>
  <c r="H433" i="33"/>
  <c r="G433" i="33"/>
  <c r="F429" i="33"/>
  <c r="E429" i="33"/>
  <c r="D429" i="33"/>
  <c r="C429" i="33"/>
  <c r="B429" i="33"/>
  <c r="I427" i="33"/>
  <c r="H427" i="33"/>
  <c r="G427" i="33"/>
  <c r="I426" i="33"/>
  <c r="H426" i="33"/>
  <c r="I425" i="33"/>
  <c r="H425" i="33"/>
  <c r="G425" i="33"/>
  <c r="I424" i="33"/>
  <c r="H424" i="33"/>
  <c r="G424" i="33"/>
  <c r="I420" i="33"/>
  <c r="F420" i="33"/>
  <c r="E420" i="33"/>
  <c r="D420" i="33"/>
  <c r="C420" i="33"/>
  <c r="B420" i="33"/>
  <c r="H418" i="33"/>
  <c r="G418" i="33"/>
  <c r="H417" i="33"/>
  <c r="G417" i="33"/>
  <c r="H416" i="33"/>
  <c r="G416" i="33"/>
  <c r="H415" i="33"/>
  <c r="G415" i="33"/>
  <c r="I411" i="33"/>
  <c r="H411" i="33"/>
  <c r="G411" i="33"/>
  <c r="F411" i="33"/>
  <c r="E411" i="33"/>
  <c r="D411" i="33"/>
  <c r="C411" i="33"/>
  <c r="B411" i="33"/>
  <c r="I401" i="33"/>
  <c r="H401" i="33"/>
  <c r="G401" i="33"/>
  <c r="F401" i="33"/>
  <c r="E401" i="33"/>
  <c r="D401" i="33"/>
  <c r="C401" i="33"/>
  <c r="B401" i="33"/>
  <c r="I392" i="33"/>
  <c r="H392" i="33"/>
  <c r="G392" i="33"/>
  <c r="F392" i="33"/>
  <c r="E392" i="33"/>
  <c r="D392" i="33"/>
  <c r="C392" i="33"/>
  <c r="B392" i="33"/>
  <c r="I383" i="33"/>
  <c r="H383" i="33"/>
  <c r="G383" i="33"/>
  <c r="F383" i="33"/>
  <c r="E383" i="33"/>
  <c r="D383" i="33"/>
  <c r="C383" i="33"/>
  <c r="B383" i="33"/>
  <c r="I369" i="33"/>
  <c r="H369" i="33"/>
  <c r="F369" i="33"/>
  <c r="E369" i="33"/>
  <c r="D369" i="33"/>
  <c r="C369" i="33"/>
  <c r="B369" i="33"/>
  <c r="G368" i="33"/>
  <c r="G367" i="33"/>
  <c r="G366" i="33"/>
  <c r="G365" i="33"/>
  <c r="I363" i="33"/>
  <c r="H363" i="33"/>
  <c r="G363" i="33"/>
  <c r="F363" i="33"/>
  <c r="E363" i="33"/>
  <c r="D363" i="33"/>
  <c r="C363" i="33"/>
  <c r="B363" i="33"/>
  <c r="I357" i="33"/>
  <c r="H357" i="33"/>
  <c r="G357" i="33"/>
  <c r="F357" i="33"/>
  <c r="E357" i="33"/>
  <c r="D357" i="33"/>
  <c r="C357" i="33"/>
  <c r="B357" i="33"/>
  <c r="I350" i="33"/>
  <c r="H350" i="33"/>
  <c r="G350" i="33"/>
  <c r="F350" i="33"/>
  <c r="E350" i="33"/>
  <c r="D350" i="33"/>
  <c r="C350" i="33"/>
  <c r="B350" i="33"/>
  <c r="I344" i="33"/>
  <c r="H344" i="33"/>
  <c r="G344" i="33"/>
  <c r="F344" i="33"/>
  <c r="E344" i="33"/>
  <c r="D344" i="33"/>
  <c r="C344" i="33"/>
  <c r="B344" i="33"/>
  <c r="I338" i="33"/>
  <c r="H338" i="33"/>
  <c r="G338" i="33"/>
  <c r="F338" i="33"/>
  <c r="E338" i="33"/>
  <c r="D338" i="33"/>
  <c r="C338" i="33"/>
  <c r="B338" i="33"/>
  <c r="I331" i="33"/>
  <c r="H331" i="33"/>
  <c r="G331" i="33"/>
  <c r="F331" i="33"/>
  <c r="E331" i="33"/>
  <c r="D331" i="33"/>
  <c r="C331" i="33"/>
  <c r="B331" i="33"/>
  <c r="I325" i="33"/>
  <c r="H325" i="33"/>
  <c r="G325" i="33"/>
  <c r="F325" i="33"/>
  <c r="E325" i="33"/>
  <c r="D325" i="33"/>
  <c r="C325" i="33"/>
  <c r="B325" i="33"/>
  <c r="I318" i="33"/>
  <c r="H318" i="33"/>
  <c r="G318" i="33"/>
  <c r="F318" i="33"/>
  <c r="E318" i="33"/>
  <c r="D318" i="33"/>
  <c r="C318" i="33"/>
  <c r="B318" i="33"/>
  <c r="I312" i="33"/>
  <c r="H312" i="33"/>
  <c r="G312" i="33"/>
  <c r="F312" i="33"/>
  <c r="E312" i="33"/>
  <c r="D312" i="33"/>
  <c r="C312" i="33"/>
  <c r="B312" i="33"/>
  <c r="I306" i="33"/>
  <c r="H306" i="33"/>
  <c r="G306" i="33"/>
  <c r="F306" i="33"/>
  <c r="E306" i="33"/>
  <c r="D306" i="33"/>
  <c r="C306" i="33"/>
  <c r="B306" i="33"/>
  <c r="I300" i="33"/>
  <c r="H300" i="33"/>
  <c r="G300" i="33"/>
  <c r="F300" i="33"/>
  <c r="E300" i="33"/>
  <c r="D300" i="33"/>
  <c r="C300" i="33"/>
  <c r="B300" i="33"/>
  <c r="G286" i="33"/>
  <c r="F286" i="33"/>
  <c r="E286" i="33"/>
  <c r="D286" i="33"/>
  <c r="C286" i="33"/>
  <c r="B286" i="33"/>
  <c r="G280" i="33"/>
  <c r="F280" i="33"/>
  <c r="E280" i="33"/>
  <c r="D280" i="33"/>
  <c r="C280" i="33"/>
  <c r="B280" i="33"/>
  <c r="G273" i="33"/>
  <c r="F273" i="33"/>
  <c r="E273" i="33"/>
  <c r="D273" i="33"/>
  <c r="C273" i="33"/>
  <c r="B273" i="33"/>
  <c r="G267" i="33"/>
  <c r="F267" i="33"/>
  <c r="E267" i="33"/>
  <c r="D267" i="33"/>
  <c r="C267" i="33"/>
  <c r="B267" i="33"/>
  <c r="F261" i="33"/>
  <c r="E261" i="33"/>
  <c r="D261" i="33"/>
  <c r="C261" i="33"/>
  <c r="B261" i="33"/>
  <c r="J256" i="33"/>
  <c r="G256" i="33"/>
  <c r="G261" i="33" s="1"/>
  <c r="F254" i="33"/>
  <c r="E254" i="33"/>
  <c r="D254" i="33"/>
  <c r="C254" i="33"/>
  <c r="B254" i="33"/>
  <c r="J253" i="33"/>
  <c r="G253" i="33"/>
  <c r="J252" i="33"/>
  <c r="G252" i="33"/>
  <c r="J251" i="33"/>
  <c r="G251" i="33"/>
  <c r="J250" i="33"/>
  <c r="G250" i="33"/>
  <c r="F248" i="33"/>
  <c r="E248" i="33"/>
  <c r="D248" i="33"/>
  <c r="C248" i="33"/>
  <c r="B248" i="33"/>
  <c r="J247" i="33"/>
  <c r="G247" i="33"/>
  <c r="J246" i="33"/>
  <c r="G246" i="33"/>
  <c r="J245" i="33"/>
  <c r="G245" i="33"/>
  <c r="J244" i="33"/>
  <c r="G244" i="33"/>
  <c r="F242" i="33"/>
  <c r="E242" i="33"/>
  <c r="D242" i="33"/>
  <c r="C242" i="33"/>
  <c r="B242" i="33"/>
  <c r="J241" i="33"/>
  <c r="G241" i="33"/>
  <c r="J240" i="33"/>
  <c r="G240" i="33"/>
  <c r="J239" i="33"/>
  <c r="G239" i="33"/>
  <c r="J238" i="33"/>
  <c r="G238" i="33"/>
  <c r="J237" i="33"/>
  <c r="G237" i="33"/>
  <c r="F235" i="33"/>
  <c r="E235" i="33"/>
  <c r="D235" i="33"/>
  <c r="C235" i="33"/>
  <c r="B235" i="33"/>
  <c r="J234" i="33"/>
  <c r="G234" i="33"/>
  <c r="J233" i="33"/>
  <c r="G233" i="33"/>
  <c r="J232" i="33"/>
  <c r="G232" i="33"/>
  <c r="J231" i="33"/>
  <c r="G231" i="33"/>
  <c r="F229" i="33"/>
  <c r="E229" i="33"/>
  <c r="D229" i="33"/>
  <c r="C229" i="33"/>
  <c r="B229" i="33"/>
  <c r="J228" i="33"/>
  <c r="G228" i="33"/>
  <c r="J227" i="33"/>
  <c r="G227" i="33"/>
  <c r="J226" i="33"/>
  <c r="G226" i="33"/>
  <c r="J225" i="33"/>
  <c r="G225" i="33"/>
  <c r="J224" i="33"/>
  <c r="G224" i="33"/>
  <c r="F222" i="33"/>
  <c r="E222" i="33"/>
  <c r="D222" i="33"/>
  <c r="C222" i="33"/>
  <c r="B222" i="33"/>
  <c r="J221" i="33"/>
  <c r="G221" i="33"/>
  <c r="J220" i="33"/>
  <c r="G220" i="33"/>
  <c r="J219" i="33"/>
  <c r="G219" i="33"/>
  <c r="J218" i="33"/>
  <c r="G218" i="33"/>
  <c r="F216" i="33"/>
  <c r="E216" i="33"/>
  <c r="D216" i="33"/>
  <c r="C216" i="33"/>
  <c r="B216" i="33"/>
  <c r="J215" i="33"/>
  <c r="G215" i="33"/>
  <c r="J214" i="33"/>
  <c r="G214" i="33"/>
  <c r="J213" i="33"/>
  <c r="G213" i="33"/>
  <c r="J212" i="33"/>
  <c r="G212" i="33"/>
  <c r="E206" i="33"/>
  <c r="D206" i="33"/>
  <c r="C206" i="33"/>
  <c r="E201" i="33"/>
  <c r="D201" i="33"/>
  <c r="C201" i="33"/>
  <c r="E195" i="33"/>
  <c r="D195" i="33"/>
  <c r="C195" i="33"/>
  <c r="E190" i="33"/>
  <c r="D190" i="33"/>
  <c r="C190" i="33"/>
  <c r="E185" i="33"/>
  <c r="D185" i="33"/>
  <c r="C185" i="33"/>
  <c r="E179" i="33"/>
  <c r="D179" i="33"/>
  <c r="C179" i="33"/>
  <c r="E174" i="33"/>
  <c r="D174" i="33"/>
  <c r="C174" i="33"/>
  <c r="E168" i="33"/>
  <c r="D168" i="33"/>
  <c r="C168" i="33"/>
  <c r="E163" i="33"/>
  <c r="D163" i="33"/>
  <c r="C163" i="33"/>
  <c r="E158" i="33"/>
  <c r="D158" i="33"/>
  <c r="C158" i="33"/>
  <c r="E152" i="33"/>
  <c r="D152" i="33"/>
  <c r="C152" i="33"/>
  <c r="E147" i="33"/>
  <c r="D147" i="33"/>
  <c r="C147" i="33"/>
  <c r="E137" i="33"/>
  <c r="D137" i="33"/>
  <c r="C137" i="33"/>
  <c r="E131" i="33"/>
  <c r="D131" i="33"/>
  <c r="C131" i="33"/>
  <c r="E126" i="33"/>
  <c r="D126" i="33"/>
  <c r="C126" i="33"/>
  <c r="E121" i="33"/>
  <c r="D121" i="33"/>
  <c r="C121" i="33"/>
  <c r="E115" i="33"/>
  <c r="D115" i="33"/>
  <c r="C115" i="33"/>
  <c r="E110" i="33"/>
  <c r="D110" i="33"/>
  <c r="C110" i="33"/>
  <c r="E104" i="33"/>
  <c r="D104" i="33"/>
  <c r="C104" i="33"/>
  <c r="E99" i="33"/>
  <c r="D99" i="33"/>
  <c r="C99" i="33"/>
  <c r="E94" i="33"/>
  <c r="D94" i="33"/>
  <c r="C94" i="33"/>
  <c r="E89" i="33"/>
  <c r="D89" i="33"/>
  <c r="C89" i="33"/>
  <c r="E83" i="33"/>
  <c r="D83" i="33"/>
  <c r="C83" i="33"/>
  <c r="E78" i="33"/>
  <c r="D78" i="33"/>
  <c r="C78" i="33"/>
  <c r="E68" i="33"/>
  <c r="D68" i="33"/>
  <c r="C68" i="33"/>
  <c r="E62" i="33"/>
  <c r="D62" i="33"/>
  <c r="C62" i="33"/>
  <c r="E57" i="33"/>
  <c r="D57" i="33"/>
  <c r="C57" i="33"/>
  <c r="E52" i="33"/>
  <c r="D52" i="33"/>
  <c r="C52" i="33"/>
  <c r="E46" i="33"/>
  <c r="D46" i="33"/>
  <c r="C46" i="33"/>
  <c r="E41" i="33"/>
  <c r="D41" i="33"/>
  <c r="C41" i="33"/>
  <c r="E35" i="33"/>
  <c r="D35" i="33"/>
  <c r="C35" i="33"/>
  <c r="E30" i="33"/>
  <c r="D30" i="33"/>
  <c r="C30" i="33"/>
  <c r="E25" i="33"/>
  <c r="D25" i="33"/>
  <c r="C25" i="33"/>
  <c r="E19" i="33"/>
  <c r="D19" i="33"/>
  <c r="C19" i="33"/>
  <c r="E14" i="33"/>
  <c r="D14" i="33"/>
  <c r="C14" i="33"/>
  <c r="E9" i="33"/>
  <c r="D9" i="33"/>
  <c r="C9" i="33"/>
  <c r="R81" i="69"/>
  <c r="Q81" i="69"/>
  <c r="P81" i="69"/>
  <c r="O81" i="69"/>
  <c r="N81" i="69"/>
  <c r="M81" i="69"/>
  <c r="L81" i="69"/>
  <c r="K81" i="69"/>
  <c r="J81" i="69"/>
  <c r="I81" i="69"/>
  <c r="H81" i="69"/>
  <c r="G81" i="69"/>
  <c r="F81" i="69"/>
  <c r="E81" i="69"/>
  <c r="D81" i="69"/>
  <c r="C81" i="69"/>
  <c r="B81" i="69"/>
  <c r="AA80" i="69"/>
  <c r="Z80" i="69"/>
  <c r="Y80" i="69"/>
  <c r="X80" i="69"/>
  <c r="W80" i="69"/>
  <c r="V80" i="69"/>
  <c r="U80" i="69"/>
  <c r="T80" i="69"/>
  <c r="S80" i="69"/>
  <c r="Z79" i="69"/>
  <c r="Y79" i="69"/>
  <c r="X79" i="69"/>
  <c r="W79" i="69"/>
  <c r="V79" i="69"/>
  <c r="U79" i="69"/>
  <c r="T79" i="69"/>
  <c r="S79" i="69"/>
  <c r="Z78" i="69"/>
  <c r="Y78" i="69"/>
  <c r="X78" i="69"/>
  <c r="W78" i="69"/>
  <c r="V78" i="69"/>
  <c r="U78" i="69"/>
  <c r="T78" i="69"/>
  <c r="S78" i="69"/>
  <c r="AA77" i="69"/>
  <c r="Z77" i="69"/>
  <c r="Y77" i="69"/>
  <c r="X77" i="69"/>
  <c r="W77" i="69"/>
  <c r="V77" i="69"/>
  <c r="U77" i="69"/>
  <c r="T77" i="69"/>
  <c r="S77" i="69"/>
  <c r="AA76" i="69"/>
  <c r="Z76" i="69"/>
  <c r="Y76" i="69"/>
  <c r="X76" i="69"/>
  <c r="W76" i="69"/>
  <c r="V76" i="69"/>
  <c r="U76" i="69"/>
  <c r="T76" i="69"/>
  <c r="S76" i="69"/>
  <c r="AA75" i="69"/>
  <c r="Z75" i="69"/>
  <c r="Y75" i="69"/>
  <c r="X75" i="69"/>
  <c r="W75" i="69"/>
  <c r="V75" i="69"/>
  <c r="U75" i="69"/>
  <c r="T75" i="69"/>
  <c r="S75" i="69"/>
  <c r="AA74" i="69"/>
  <c r="Z74" i="69"/>
  <c r="Y74" i="69"/>
  <c r="X74" i="69"/>
  <c r="W74" i="69"/>
  <c r="V74" i="69"/>
  <c r="U74" i="69"/>
  <c r="T74" i="69"/>
  <c r="S74" i="69"/>
  <c r="AA73" i="69"/>
  <c r="Z73" i="69"/>
  <c r="Y73" i="69"/>
  <c r="X73" i="69"/>
  <c r="W73" i="69"/>
  <c r="V73" i="69"/>
  <c r="U73" i="69"/>
  <c r="T73" i="69"/>
  <c r="S73" i="69"/>
  <c r="AA72" i="69"/>
  <c r="Z72" i="69"/>
  <c r="Y72" i="69"/>
  <c r="X72" i="69"/>
  <c r="W72" i="69"/>
  <c r="V72" i="69"/>
  <c r="U72" i="69"/>
  <c r="T72" i="69"/>
  <c r="S72" i="69"/>
  <c r="AA71" i="69"/>
  <c r="Z71" i="69"/>
  <c r="Y71" i="69"/>
  <c r="X71" i="69"/>
  <c r="W71" i="69"/>
  <c r="V71" i="69"/>
  <c r="U71" i="69"/>
  <c r="T71" i="69"/>
  <c r="S71" i="69"/>
  <c r="AA70" i="69"/>
  <c r="Z70" i="69"/>
  <c r="Y70" i="69"/>
  <c r="X70" i="69"/>
  <c r="W70" i="69"/>
  <c r="V70" i="69"/>
  <c r="U70" i="69"/>
  <c r="T70" i="69"/>
  <c r="S70" i="69"/>
  <c r="AA69" i="69"/>
  <c r="Z69" i="69"/>
  <c r="Y69" i="69"/>
  <c r="X69" i="69"/>
  <c r="W69" i="69"/>
  <c r="V69" i="69"/>
  <c r="U69" i="69"/>
  <c r="T69" i="69"/>
  <c r="S69" i="69"/>
  <c r="S67" i="69"/>
  <c r="R63" i="69"/>
  <c r="Q63" i="69"/>
  <c r="P63" i="69"/>
  <c r="O63" i="69"/>
  <c r="N63" i="69"/>
  <c r="M63" i="69"/>
  <c r="L63" i="69"/>
  <c r="K63" i="69"/>
  <c r="J63" i="69"/>
  <c r="I63" i="69"/>
  <c r="H63" i="69"/>
  <c r="G63" i="69"/>
  <c r="F63" i="69"/>
  <c r="E63" i="69"/>
  <c r="D63" i="69"/>
  <c r="C63" i="69"/>
  <c r="B63" i="69"/>
  <c r="AA62" i="69"/>
  <c r="Z62" i="69"/>
  <c r="Y62" i="69"/>
  <c r="X62" i="69"/>
  <c r="W62" i="69"/>
  <c r="V62" i="69"/>
  <c r="U62" i="69"/>
  <c r="T62" i="69"/>
  <c r="S62" i="69"/>
  <c r="Z61" i="69"/>
  <c r="Y61" i="69"/>
  <c r="X61" i="69"/>
  <c r="W61" i="69"/>
  <c r="V61" i="69"/>
  <c r="U61" i="69"/>
  <c r="T61" i="69"/>
  <c r="S61" i="69"/>
  <c r="Z60" i="69"/>
  <c r="Y60" i="69"/>
  <c r="X60" i="69"/>
  <c r="W60" i="69"/>
  <c r="V60" i="69"/>
  <c r="U60" i="69"/>
  <c r="T60" i="69"/>
  <c r="S60" i="69"/>
  <c r="AA59" i="69"/>
  <c r="Z59" i="69"/>
  <c r="Y59" i="69"/>
  <c r="X59" i="69"/>
  <c r="W59" i="69"/>
  <c r="V59" i="69"/>
  <c r="U59" i="69"/>
  <c r="T59" i="69"/>
  <c r="S59" i="69"/>
  <c r="AA58" i="69"/>
  <c r="Z58" i="69"/>
  <c r="Y58" i="69"/>
  <c r="X58" i="69"/>
  <c r="W58" i="69"/>
  <c r="V58" i="69"/>
  <c r="U58" i="69"/>
  <c r="T58" i="69"/>
  <c r="S58" i="69"/>
  <c r="AA57" i="69"/>
  <c r="Z57" i="69"/>
  <c r="Y57" i="69"/>
  <c r="X57" i="69"/>
  <c r="W57" i="69"/>
  <c r="V57" i="69"/>
  <c r="U57" i="69"/>
  <c r="T57" i="69"/>
  <c r="S57" i="69"/>
  <c r="AA56" i="69"/>
  <c r="Z56" i="69"/>
  <c r="Y56" i="69"/>
  <c r="X56" i="69"/>
  <c r="W56" i="69"/>
  <c r="V56" i="69"/>
  <c r="U56" i="69"/>
  <c r="T56" i="69"/>
  <c r="S56" i="69"/>
  <c r="AA55" i="69"/>
  <c r="Z55" i="69"/>
  <c r="Y55" i="69"/>
  <c r="X55" i="69"/>
  <c r="W55" i="69"/>
  <c r="V55" i="69"/>
  <c r="U55" i="69"/>
  <c r="T55" i="69"/>
  <c r="S55" i="69"/>
  <c r="AA54" i="69"/>
  <c r="Z54" i="69"/>
  <c r="Y54" i="69"/>
  <c r="X54" i="69"/>
  <c r="W54" i="69"/>
  <c r="V54" i="69"/>
  <c r="U54" i="69"/>
  <c r="T54" i="69"/>
  <c r="S54" i="69"/>
  <c r="AA53" i="69"/>
  <c r="Z53" i="69"/>
  <c r="Y53" i="69"/>
  <c r="X53" i="69"/>
  <c r="W53" i="69"/>
  <c r="V53" i="69"/>
  <c r="U53" i="69"/>
  <c r="T53" i="69"/>
  <c r="S53" i="69"/>
  <c r="AA52" i="69"/>
  <c r="Z52" i="69"/>
  <c r="Y52" i="69"/>
  <c r="X52" i="69"/>
  <c r="W52" i="69"/>
  <c r="V52" i="69"/>
  <c r="U52" i="69"/>
  <c r="T52" i="69"/>
  <c r="S52" i="69"/>
  <c r="AA51" i="69"/>
  <c r="Z51" i="69"/>
  <c r="Y51" i="69"/>
  <c r="X51" i="69"/>
  <c r="W51" i="69"/>
  <c r="V51" i="69"/>
  <c r="U51" i="69"/>
  <c r="T51" i="69"/>
  <c r="S51" i="69"/>
  <c r="S49" i="69"/>
  <c r="Y46" i="69"/>
  <c r="R40" i="69"/>
  <c r="Q40" i="69"/>
  <c r="P40" i="69"/>
  <c r="O40" i="69"/>
  <c r="N40" i="69"/>
  <c r="M40" i="69"/>
  <c r="L40" i="69"/>
  <c r="K40" i="69"/>
  <c r="J40" i="69"/>
  <c r="I40" i="69"/>
  <c r="H40" i="69"/>
  <c r="G40" i="69"/>
  <c r="F40" i="69"/>
  <c r="E40" i="69"/>
  <c r="D40" i="69"/>
  <c r="C40" i="69"/>
  <c r="B40" i="69"/>
  <c r="AA39" i="69"/>
  <c r="Z39" i="69"/>
  <c r="Y39" i="69"/>
  <c r="X39" i="69"/>
  <c r="W39" i="69"/>
  <c r="V39" i="69"/>
  <c r="U39" i="69"/>
  <c r="T39" i="69"/>
  <c r="S39" i="69"/>
  <c r="Z38" i="69"/>
  <c r="Y38" i="69"/>
  <c r="X38" i="69"/>
  <c r="W38" i="69"/>
  <c r="V38" i="69"/>
  <c r="U38" i="69"/>
  <c r="T38" i="69"/>
  <c r="S38" i="69"/>
  <c r="Z37" i="69"/>
  <c r="Y37" i="69"/>
  <c r="X37" i="69"/>
  <c r="W37" i="69"/>
  <c r="V37" i="69"/>
  <c r="U37" i="69"/>
  <c r="T37" i="69"/>
  <c r="S37" i="69"/>
  <c r="AA36" i="69"/>
  <c r="Z36" i="69"/>
  <c r="Y36" i="69"/>
  <c r="X36" i="69"/>
  <c r="W36" i="69"/>
  <c r="V36" i="69"/>
  <c r="U36" i="69"/>
  <c r="T36" i="69"/>
  <c r="S36" i="69"/>
  <c r="Z35" i="69"/>
  <c r="Y35" i="69"/>
  <c r="X35" i="69"/>
  <c r="W35" i="69"/>
  <c r="V35" i="69"/>
  <c r="U35" i="69"/>
  <c r="T35" i="69"/>
  <c r="S35" i="69"/>
  <c r="AA34" i="69"/>
  <c r="Z34" i="69"/>
  <c r="Y34" i="69"/>
  <c r="X34" i="69"/>
  <c r="W34" i="69"/>
  <c r="V34" i="69"/>
  <c r="U34" i="69"/>
  <c r="T34" i="69"/>
  <c r="S34" i="69"/>
  <c r="AA33" i="69"/>
  <c r="Z33" i="69"/>
  <c r="Y33" i="69"/>
  <c r="X33" i="69"/>
  <c r="W33" i="69"/>
  <c r="V33" i="69"/>
  <c r="U33" i="69"/>
  <c r="T33" i="69"/>
  <c r="S33" i="69"/>
  <c r="AA32" i="69"/>
  <c r="Z32" i="69"/>
  <c r="Y32" i="69"/>
  <c r="X32" i="69"/>
  <c r="W32" i="69"/>
  <c r="V32" i="69"/>
  <c r="U32" i="69"/>
  <c r="T32" i="69"/>
  <c r="S32" i="69"/>
  <c r="AA31" i="69"/>
  <c r="Z31" i="69"/>
  <c r="Y31" i="69"/>
  <c r="X31" i="69"/>
  <c r="W31" i="69"/>
  <c r="V31" i="69"/>
  <c r="U31" i="69"/>
  <c r="T31" i="69"/>
  <c r="S31" i="69"/>
  <c r="AA30" i="69"/>
  <c r="Z30" i="69"/>
  <c r="Y30" i="69"/>
  <c r="X30" i="69"/>
  <c r="W30" i="69"/>
  <c r="V30" i="69"/>
  <c r="U30" i="69"/>
  <c r="T30" i="69"/>
  <c r="S30" i="69"/>
  <c r="AA29" i="69"/>
  <c r="Z29" i="69"/>
  <c r="Y29" i="69"/>
  <c r="X29" i="69"/>
  <c r="W29" i="69"/>
  <c r="V29" i="69"/>
  <c r="U29" i="69"/>
  <c r="T29" i="69"/>
  <c r="S29" i="69"/>
  <c r="AA28" i="69"/>
  <c r="Z28" i="69"/>
  <c r="Y28" i="69"/>
  <c r="X28" i="69"/>
  <c r="W28" i="69"/>
  <c r="V28" i="69"/>
  <c r="U28" i="69"/>
  <c r="T28" i="69"/>
  <c r="S28" i="69"/>
  <c r="S26" i="69"/>
  <c r="R23" i="69"/>
  <c r="Q23" i="69"/>
  <c r="P23" i="69"/>
  <c r="O23" i="69"/>
  <c r="N23" i="69"/>
  <c r="M23" i="69"/>
  <c r="L23" i="69"/>
  <c r="K23" i="69"/>
  <c r="J23" i="69"/>
  <c r="I23" i="69"/>
  <c r="H23" i="69"/>
  <c r="AA22" i="69"/>
  <c r="Z22" i="69"/>
  <c r="Y22" i="69"/>
  <c r="X22" i="69"/>
  <c r="W22" i="69"/>
  <c r="V22" i="69"/>
  <c r="U22" i="69"/>
  <c r="T22" i="69"/>
  <c r="S22" i="69"/>
  <c r="Z21" i="69"/>
  <c r="Y21" i="69"/>
  <c r="X21" i="69"/>
  <c r="W21" i="69"/>
  <c r="V21" i="69"/>
  <c r="U21" i="69"/>
  <c r="T21" i="69"/>
  <c r="S21" i="69"/>
  <c r="Z20" i="69"/>
  <c r="Y20" i="69"/>
  <c r="X20" i="69"/>
  <c r="W20" i="69"/>
  <c r="V20" i="69"/>
  <c r="U20" i="69"/>
  <c r="T20" i="69"/>
  <c r="AA19" i="69"/>
  <c r="Z19" i="69"/>
  <c r="Y19" i="69"/>
  <c r="X19" i="69"/>
  <c r="W19" i="69"/>
  <c r="V19" i="69"/>
  <c r="U19" i="69"/>
  <c r="T19" i="69"/>
  <c r="AA18" i="69"/>
  <c r="Z18" i="69"/>
  <c r="Y18" i="69"/>
  <c r="X18" i="69"/>
  <c r="W18" i="69"/>
  <c r="V18" i="69"/>
  <c r="U18" i="69"/>
  <c r="T18" i="69"/>
  <c r="AA17" i="69"/>
  <c r="Z17" i="69"/>
  <c r="Y17" i="69"/>
  <c r="X17" i="69"/>
  <c r="W17" i="69"/>
  <c r="V17" i="69"/>
  <c r="U17" i="69"/>
  <c r="T17" i="69"/>
  <c r="AA16" i="69"/>
  <c r="Z16" i="69"/>
  <c r="Y16" i="69"/>
  <c r="X16" i="69"/>
  <c r="W16" i="69"/>
  <c r="V16" i="69"/>
  <c r="U16" i="69"/>
  <c r="T16" i="69"/>
  <c r="AA15" i="69"/>
  <c r="Z15" i="69"/>
  <c r="Y15" i="69"/>
  <c r="X15" i="69"/>
  <c r="W15" i="69"/>
  <c r="V15" i="69"/>
  <c r="U15" i="69"/>
  <c r="T15" i="69"/>
  <c r="AA14" i="69"/>
  <c r="Z14" i="69"/>
  <c r="Y14" i="69"/>
  <c r="X14" i="69"/>
  <c r="W14" i="69"/>
  <c r="V14" i="69"/>
  <c r="U14" i="69"/>
  <c r="T14" i="69"/>
  <c r="AA13" i="69"/>
  <c r="Z13" i="69"/>
  <c r="Y13" i="69"/>
  <c r="X13" i="69"/>
  <c r="W13" i="69"/>
  <c r="V13" i="69"/>
  <c r="U13" i="69"/>
  <c r="T13" i="69"/>
  <c r="AA12" i="69"/>
  <c r="Z12" i="69"/>
  <c r="Y12" i="69"/>
  <c r="X12" i="69"/>
  <c r="W12" i="69"/>
  <c r="V12" i="69"/>
  <c r="U12" i="69"/>
  <c r="T12" i="69"/>
  <c r="AA11" i="69"/>
  <c r="Z11" i="69"/>
  <c r="Y11" i="69"/>
  <c r="X11" i="69"/>
  <c r="W11" i="69"/>
  <c r="V11" i="69"/>
  <c r="U11" i="69"/>
  <c r="T11" i="69"/>
  <c r="AQ76" i="68"/>
  <c r="AF76" i="68"/>
  <c r="AE76" i="68"/>
  <c r="AC76" i="68"/>
  <c r="AB76" i="68"/>
  <c r="AA76" i="68"/>
  <c r="Z76" i="68"/>
  <c r="Y76" i="68"/>
  <c r="X76" i="68"/>
  <c r="V76" i="68"/>
  <c r="U76" i="68"/>
  <c r="T76" i="68"/>
  <c r="S76" i="68"/>
  <c r="R76" i="68"/>
  <c r="Q76" i="68"/>
  <c r="P76" i="68"/>
  <c r="O76" i="68"/>
  <c r="N76" i="68"/>
  <c r="M76" i="68"/>
  <c r="L76" i="68"/>
  <c r="K76" i="68"/>
  <c r="J76" i="68"/>
  <c r="I76" i="68"/>
  <c r="H76" i="68"/>
  <c r="G76" i="68"/>
  <c r="F76" i="68"/>
  <c r="E76" i="68"/>
  <c r="D76" i="68"/>
  <c r="C76" i="68"/>
  <c r="B76" i="68"/>
  <c r="AO75" i="68"/>
  <c r="AN75" i="68"/>
  <c r="AM75" i="68"/>
  <c r="AL75" i="68"/>
  <c r="AK75" i="68"/>
  <c r="AJ75" i="68"/>
  <c r="AI75" i="68"/>
  <c r="AH75" i="68"/>
  <c r="AG75" i="68"/>
  <c r="AN74" i="68"/>
  <c r="AM74" i="68"/>
  <c r="AL74" i="68"/>
  <c r="AK74" i="68"/>
  <c r="AJ74" i="68"/>
  <c r="AI74" i="68"/>
  <c r="AH74" i="68"/>
  <c r="AG74" i="68"/>
  <c r="W74" i="68"/>
  <c r="W76" i="68" s="1"/>
  <c r="AN73" i="68"/>
  <c r="AM73" i="68"/>
  <c r="AL73" i="68"/>
  <c r="AK73" i="68"/>
  <c r="AJ73" i="68"/>
  <c r="AI73" i="68"/>
  <c r="AH73" i="68"/>
  <c r="AG73" i="68"/>
  <c r="AO72" i="68"/>
  <c r="AN72" i="68"/>
  <c r="AM72" i="68"/>
  <c r="AL72" i="68"/>
  <c r="AK72" i="68"/>
  <c r="AJ72" i="68"/>
  <c r="AI72" i="68"/>
  <c r="AH72" i="68"/>
  <c r="AG72" i="68"/>
  <c r="AO71" i="68"/>
  <c r="AN71" i="68"/>
  <c r="AM71" i="68"/>
  <c r="AL71" i="68"/>
  <c r="AK71" i="68"/>
  <c r="AJ71" i="68"/>
  <c r="AI71" i="68"/>
  <c r="AH71" i="68"/>
  <c r="AG71" i="68"/>
  <c r="AO70" i="68"/>
  <c r="AN70" i="68"/>
  <c r="AM70" i="68"/>
  <c r="AL70" i="68"/>
  <c r="AK70" i="68"/>
  <c r="AJ70" i="68"/>
  <c r="AI70" i="68"/>
  <c r="AH70" i="68"/>
  <c r="AG70" i="68"/>
  <c r="AO69" i="68"/>
  <c r="AN69" i="68"/>
  <c r="AM69" i="68"/>
  <c r="AL69" i="68"/>
  <c r="AK69" i="68"/>
  <c r="AJ69" i="68"/>
  <c r="AI69" i="68"/>
  <c r="AH69" i="68"/>
  <c r="AG69" i="68"/>
  <c r="AD69" i="68"/>
  <c r="AO68" i="68"/>
  <c r="AN68" i="68"/>
  <c r="AM68" i="68"/>
  <c r="AL68" i="68"/>
  <c r="AK68" i="68"/>
  <c r="AJ68" i="68"/>
  <c r="AI68" i="68"/>
  <c r="AH68" i="68"/>
  <c r="AG68" i="68"/>
  <c r="AD68" i="68"/>
  <c r="AO67" i="68"/>
  <c r="AN67" i="68"/>
  <c r="AM67" i="68"/>
  <c r="AL67" i="68"/>
  <c r="AK67" i="68"/>
  <c r="AJ67" i="68"/>
  <c r="AI67" i="68"/>
  <c r="AH67" i="68"/>
  <c r="AG67" i="68"/>
  <c r="AD67" i="68"/>
  <c r="AN66" i="68"/>
  <c r="AM66" i="68"/>
  <c r="AL66" i="68"/>
  <c r="AK66" i="68"/>
  <c r="AJ66" i="68"/>
  <c r="AH66" i="68"/>
  <c r="AG66" i="68"/>
  <c r="AO65" i="68"/>
  <c r="AN65" i="68"/>
  <c r="AM65" i="68"/>
  <c r="AL65" i="68"/>
  <c r="AK65" i="68"/>
  <c r="AJ65" i="68"/>
  <c r="AH65" i="68"/>
  <c r="AG65" i="68"/>
  <c r="AO64" i="68"/>
  <c r="AN64" i="68"/>
  <c r="AM64" i="68"/>
  <c r="AL64" i="68"/>
  <c r="AK64" i="68"/>
  <c r="AJ64" i="68"/>
  <c r="AH64" i="68"/>
  <c r="AG64" i="68"/>
  <c r="AG62" i="68"/>
  <c r="AC61" i="68"/>
  <c r="AQ59" i="68"/>
  <c r="AF59" i="68"/>
  <c r="AE59" i="68"/>
  <c r="AD59" i="68"/>
  <c r="AC59" i="68"/>
  <c r="AB59" i="68"/>
  <c r="AA59" i="68"/>
  <c r="Z59" i="68"/>
  <c r="Y59" i="68"/>
  <c r="W59" i="68"/>
  <c r="V59" i="68"/>
  <c r="U59" i="68"/>
  <c r="T59" i="68"/>
  <c r="S59" i="68"/>
  <c r="R59" i="68"/>
  <c r="Q59" i="68"/>
  <c r="P59" i="68"/>
  <c r="O59" i="68"/>
  <c r="N59" i="68"/>
  <c r="M59" i="68"/>
  <c r="L59" i="68"/>
  <c r="K59" i="68"/>
  <c r="J59" i="68"/>
  <c r="I59" i="68"/>
  <c r="H59" i="68"/>
  <c r="G59" i="68"/>
  <c r="F59" i="68"/>
  <c r="E59" i="68"/>
  <c r="D59" i="68"/>
  <c r="C59" i="68"/>
  <c r="B59" i="68"/>
  <c r="AO58" i="68"/>
  <c r="AN58" i="68"/>
  <c r="AM58" i="68"/>
  <c r="AL58" i="68"/>
  <c r="AK58" i="68"/>
  <c r="AJ58" i="68"/>
  <c r="AI58" i="68"/>
  <c r="AH58" i="68"/>
  <c r="AG58" i="68"/>
  <c r="X58" i="68"/>
  <c r="X59" i="68" s="1"/>
  <c r="AN57" i="68"/>
  <c r="AM57" i="68"/>
  <c r="AL57" i="68"/>
  <c r="AK57" i="68"/>
  <c r="AJ57" i="68"/>
  <c r="AI57" i="68"/>
  <c r="AH57" i="68"/>
  <c r="AG57" i="68"/>
  <c r="AN56" i="68"/>
  <c r="AM56" i="68"/>
  <c r="AL56" i="68"/>
  <c r="AK56" i="68"/>
  <c r="AJ56" i="68"/>
  <c r="AI56" i="68"/>
  <c r="AH56" i="68"/>
  <c r="AG56" i="68"/>
  <c r="AO55" i="68"/>
  <c r="AN55" i="68"/>
  <c r="AM55" i="68"/>
  <c r="AL55" i="68"/>
  <c r="AK55" i="68"/>
  <c r="AJ55" i="68"/>
  <c r="AI55" i="68"/>
  <c r="AH55" i="68"/>
  <c r="AG55" i="68"/>
  <c r="AO54" i="68"/>
  <c r="AN54" i="68"/>
  <c r="AM54" i="68"/>
  <c r="AL54" i="68"/>
  <c r="AK54" i="68"/>
  <c r="AJ54" i="68"/>
  <c r="AI54" i="68"/>
  <c r="AH54" i="68"/>
  <c r="AG54" i="68"/>
  <c r="AO53" i="68"/>
  <c r="AN53" i="68"/>
  <c r="AM53" i="68"/>
  <c r="AL53" i="68"/>
  <c r="AK53" i="68"/>
  <c r="AJ53" i="68"/>
  <c r="AI53" i="68"/>
  <c r="AH53" i="68"/>
  <c r="AG53" i="68"/>
  <c r="AO52" i="68"/>
  <c r="AN52" i="68"/>
  <c r="AM52" i="68"/>
  <c r="AL52" i="68"/>
  <c r="AK52" i="68"/>
  <c r="AJ52" i="68"/>
  <c r="AI52" i="68"/>
  <c r="AH52" i="68"/>
  <c r="AG52" i="68"/>
  <c r="AO51" i="68"/>
  <c r="AN51" i="68"/>
  <c r="AM51" i="68"/>
  <c r="AL51" i="68"/>
  <c r="AK51" i="68"/>
  <c r="AJ51" i="68"/>
  <c r="AI51" i="68"/>
  <c r="AH51" i="68"/>
  <c r="AG51" i="68"/>
  <c r="AO50" i="68"/>
  <c r="AN50" i="68"/>
  <c r="AM50" i="68"/>
  <c r="AL50" i="68"/>
  <c r="AK50" i="68"/>
  <c r="AJ50" i="68"/>
  <c r="AH50" i="68"/>
  <c r="AG50" i="68"/>
  <c r="AO49" i="68"/>
  <c r="AN49" i="68"/>
  <c r="AM49" i="68"/>
  <c r="AL49" i="68"/>
  <c r="AK49" i="68"/>
  <c r="AJ49" i="68"/>
  <c r="AH49" i="68"/>
  <c r="AG49" i="68"/>
  <c r="AO48" i="68"/>
  <c r="AN48" i="68"/>
  <c r="AM48" i="68"/>
  <c r="AL48" i="68"/>
  <c r="AK48" i="68"/>
  <c r="AJ48" i="68"/>
  <c r="AH48" i="68"/>
  <c r="AG48" i="68"/>
  <c r="AO47" i="68"/>
  <c r="AN47" i="68"/>
  <c r="AM47" i="68"/>
  <c r="AL47" i="68"/>
  <c r="AK47" i="68"/>
  <c r="AJ47" i="68"/>
  <c r="AH47" i="68"/>
  <c r="AG47" i="68"/>
  <c r="AG45" i="68"/>
  <c r="AQ41" i="68"/>
  <c r="AF41" i="68"/>
  <c r="AE41" i="68"/>
  <c r="AD41" i="68"/>
  <c r="AC41" i="68"/>
  <c r="AB41" i="68"/>
  <c r="AA41" i="68"/>
  <c r="Z41" i="68"/>
  <c r="Y41" i="68"/>
  <c r="X41" i="68"/>
  <c r="W41" i="68"/>
  <c r="V41" i="68"/>
  <c r="U41" i="68"/>
  <c r="T41" i="68"/>
  <c r="S41" i="68"/>
  <c r="R41" i="68"/>
  <c r="Q41" i="68"/>
  <c r="P41" i="68"/>
  <c r="O41" i="68"/>
  <c r="N41" i="68"/>
  <c r="M41" i="68"/>
  <c r="L41" i="68"/>
  <c r="K41" i="68"/>
  <c r="J41" i="68"/>
  <c r="I41" i="68"/>
  <c r="H41" i="68"/>
  <c r="G41" i="68"/>
  <c r="F41" i="68"/>
  <c r="E41" i="68"/>
  <c r="D41" i="68"/>
  <c r="B41" i="68"/>
  <c r="AO40" i="68"/>
  <c r="AN40" i="68"/>
  <c r="AM40" i="68"/>
  <c r="AL40" i="68"/>
  <c r="AK40" i="68"/>
  <c r="AJ40" i="68"/>
  <c r="AI40" i="68"/>
  <c r="AH40" i="68"/>
  <c r="AG40" i="68"/>
  <c r="AN39" i="68"/>
  <c r="AM39" i="68"/>
  <c r="AL39" i="68"/>
  <c r="AK39" i="68"/>
  <c r="AJ39" i="68"/>
  <c r="AI39" i="68"/>
  <c r="AH39" i="68"/>
  <c r="AG39" i="68"/>
  <c r="C39" i="68"/>
  <c r="AN38" i="68"/>
  <c r="AM38" i="68"/>
  <c r="AL38" i="68"/>
  <c r="AK38" i="68"/>
  <c r="AJ38" i="68"/>
  <c r="AI38" i="68"/>
  <c r="AH38" i="68"/>
  <c r="AG38" i="68"/>
  <c r="AO37" i="68"/>
  <c r="AN37" i="68"/>
  <c r="AM37" i="68"/>
  <c r="AL37" i="68"/>
  <c r="AK37" i="68"/>
  <c r="AJ37" i="68"/>
  <c r="AI37" i="68"/>
  <c r="AH37" i="68"/>
  <c r="AG37" i="68"/>
  <c r="C37" i="68"/>
  <c r="AN36" i="68"/>
  <c r="AM36" i="68"/>
  <c r="AL36" i="68"/>
  <c r="AK36" i="68"/>
  <c r="AJ36" i="68"/>
  <c r="AI36" i="68"/>
  <c r="AH36" i="68"/>
  <c r="AG36" i="68"/>
  <c r="C36" i="68"/>
  <c r="AO35" i="68"/>
  <c r="AN35" i="68"/>
  <c r="AM35" i="68"/>
  <c r="AL35" i="68"/>
  <c r="AK35" i="68"/>
  <c r="AJ35" i="68"/>
  <c r="AI35" i="68"/>
  <c r="AH35" i="68"/>
  <c r="AG35" i="68"/>
  <c r="C35" i="68"/>
  <c r="AO34" i="68"/>
  <c r="AN34" i="68"/>
  <c r="AM34" i="68"/>
  <c r="AL34" i="68"/>
  <c r="AK34" i="68"/>
  <c r="AJ34" i="68"/>
  <c r="AI34" i="68"/>
  <c r="AH34" i="68"/>
  <c r="AG34" i="68"/>
  <c r="C34" i="68"/>
  <c r="AO33" i="68"/>
  <c r="AN33" i="68"/>
  <c r="AM33" i="68"/>
  <c r="AL33" i="68"/>
  <c r="AK33" i="68"/>
  <c r="AJ33" i="68"/>
  <c r="AI33" i="68"/>
  <c r="AH33" i="68"/>
  <c r="AG33" i="68"/>
  <c r="C33" i="68"/>
  <c r="AO32" i="68"/>
  <c r="AN32" i="68"/>
  <c r="AM32" i="68"/>
  <c r="AL32" i="68"/>
  <c r="AK32" i="68"/>
  <c r="AJ32" i="68"/>
  <c r="AH32" i="68"/>
  <c r="AG32" i="68"/>
  <c r="C32" i="68"/>
  <c r="AO31" i="68"/>
  <c r="AN31" i="68"/>
  <c r="AM31" i="68"/>
  <c r="AL31" i="68"/>
  <c r="AK31" i="68"/>
  <c r="AJ31" i="68"/>
  <c r="AH31" i="68"/>
  <c r="AG31" i="68"/>
  <c r="C31" i="68"/>
  <c r="AO30" i="68"/>
  <c r="AN30" i="68"/>
  <c r="AM30" i="68"/>
  <c r="AL30" i="68"/>
  <c r="AK30" i="68"/>
  <c r="AJ30" i="68"/>
  <c r="AH30" i="68"/>
  <c r="AG30" i="68"/>
  <c r="AO29" i="68"/>
  <c r="AN29" i="68"/>
  <c r="AM29" i="68"/>
  <c r="AL29" i="68"/>
  <c r="AK29" i="68"/>
  <c r="AJ29" i="68"/>
  <c r="AH29" i="68"/>
  <c r="AG29" i="68"/>
  <c r="AG27" i="68"/>
  <c r="AQ24" i="68"/>
  <c r="AF24" i="68"/>
  <c r="AE24" i="68"/>
  <c r="AD24" i="68"/>
  <c r="AC24" i="68"/>
  <c r="AB24" i="68"/>
  <c r="AA24" i="68"/>
  <c r="Z24" i="68"/>
  <c r="Y24" i="68"/>
  <c r="X24" i="68"/>
  <c r="W24" i="68"/>
  <c r="V24" i="68"/>
  <c r="AO23" i="68"/>
  <c r="AN23" i="68"/>
  <c r="AM23" i="68"/>
  <c r="AL23" i="68"/>
  <c r="AK23" i="68"/>
  <c r="AJ23" i="68"/>
  <c r="AI23" i="68"/>
  <c r="AH23" i="68"/>
  <c r="AG23" i="68"/>
  <c r="AN22" i="68"/>
  <c r="AM22" i="68"/>
  <c r="AL22" i="68"/>
  <c r="AK22" i="68"/>
  <c r="AJ22" i="68"/>
  <c r="AI22" i="68"/>
  <c r="AH22" i="68"/>
  <c r="AG22" i="68"/>
  <c r="AN21" i="68"/>
  <c r="AM21" i="68"/>
  <c r="AL21" i="68"/>
  <c r="AK21" i="68"/>
  <c r="AJ21" i="68"/>
  <c r="AI21" i="68"/>
  <c r="AH21" i="68"/>
  <c r="AG21" i="68"/>
  <c r="AO20" i="68"/>
  <c r="AN20" i="68"/>
  <c r="AM20" i="68"/>
  <c r="AL20" i="68"/>
  <c r="AK20" i="68"/>
  <c r="AJ20" i="68"/>
  <c r="AI20" i="68"/>
  <c r="AH20" i="68"/>
  <c r="AG20" i="68"/>
  <c r="AN19" i="68"/>
  <c r="AM19" i="68"/>
  <c r="AL19" i="68"/>
  <c r="AK19" i="68"/>
  <c r="AJ19" i="68"/>
  <c r="AI19" i="68"/>
  <c r="AH19" i="68"/>
  <c r="AG19" i="68"/>
  <c r="AO18" i="68"/>
  <c r="AN18" i="68"/>
  <c r="AM18" i="68"/>
  <c r="AL18" i="68"/>
  <c r="AK18" i="68"/>
  <c r="AJ18" i="68"/>
  <c r="AI18" i="68"/>
  <c r="AH18" i="68"/>
  <c r="AO17" i="68"/>
  <c r="AN17" i="68"/>
  <c r="AM17" i="68"/>
  <c r="AL17" i="68"/>
  <c r="AK17" i="68"/>
  <c r="AJ17" i="68"/>
  <c r="AI17" i="68"/>
  <c r="AH17" i="68"/>
  <c r="AO16" i="68"/>
  <c r="AN16" i="68"/>
  <c r="AM16" i="68"/>
  <c r="AL16" i="68"/>
  <c r="AK16" i="68"/>
  <c r="AJ16" i="68"/>
  <c r="AI16" i="68"/>
  <c r="AH16" i="68"/>
  <c r="AO15" i="68"/>
  <c r="AN15" i="68"/>
  <c r="AM15" i="68"/>
  <c r="AL15" i="68"/>
  <c r="AK15" i="68"/>
  <c r="AJ15" i="68"/>
  <c r="AH15" i="68"/>
  <c r="AO14" i="68"/>
  <c r="AN14" i="68"/>
  <c r="AM14" i="68"/>
  <c r="AL14" i="68"/>
  <c r="AK14" i="68"/>
  <c r="AJ14" i="68"/>
  <c r="AH14" i="68"/>
  <c r="AO13" i="68"/>
  <c r="AN13" i="68"/>
  <c r="AM13" i="68"/>
  <c r="AL13" i="68"/>
  <c r="AK13" i="68"/>
  <c r="AJ13" i="68"/>
  <c r="AH13" i="68"/>
  <c r="AO12" i="68"/>
  <c r="AN12" i="68"/>
  <c r="AM12" i="68"/>
  <c r="AL12" i="68"/>
  <c r="AK12" i="68"/>
  <c r="AJ12" i="68"/>
  <c r="AH12" i="68"/>
  <c r="I62" i="71"/>
  <c r="H62" i="71"/>
  <c r="G62" i="71"/>
  <c r="AD37" i="69" s="1"/>
  <c r="F62" i="71"/>
  <c r="E62" i="71"/>
  <c r="D62" i="71"/>
  <c r="C62" i="71"/>
  <c r="B62" i="71"/>
  <c r="I56" i="71"/>
  <c r="H56" i="71"/>
  <c r="G56" i="71"/>
  <c r="AD36" i="69" s="1"/>
  <c r="F56" i="71"/>
  <c r="AD19" i="69" s="1"/>
  <c r="E56" i="71"/>
  <c r="AR72" i="68" s="1"/>
  <c r="D56" i="71"/>
  <c r="AR55" i="68" s="1"/>
  <c r="C56" i="71"/>
  <c r="AR37" i="68" s="1"/>
  <c r="I51" i="71"/>
  <c r="H51" i="71"/>
  <c r="G51" i="71"/>
  <c r="AD35" i="69" s="1"/>
  <c r="F51" i="71"/>
  <c r="E51" i="71"/>
  <c r="D51" i="71"/>
  <c r="C51" i="71"/>
  <c r="AR36" i="68" s="1"/>
  <c r="I40" i="71"/>
  <c r="AD74" i="69" s="1"/>
  <c r="H40" i="71"/>
  <c r="AD56" i="69" s="1"/>
  <c r="G40" i="71"/>
  <c r="AD33" i="69" s="1"/>
  <c r="F40" i="71"/>
  <c r="AD16" i="69" s="1"/>
  <c r="E40" i="71"/>
  <c r="AR69" i="68" s="1"/>
  <c r="D40" i="71"/>
  <c r="AR52" i="68" s="1"/>
  <c r="C40" i="71"/>
  <c r="AR34" i="68" s="1"/>
  <c r="B40" i="71"/>
  <c r="AR17" i="68" s="1"/>
  <c r="I35" i="71"/>
  <c r="AD73" i="69" s="1"/>
  <c r="H35" i="71"/>
  <c r="AD55" i="69" s="1"/>
  <c r="G35" i="71"/>
  <c r="AD32" i="69" s="1"/>
  <c r="F35" i="71"/>
  <c r="AD15" i="69" s="1"/>
  <c r="E35" i="71"/>
  <c r="AR68" i="68" s="1"/>
  <c r="D35" i="71"/>
  <c r="AR51" i="68" s="1"/>
  <c r="C35" i="71"/>
  <c r="AR33" i="68" s="1"/>
  <c r="B35" i="71"/>
  <c r="AR16" i="68" s="1"/>
  <c r="I29" i="71"/>
  <c r="AD72" i="69" s="1"/>
  <c r="H29" i="71"/>
  <c r="AD54" i="69" s="1"/>
  <c r="G29" i="71"/>
  <c r="AD31" i="69" s="1"/>
  <c r="F29" i="71"/>
  <c r="AD14" i="69" s="1"/>
  <c r="E29" i="71"/>
  <c r="AR67" i="68" s="1"/>
  <c r="D29" i="71"/>
  <c r="AR50" i="68" s="1"/>
  <c r="C29" i="71"/>
  <c r="AR32" i="68" s="1"/>
  <c r="B29" i="71"/>
  <c r="AR15" i="68" s="1"/>
  <c r="F24" i="71"/>
  <c r="AD13" i="69" s="1"/>
  <c r="B19" i="71"/>
  <c r="AR13" i="68" s="1"/>
  <c r="I14" i="71"/>
  <c r="AD69" i="69" s="1"/>
  <c r="H14" i="71"/>
  <c r="AD51" i="69" s="1"/>
  <c r="G14" i="71"/>
  <c r="AD28" i="69" s="1"/>
  <c r="F14" i="71"/>
  <c r="AD11" i="69" s="1"/>
  <c r="E14" i="71"/>
  <c r="AR64" i="68" s="1"/>
  <c r="D14" i="71"/>
  <c r="AR47" i="68" s="1"/>
  <c r="C14" i="71"/>
  <c r="AR29" i="68" s="1"/>
  <c r="B14" i="71"/>
  <c r="AR12" i="68" s="1"/>
  <c r="K12" i="71"/>
  <c r="K11" i="71"/>
  <c r="K10" i="71"/>
  <c r="I73" i="60"/>
  <c r="H73" i="60"/>
  <c r="G73" i="60"/>
  <c r="F73" i="60"/>
  <c r="E73" i="60"/>
  <c r="D73" i="60"/>
  <c r="C73" i="60"/>
  <c r="B73" i="60"/>
  <c r="AB69" i="47"/>
  <c r="AB51" i="47"/>
  <c r="AB28" i="47"/>
  <c r="AB11" i="47"/>
  <c r="AA80" i="47"/>
  <c r="AA62" i="47"/>
  <c r="AA39" i="47"/>
  <c r="AA22" i="47"/>
  <c r="AO75" i="46"/>
  <c r="AO58" i="46"/>
  <c r="AO40" i="46"/>
  <c r="AO23" i="46"/>
  <c r="AA77" i="47"/>
  <c r="AA59" i="47"/>
  <c r="AA36" i="47"/>
  <c r="AA19" i="47"/>
  <c r="AO72" i="46"/>
  <c r="AO55" i="46"/>
  <c r="AO37" i="46"/>
  <c r="AO20" i="46"/>
  <c r="AA76" i="47"/>
  <c r="AA58" i="47"/>
  <c r="AA18" i="47"/>
  <c r="AO71" i="46"/>
  <c r="AO54" i="46"/>
  <c r="AA75" i="47"/>
  <c r="AA57" i="47"/>
  <c r="AA34" i="47"/>
  <c r="AA17" i="47"/>
  <c r="AO70" i="46"/>
  <c r="AO53" i="46"/>
  <c r="AO35" i="46"/>
  <c r="AO18" i="46"/>
  <c r="AA74" i="47"/>
  <c r="AA56" i="47"/>
  <c r="AA33" i="47"/>
  <c r="AA16" i="47"/>
  <c r="AO69" i="46"/>
  <c r="AO52" i="46"/>
  <c r="AO34" i="46"/>
  <c r="AO17" i="46"/>
  <c r="AA69" i="47"/>
  <c r="AA51" i="47"/>
  <c r="AA28" i="47"/>
  <c r="AA11" i="47"/>
  <c r="AO64" i="46"/>
  <c r="AO47" i="46"/>
  <c r="AO29" i="46"/>
  <c r="AO12" i="46"/>
  <c r="I73" i="57"/>
  <c r="Z80" i="47" s="1"/>
  <c r="H73" i="57"/>
  <c r="Z62" i="47" s="1"/>
  <c r="G73" i="57"/>
  <c r="Z39" i="47" s="1"/>
  <c r="F73" i="57"/>
  <c r="Z22" i="47" s="1"/>
  <c r="E73" i="57"/>
  <c r="AN75" i="46" s="1"/>
  <c r="D73" i="57"/>
  <c r="AN58" i="46" s="1"/>
  <c r="C73" i="57"/>
  <c r="AN40" i="46" s="1"/>
  <c r="B73" i="57"/>
  <c r="AN23" i="46" s="1"/>
  <c r="I67" i="57"/>
  <c r="Z79" i="47" s="1"/>
  <c r="H67" i="57"/>
  <c r="Z61" i="47" s="1"/>
  <c r="G67" i="57"/>
  <c r="Z38" i="47" s="1"/>
  <c r="F67" i="57"/>
  <c r="Z21" i="47" s="1"/>
  <c r="E67" i="57"/>
  <c r="AN74" i="46" s="1"/>
  <c r="D67" i="57"/>
  <c r="AN57" i="46" s="1"/>
  <c r="C67" i="57"/>
  <c r="AN39" i="46" s="1"/>
  <c r="B67" i="57"/>
  <c r="AN22" i="46" s="1"/>
  <c r="I62" i="57"/>
  <c r="H62" i="57"/>
  <c r="Z60" i="47" s="1"/>
  <c r="G62" i="57"/>
  <c r="Z37" i="47" s="1"/>
  <c r="F62" i="57"/>
  <c r="Z20" i="47" s="1"/>
  <c r="E62" i="57"/>
  <c r="AN73" i="46" s="1"/>
  <c r="D62" i="57"/>
  <c r="AN56" i="46" s="1"/>
  <c r="C62" i="57"/>
  <c r="AN38" i="46" s="1"/>
  <c r="B62" i="57"/>
  <c r="I57" i="57"/>
  <c r="Z77" i="47" s="1"/>
  <c r="H57" i="57"/>
  <c r="Z59" i="47" s="1"/>
  <c r="G57" i="57"/>
  <c r="Z36" i="47" s="1"/>
  <c r="F57" i="57"/>
  <c r="Z19" i="47" s="1"/>
  <c r="E57" i="57"/>
  <c r="AN72" i="46" s="1"/>
  <c r="D57" i="57"/>
  <c r="AN55" i="46" s="1"/>
  <c r="C57" i="57"/>
  <c r="AN37" i="46" s="1"/>
  <c r="B57" i="57"/>
  <c r="AN20" i="46" s="1"/>
  <c r="I51" i="57"/>
  <c r="Z76" i="47" s="1"/>
  <c r="H51" i="57"/>
  <c r="Z58" i="47" s="1"/>
  <c r="G51" i="57"/>
  <c r="Z35" i="47" s="1"/>
  <c r="F51" i="57"/>
  <c r="Z18" i="47" s="1"/>
  <c r="E51" i="57"/>
  <c r="AN71" i="46" s="1"/>
  <c r="D51" i="57"/>
  <c r="AN54" i="46" s="1"/>
  <c r="C51" i="57"/>
  <c r="AN36" i="46" s="1"/>
  <c r="B51" i="57"/>
  <c r="AN19" i="46" s="1"/>
  <c r="I46" i="57"/>
  <c r="Z75" i="47" s="1"/>
  <c r="H46" i="57"/>
  <c r="Z57" i="47" s="1"/>
  <c r="G46" i="57"/>
  <c r="Z34" i="47" s="1"/>
  <c r="F46" i="57"/>
  <c r="Z17" i="47" s="1"/>
  <c r="E46" i="57"/>
  <c r="AN70" i="46" s="1"/>
  <c r="D46" i="57"/>
  <c r="AN53" i="46" s="1"/>
  <c r="C46" i="57"/>
  <c r="AN35" i="46" s="1"/>
  <c r="B46" i="57"/>
  <c r="AN18" i="46" s="1"/>
  <c r="I40" i="57"/>
  <c r="Z74" i="47" s="1"/>
  <c r="H40" i="57"/>
  <c r="Z56" i="47" s="1"/>
  <c r="G40" i="57"/>
  <c r="Z33" i="47" s="1"/>
  <c r="F40" i="57"/>
  <c r="Z16" i="47" s="1"/>
  <c r="E40" i="57"/>
  <c r="AN69" i="46" s="1"/>
  <c r="D40" i="57"/>
  <c r="AN52" i="46" s="1"/>
  <c r="C40" i="57"/>
  <c r="AN34" i="46" s="1"/>
  <c r="B40" i="57"/>
  <c r="AN17" i="46" s="1"/>
  <c r="I35" i="57"/>
  <c r="Z73" i="47" s="1"/>
  <c r="H35" i="57"/>
  <c r="Z55" i="47" s="1"/>
  <c r="G35" i="57"/>
  <c r="Z32" i="47" s="1"/>
  <c r="F35" i="57"/>
  <c r="Z15" i="47" s="1"/>
  <c r="E35" i="57"/>
  <c r="AN68" i="46" s="1"/>
  <c r="D35" i="57"/>
  <c r="AN51" i="46" s="1"/>
  <c r="C35" i="57"/>
  <c r="AN33" i="46" s="1"/>
  <c r="B35" i="57"/>
  <c r="AN16" i="46" s="1"/>
  <c r="Z72" i="47"/>
  <c r="Z54" i="47"/>
  <c r="Z31" i="47"/>
  <c r="Z14" i="47"/>
  <c r="AN67" i="46"/>
  <c r="AN50" i="46"/>
  <c r="AN32" i="46"/>
  <c r="AN15" i="46"/>
  <c r="I24" i="57"/>
  <c r="Z71" i="47" s="1"/>
  <c r="H24" i="57"/>
  <c r="Z53" i="47" s="1"/>
  <c r="G24" i="57"/>
  <c r="Z30" i="47" s="1"/>
  <c r="F24" i="57"/>
  <c r="Z13" i="47" s="1"/>
  <c r="E24" i="57"/>
  <c r="AN66" i="46" s="1"/>
  <c r="D24" i="57"/>
  <c r="AN49" i="46" s="1"/>
  <c r="C24" i="57"/>
  <c r="AN31" i="46" s="1"/>
  <c r="B24" i="57"/>
  <c r="AN14" i="46" s="1"/>
  <c r="I19" i="57"/>
  <c r="Z70" i="47" s="1"/>
  <c r="H19" i="57"/>
  <c r="Z52" i="47" s="1"/>
  <c r="G19" i="57"/>
  <c r="Z29" i="47" s="1"/>
  <c r="F19" i="57"/>
  <c r="Z12" i="47" s="1"/>
  <c r="E19" i="57"/>
  <c r="AN65" i="46" s="1"/>
  <c r="D19" i="57"/>
  <c r="AN48" i="46" s="1"/>
  <c r="C19" i="57"/>
  <c r="AN30" i="46" s="1"/>
  <c r="B19" i="57"/>
  <c r="AN13" i="46" s="1"/>
  <c r="I14" i="57"/>
  <c r="Z69" i="47" s="1"/>
  <c r="Z81" i="47" s="1"/>
  <c r="H14" i="57"/>
  <c r="Z51" i="47" s="1"/>
  <c r="G14" i="57"/>
  <c r="Z28" i="47" s="1"/>
  <c r="F14" i="57"/>
  <c r="Z11" i="47" s="1"/>
  <c r="E14" i="57"/>
  <c r="AN64" i="46" s="1"/>
  <c r="D14" i="57"/>
  <c r="AN47" i="46" s="1"/>
  <c r="C14" i="57"/>
  <c r="AN29" i="46" s="1"/>
  <c r="B14" i="57"/>
  <c r="AN12" i="46" s="1"/>
  <c r="I72" i="53"/>
  <c r="Y80" i="47" s="1"/>
  <c r="H72" i="53"/>
  <c r="Y62" i="47" s="1"/>
  <c r="G72" i="53"/>
  <c r="Y39" i="47" s="1"/>
  <c r="F72" i="53"/>
  <c r="Y22" i="47" s="1"/>
  <c r="E72" i="53"/>
  <c r="AM75" i="46" s="1"/>
  <c r="D72" i="53"/>
  <c r="AM58" i="46" s="1"/>
  <c r="C72" i="53"/>
  <c r="AM40" i="46" s="1"/>
  <c r="B72" i="53"/>
  <c r="AM23" i="46" s="1"/>
  <c r="I67" i="53"/>
  <c r="Y79" i="47" s="1"/>
  <c r="H67" i="53"/>
  <c r="Y61" i="47" s="1"/>
  <c r="G67" i="53"/>
  <c r="Y38" i="47" s="1"/>
  <c r="F67" i="53"/>
  <c r="Y21" i="47" s="1"/>
  <c r="E67" i="53"/>
  <c r="AM74" i="46" s="1"/>
  <c r="D67" i="53"/>
  <c r="AM57" i="46" s="1"/>
  <c r="C67" i="53"/>
  <c r="AM39" i="46" s="1"/>
  <c r="B67" i="53"/>
  <c r="AM22" i="46" s="1"/>
  <c r="I62" i="53"/>
  <c r="Y78" i="47" s="1"/>
  <c r="H62" i="53"/>
  <c r="Y60" i="47" s="1"/>
  <c r="G62" i="53"/>
  <c r="Y37" i="47" s="1"/>
  <c r="F62" i="53"/>
  <c r="Y20" i="47" s="1"/>
  <c r="E62" i="53"/>
  <c r="AM73" i="46" s="1"/>
  <c r="D62" i="53"/>
  <c r="AM56" i="46" s="1"/>
  <c r="C62" i="53"/>
  <c r="AM38" i="46" s="1"/>
  <c r="B62" i="53"/>
  <c r="AM21" i="46" s="1"/>
  <c r="I56" i="53"/>
  <c r="Y77" i="47" s="1"/>
  <c r="H56" i="53"/>
  <c r="Y59" i="47" s="1"/>
  <c r="G56" i="53"/>
  <c r="Y36" i="47" s="1"/>
  <c r="F56" i="53"/>
  <c r="Y19" i="47" s="1"/>
  <c r="E56" i="53"/>
  <c r="AM72" i="46" s="1"/>
  <c r="D56" i="53"/>
  <c r="AM55" i="46" s="1"/>
  <c r="C56" i="53"/>
  <c r="AM37" i="46" s="1"/>
  <c r="B56" i="53"/>
  <c r="AM20" i="46" s="1"/>
  <c r="I51" i="53"/>
  <c r="Y76" i="47" s="1"/>
  <c r="H51" i="53"/>
  <c r="Y58" i="47" s="1"/>
  <c r="G51" i="53"/>
  <c r="Y35" i="47" s="1"/>
  <c r="F51" i="53"/>
  <c r="Y18" i="47" s="1"/>
  <c r="E51" i="53"/>
  <c r="AM71" i="46" s="1"/>
  <c r="D51" i="53"/>
  <c r="AM54" i="46" s="1"/>
  <c r="C51" i="53"/>
  <c r="AM36" i="46" s="1"/>
  <c r="B51" i="53"/>
  <c r="AM19" i="46" s="1"/>
  <c r="I46" i="53"/>
  <c r="Y75" i="47" s="1"/>
  <c r="H46" i="53"/>
  <c r="Y57" i="47" s="1"/>
  <c r="G46" i="53"/>
  <c r="Y34" i="47" s="1"/>
  <c r="F46" i="53"/>
  <c r="Y17" i="47" s="1"/>
  <c r="E46" i="53"/>
  <c r="AM70" i="46" s="1"/>
  <c r="D46" i="53"/>
  <c r="AM53" i="46" s="1"/>
  <c r="C46" i="53"/>
  <c r="AM35" i="46" s="1"/>
  <c r="B46" i="53"/>
  <c r="AM18" i="46" s="1"/>
  <c r="I40" i="53"/>
  <c r="Y74" i="47" s="1"/>
  <c r="H40" i="53"/>
  <c r="Y56" i="47" s="1"/>
  <c r="G40" i="53"/>
  <c r="Y33" i="47" s="1"/>
  <c r="F40" i="53"/>
  <c r="Y16" i="47" s="1"/>
  <c r="E40" i="53"/>
  <c r="AM69" i="46" s="1"/>
  <c r="D40" i="53"/>
  <c r="AM52" i="46" s="1"/>
  <c r="C40" i="53"/>
  <c r="AM34" i="46" s="1"/>
  <c r="B40" i="53"/>
  <c r="AM17" i="46" s="1"/>
  <c r="I35" i="53"/>
  <c r="Y73" i="47" s="1"/>
  <c r="H35" i="53"/>
  <c r="Y55" i="47" s="1"/>
  <c r="G35" i="53"/>
  <c r="Y32" i="47" s="1"/>
  <c r="F35" i="53"/>
  <c r="Y15" i="47" s="1"/>
  <c r="E35" i="53"/>
  <c r="AM68" i="46" s="1"/>
  <c r="D35" i="53"/>
  <c r="AM51" i="46" s="1"/>
  <c r="C35" i="53"/>
  <c r="AM33" i="46" s="1"/>
  <c r="B35" i="53"/>
  <c r="AM16" i="46" s="1"/>
  <c r="Y72" i="47"/>
  <c r="Y54" i="47"/>
  <c r="Y14" i="47"/>
  <c r="AM67" i="46"/>
  <c r="AM50" i="46"/>
  <c r="AM32" i="46"/>
  <c r="AM15" i="46"/>
  <c r="I24" i="53"/>
  <c r="Y71" i="47" s="1"/>
  <c r="H24" i="53"/>
  <c r="Y53" i="47" s="1"/>
  <c r="G24" i="53"/>
  <c r="Y30" i="47" s="1"/>
  <c r="F24" i="53"/>
  <c r="Y13" i="47" s="1"/>
  <c r="E24" i="53"/>
  <c r="AM66" i="46" s="1"/>
  <c r="D24" i="53"/>
  <c r="AM49" i="46" s="1"/>
  <c r="C24" i="53"/>
  <c r="AM31" i="46" s="1"/>
  <c r="B24" i="53"/>
  <c r="AM14" i="46" s="1"/>
  <c r="I19" i="53"/>
  <c r="Y70" i="47" s="1"/>
  <c r="H19" i="53"/>
  <c r="Y52" i="47" s="1"/>
  <c r="G19" i="53"/>
  <c r="Y29" i="47" s="1"/>
  <c r="F19" i="53"/>
  <c r="Y12" i="47" s="1"/>
  <c r="E19" i="53"/>
  <c r="AM65" i="46" s="1"/>
  <c r="D19" i="53"/>
  <c r="AM48" i="46" s="1"/>
  <c r="C19" i="53"/>
  <c r="AM30" i="46" s="1"/>
  <c r="B19" i="53"/>
  <c r="AM13" i="46" s="1"/>
  <c r="I14" i="53"/>
  <c r="Y69" i="47" s="1"/>
  <c r="H14" i="53"/>
  <c r="Y51" i="47" s="1"/>
  <c r="G14" i="53"/>
  <c r="Y28" i="47" s="1"/>
  <c r="F14" i="53"/>
  <c r="Y11" i="47" s="1"/>
  <c r="E14" i="53"/>
  <c r="AM64" i="46" s="1"/>
  <c r="D14" i="53"/>
  <c r="AM47" i="46" s="1"/>
  <c r="C14" i="53"/>
  <c r="AM29" i="46" s="1"/>
  <c r="B14" i="53"/>
  <c r="AM12" i="46" s="1"/>
  <c r="I72" i="51"/>
  <c r="X80" i="47" s="1"/>
  <c r="H72" i="51"/>
  <c r="X62" i="47" s="1"/>
  <c r="G72" i="51"/>
  <c r="X39" i="47" s="1"/>
  <c r="F72" i="51"/>
  <c r="X22" i="47" s="1"/>
  <c r="E72" i="51"/>
  <c r="AL75" i="46" s="1"/>
  <c r="D72" i="51"/>
  <c r="AL58" i="46" s="1"/>
  <c r="C72" i="51"/>
  <c r="AL40" i="46" s="1"/>
  <c r="B72" i="51"/>
  <c r="AL23" i="46" s="1"/>
  <c r="I67" i="51"/>
  <c r="X79" i="47" s="1"/>
  <c r="H67" i="51"/>
  <c r="X61" i="47" s="1"/>
  <c r="G67" i="51"/>
  <c r="X38" i="47" s="1"/>
  <c r="F67" i="51"/>
  <c r="X21" i="47" s="1"/>
  <c r="E67" i="51"/>
  <c r="AL74" i="46" s="1"/>
  <c r="D67" i="51"/>
  <c r="AL57" i="46" s="1"/>
  <c r="C67" i="51"/>
  <c r="AL39" i="46" s="1"/>
  <c r="B67" i="51"/>
  <c r="AL22" i="46" s="1"/>
  <c r="I62" i="51"/>
  <c r="X78" i="47" s="1"/>
  <c r="H62" i="51"/>
  <c r="X60" i="47" s="1"/>
  <c r="G62" i="51"/>
  <c r="X37" i="47" s="1"/>
  <c r="F62" i="51"/>
  <c r="X20" i="47" s="1"/>
  <c r="E62" i="51"/>
  <c r="AL73" i="46" s="1"/>
  <c r="D62" i="51"/>
  <c r="AL56" i="46" s="1"/>
  <c r="C62" i="51"/>
  <c r="AL38" i="46" s="1"/>
  <c r="B62" i="51"/>
  <c r="AL21" i="46" s="1"/>
  <c r="I56" i="51"/>
  <c r="X77" i="47" s="1"/>
  <c r="H56" i="51"/>
  <c r="X59" i="47" s="1"/>
  <c r="G56" i="51"/>
  <c r="X36" i="47" s="1"/>
  <c r="F56" i="51"/>
  <c r="X19" i="47" s="1"/>
  <c r="E56" i="51"/>
  <c r="AL72" i="46" s="1"/>
  <c r="D56" i="51"/>
  <c r="AL55" i="46" s="1"/>
  <c r="C56" i="51"/>
  <c r="AL37" i="46" s="1"/>
  <c r="B56" i="51"/>
  <c r="AL20" i="46" s="1"/>
  <c r="I51" i="51"/>
  <c r="X76" i="47" s="1"/>
  <c r="H51" i="51"/>
  <c r="X58" i="47" s="1"/>
  <c r="G51" i="51"/>
  <c r="X35" i="47" s="1"/>
  <c r="F51" i="51"/>
  <c r="X18" i="47" s="1"/>
  <c r="E51" i="51"/>
  <c r="AL71" i="46" s="1"/>
  <c r="D51" i="51"/>
  <c r="AL54" i="46" s="1"/>
  <c r="C51" i="51"/>
  <c r="AL36" i="46" s="1"/>
  <c r="B51" i="51"/>
  <c r="AL19" i="46" s="1"/>
  <c r="I46" i="51"/>
  <c r="X75" i="47" s="1"/>
  <c r="H46" i="51"/>
  <c r="X57" i="47" s="1"/>
  <c r="G46" i="51"/>
  <c r="X34" i="47" s="1"/>
  <c r="F46" i="51"/>
  <c r="X17" i="47" s="1"/>
  <c r="E46" i="51"/>
  <c r="AL70" i="46" s="1"/>
  <c r="D46" i="51"/>
  <c r="AL53" i="46" s="1"/>
  <c r="C46" i="51"/>
  <c r="AL35" i="46" s="1"/>
  <c r="B46" i="51"/>
  <c r="AL18" i="46" s="1"/>
  <c r="I40" i="51"/>
  <c r="X74" i="47" s="1"/>
  <c r="H40" i="51"/>
  <c r="X56" i="47" s="1"/>
  <c r="G40" i="51"/>
  <c r="X33" i="47" s="1"/>
  <c r="F40" i="51"/>
  <c r="X16" i="47" s="1"/>
  <c r="E40" i="51"/>
  <c r="AL69" i="46" s="1"/>
  <c r="D40" i="51"/>
  <c r="AL52" i="46" s="1"/>
  <c r="C40" i="51"/>
  <c r="AL34" i="46" s="1"/>
  <c r="B40" i="51"/>
  <c r="AL17" i="46" s="1"/>
  <c r="I35" i="51"/>
  <c r="X73" i="47" s="1"/>
  <c r="H35" i="51"/>
  <c r="X55" i="47" s="1"/>
  <c r="G35" i="51"/>
  <c r="X32" i="47" s="1"/>
  <c r="F35" i="51"/>
  <c r="X15" i="47" s="1"/>
  <c r="E35" i="51"/>
  <c r="AL68" i="46" s="1"/>
  <c r="D35" i="51"/>
  <c r="AL51" i="46" s="1"/>
  <c r="C35" i="51"/>
  <c r="AL33" i="46" s="1"/>
  <c r="B35" i="51"/>
  <c r="AL16" i="46" s="1"/>
  <c r="X72" i="47"/>
  <c r="X54" i="47"/>
  <c r="X31" i="47"/>
  <c r="X14" i="47"/>
  <c r="AL67" i="46"/>
  <c r="AL50" i="46"/>
  <c r="AL32" i="46"/>
  <c r="AL15" i="46"/>
  <c r="I24" i="51"/>
  <c r="X71" i="47" s="1"/>
  <c r="H24" i="51"/>
  <c r="X53" i="47" s="1"/>
  <c r="G24" i="51"/>
  <c r="X30" i="47" s="1"/>
  <c r="F24" i="51"/>
  <c r="X13" i="47" s="1"/>
  <c r="E24" i="51"/>
  <c r="AL66" i="46" s="1"/>
  <c r="D24" i="51"/>
  <c r="AL49" i="46" s="1"/>
  <c r="C24" i="51"/>
  <c r="AL31" i="46" s="1"/>
  <c r="B24" i="51"/>
  <c r="AL14" i="46" s="1"/>
  <c r="I19" i="51"/>
  <c r="X70" i="47" s="1"/>
  <c r="H19" i="51"/>
  <c r="X52" i="47" s="1"/>
  <c r="G19" i="51"/>
  <c r="X29" i="47" s="1"/>
  <c r="F19" i="51"/>
  <c r="X12" i="47" s="1"/>
  <c r="E19" i="51"/>
  <c r="AL65" i="46" s="1"/>
  <c r="D19" i="51"/>
  <c r="AL48" i="46" s="1"/>
  <c r="C19" i="51"/>
  <c r="AL30" i="46" s="1"/>
  <c r="B19" i="51"/>
  <c r="AL13" i="46" s="1"/>
  <c r="I14" i="51"/>
  <c r="H14" i="51"/>
  <c r="X51" i="47" s="1"/>
  <c r="G14" i="51"/>
  <c r="X28" i="47" s="1"/>
  <c r="F14" i="51"/>
  <c r="X11" i="47" s="1"/>
  <c r="E14" i="51"/>
  <c r="AL64" i="46" s="1"/>
  <c r="D14" i="51"/>
  <c r="AL47" i="46" s="1"/>
  <c r="C14" i="51"/>
  <c r="AL29" i="46" s="1"/>
  <c r="B14" i="51"/>
  <c r="AL12" i="46" s="1"/>
  <c r="I71" i="49"/>
  <c r="H71" i="49"/>
  <c r="G71" i="49"/>
  <c r="F71" i="49"/>
  <c r="E71" i="49"/>
  <c r="D71" i="49"/>
  <c r="C71" i="49"/>
  <c r="B71" i="49"/>
  <c r="I66" i="49"/>
  <c r="H66" i="49"/>
  <c r="G66" i="49"/>
  <c r="F66" i="49"/>
  <c r="E66" i="49"/>
  <c r="D66" i="49"/>
  <c r="C66" i="49"/>
  <c r="B66" i="49"/>
  <c r="I61" i="49"/>
  <c r="H61" i="49"/>
  <c r="G61" i="49"/>
  <c r="F61" i="49"/>
  <c r="E61" i="49"/>
  <c r="D61" i="49"/>
  <c r="C61" i="49"/>
  <c r="B61" i="49"/>
  <c r="I55" i="49"/>
  <c r="H55" i="49"/>
  <c r="G55" i="49"/>
  <c r="F55" i="49"/>
  <c r="E55" i="49"/>
  <c r="D55" i="49"/>
  <c r="C55" i="49"/>
  <c r="B55" i="49"/>
  <c r="I50" i="49"/>
  <c r="H50" i="49"/>
  <c r="G50" i="49"/>
  <c r="F50" i="49"/>
  <c r="E50" i="49"/>
  <c r="D50" i="49"/>
  <c r="C50" i="49"/>
  <c r="B50" i="49"/>
  <c r="I44" i="49"/>
  <c r="H44" i="49"/>
  <c r="G44" i="49"/>
  <c r="F44" i="49"/>
  <c r="E44" i="49"/>
  <c r="D44" i="49"/>
  <c r="C44" i="49"/>
  <c r="B44" i="49"/>
  <c r="I39" i="49"/>
  <c r="H39" i="49"/>
  <c r="G39" i="49"/>
  <c r="F39" i="49"/>
  <c r="E39" i="49"/>
  <c r="D39" i="49"/>
  <c r="C39" i="49"/>
  <c r="B39" i="49"/>
  <c r="W73" i="47"/>
  <c r="W81" i="47" s="1"/>
  <c r="W55" i="47"/>
  <c r="W63" i="47" s="1"/>
  <c r="W32" i="47"/>
  <c r="W40" i="47" s="1"/>
  <c r="W15" i="47"/>
  <c r="W23" i="47" s="1"/>
  <c r="AK68" i="46"/>
  <c r="AK76" i="46" s="1"/>
  <c r="AK51" i="46"/>
  <c r="AK59" i="46" s="1"/>
  <c r="AK33" i="46"/>
  <c r="AK41" i="46" s="1"/>
  <c r="AK16" i="46"/>
  <c r="AK24" i="46" s="1"/>
  <c r="I28" i="49"/>
  <c r="H28" i="49"/>
  <c r="G28" i="49"/>
  <c r="F28" i="49"/>
  <c r="E28" i="49"/>
  <c r="D28" i="49"/>
  <c r="C28" i="49"/>
  <c r="B28" i="49"/>
  <c r="I24" i="49"/>
  <c r="H24" i="49"/>
  <c r="G24" i="49"/>
  <c r="F24" i="49"/>
  <c r="E24" i="49"/>
  <c r="D24" i="49"/>
  <c r="C24" i="49"/>
  <c r="B24" i="49"/>
  <c r="I19" i="49"/>
  <c r="H19" i="49"/>
  <c r="G19" i="49"/>
  <c r="F19" i="49"/>
  <c r="E19" i="49"/>
  <c r="D19" i="49"/>
  <c r="C19" i="49"/>
  <c r="B19" i="49"/>
  <c r="I13" i="49"/>
  <c r="H13" i="49"/>
  <c r="G13" i="49"/>
  <c r="F13" i="49"/>
  <c r="E13" i="49"/>
  <c r="D13" i="49"/>
  <c r="C13" i="49"/>
  <c r="B13" i="49"/>
  <c r="I74" i="45"/>
  <c r="H74" i="45"/>
  <c r="G74" i="45"/>
  <c r="F74" i="45"/>
  <c r="E74" i="45"/>
  <c r="D74" i="45"/>
  <c r="C74" i="45"/>
  <c r="B74" i="45"/>
  <c r="I69" i="45"/>
  <c r="H69" i="45"/>
  <c r="G69" i="45"/>
  <c r="F69" i="45"/>
  <c r="E69" i="45"/>
  <c r="D69" i="45"/>
  <c r="C69" i="45"/>
  <c r="B69" i="45"/>
  <c r="I63" i="45"/>
  <c r="H63" i="45"/>
  <c r="G63" i="45"/>
  <c r="F63" i="45"/>
  <c r="E63" i="45"/>
  <c r="D63" i="45"/>
  <c r="C63" i="45"/>
  <c r="B63" i="45"/>
  <c r="I58" i="45"/>
  <c r="H58" i="45"/>
  <c r="G58" i="45"/>
  <c r="F58" i="45"/>
  <c r="E58" i="45"/>
  <c r="D58" i="45"/>
  <c r="C58" i="45"/>
  <c r="B58" i="45"/>
  <c r="I53" i="45"/>
  <c r="H53" i="45"/>
  <c r="G53" i="45"/>
  <c r="F53" i="45"/>
  <c r="E53" i="45"/>
  <c r="D53" i="45"/>
  <c r="C53" i="45"/>
  <c r="B53" i="45"/>
  <c r="I47" i="45"/>
  <c r="H47" i="45"/>
  <c r="G47" i="45"/>
  <c r="F47" i="45"/>
  <c r="E47" i="45"/>
  <c r="D47" i="45"/>
  <c r="C47" i="45"/>
  <c r="B47" i="45"/>
  <c r="I41" i="45"/>
  <c r="H41" i="45"/>
  <c r="G41" i="45"/>
  <c r="F41" i="45"/>
  <c r="E41" i="45"/>
  <c r="D41" i="45"/>
  <c r="C41" i="45"/>
  <c r="B41" i="45"/>
  <c r="I36" i="45"/>
  <c r="V73" i="47" s="1"/>
  <c r="H36" i="45"/>
  <c r="V55" i="47" s="1"/>
  <c r="G36" i="45"/>
  <c r="V32" i="47" s="1"/>
  <c r="F36" i="45"/>
  <c r="V15" i="47" s="1"/>
  <c r="E36" i="45"/>
  <c r="AJ68" i="46" s="1"/>
  <c r="D36" i="45"/>
  <c r="AJ51" i="46" s="1"/>
  <c r="C36" i="45"/>
  <c r="AJ33" i="46" s="1"/>
  <c r="B36" i="45"/>
  <c r="AJ16" i="46" s="1"/>
  <c r="N23" i="45"/>
  <c r="M23" i="45"/>
  <c r="V31" i="47"/>
  <c r="V14" i="47"/>
  <c r="AJ67" i="46"/>
  <c r="AJ50" i="46"/>
  <c r="AJ32" i="46"/>
  <c r="AJ15" i="46"/>
  <c r="N30" i="45"/>
  <c r="M30" i="45"/>
  <c r="L30" i="45"/>
  <c r="N28" i="45"/>
  <c r="M28" i="45"/>
  <c r="L28" i="45"/>
  <c r="N27" i="45"/>
  <c r="M27" i="45"/>
  <c r="L27" i="45"/>
  <c r="N26" i="45"/>
  <c r="M26" i="45"/>
  <c r="L26" i="45"/>
  <c r="I26" i="45"/>
  <c r="H26" i="45"/>
  <c r="G26" i="45"/>
  <c r="F26" i="45"/>
  <c r="E26" i="45"/>
  <c r="D26" i="45"/>
  <c r="C26" i="45"/>
  <c r="B26" i="45"/>
  <c r="N25" i="45"/>
  <c r="M25" i="45"/>
  <c r="L25" i="45"/>
  <c r="I25" i="45"/>
  <c r="H25" i="45"/>
  <c r="G25" i="45"/>
  <c r="F25" i="45"/>
  <c r="E25" i="45"/>
  <c r="D25" i="45"/>
  <c r="C25" i="45"/>
  <c r="B25" i="45"/>
  <c r="N22" i="45"/>
  <c r="M22" i="45"/>
  <c r="L22" i="45"/>
  <c r="N21" i="45"/>
  <c r="M21" i="45"/>
  <c r="L21" i="45"/>
  <c r="N20" i="45"/>
  <c r="M20" i="45"/>
  <c r="L20" i="45"/>
  <c r="I15" i="45"/>
  <c r="H15" i="45"/>
  <c r="G15" i="45"/>
  <c r="F15" i="45"/>
  <c r="E15" i="45"/>
  <c r="D15" i="45"/>
  <c r="C15" i="45"/>
  <c r="B15" i="45"/>
  <c r="I72" i="42"/>
  <c r="H72" i="42"/>
  <c r="G72" i="42"/>
  <c r="F72" i="42"/>
  <c r="E72" i="42"/>
  <c r="D72" i="42"/>
  <c r="C72" i="42"/>
  <c r="B72" i="42"/>
  <c r="I66" i="42"/>
  <c r="H66" i="42"/>
  <c r="G66" i="42"/>
  <c r="F66" i="42"/>
  <c r="E66" i="42"/>
  <c r="D66" i="42"/>
  <c r="C66" i="42"/>
  <c r="B66" i="42"/>
  <c r="I61" i="42"/>
  <c r="H61" i="42"/>
  <c r="G61" i="42"/>
  <c r="F61" i="42"/>
  <c r="E61" i="42"/>
  <c r="D61" i="42"/>
  <c r="C61" i="42"/>
  <c r="B61" i="42"/>
  <c r="I56" i="42"/>
  <c r="H56" i="42"/>
  <c r="G56" i="42"/>
  <c r="F56" i="42"/>
  <c r="E56" i="42"/>
  <c r="D56" i="42"/>
  <c r="C56" i="42"/>
  <c r="B56" i="42"/>
  <c r="I50" i="42"/>
  <c r="H50" i="42"/>
  <c r="G50" i="42"/>
  <c r="F50" i="42"/>
  <c r="E50" i="42"/>
  <c r="D50" i="42"/>
  <c r="C50" i="42"/>
  <c r="B50" i="42"/>
  <c r="I45" i="42"/>
  <c r="H45" i="42"/>
  <c r="G45" i="42"/>
  <c r="F45" i="42"/>
  <c r="E45" i="42"/>
  <c r="D45" i="42"/>
  <c r="C45" i="42"/>
  <c r="B45" i="42"/>
  <c r="I39" i="42"/>
  <c r="H39" i="42"/>
  <c r="G39" i="42"/>
  <c r="F39" i="42"/>
  <c r="E39" i="42"/>
  <c r="D39" i="42"/>
  <c r="C39" i="42"/>
  <c r="B39" i="42"/>
  <c r="N27" i="42"/>
  <c r="U55" i="47"/>
  <c r="U63" i="47" s="1"/>
  <c r="U32" i="47"/>
  <c r="U40" i="47" s="1"/>
  <c r="U15" i="47"/>
  <c r="U23" i="47" s="1"/>
  <c r="AI68" i="46"/>
  <c r="AI76" i="46" s="1"/>
  <c r="AI51" i="46"/>
  <c r="AI59" i="46" s="1"/>
  <c r="AI33" i="46"/>
  <c r="AI41" i="46" s="1"/>
  <c r="AI16" i="46"/>
  <c r="AI24" i="46" s="1"/>
  <c r="I29" i="42"/>
  <c r="H29" i="42"/>
  <c r="F29" i="42"/>
  <c r="E29" i="42"/>
  <c r="D29" i="42"/>
  <c r="C29" i="42"/>
  <c r="B29" i="42"/>
  <c r="N28" i="42"/>
  <c r="M28" i="42"/>
  <c r="L28" i="42"/>
  <c r="L27" i="42"/>
  <c r="N26" i="42"/>
  <c r="M26" i="42"/>
  <c r="L26" i="42"/>
  <c r="N25" i="42"/>
  <c r="M25" i="42"/>
  <c r="L25" i="42"/>
  <c r="I25" i="42"/>
  <c r="H25" i="42"/>
  <c r="G25" i="42"/>
  <c r="F25" i="42"/>
  <c r="E25" i="42"/>
  <c r="D25" i="42"/>
  <c r="C25" i="42"/>
  <c r="B25" i="42"/>
  <c r="N24" i="42"/>
  <c r="M24" i="42"/>
  <c r="L24" i="42"/>
  <c r="I24" i="42"/>
  <c r="H24" i="42"/>
  <c r="G24" i="42"/>
  <c r="F24" i="42"/>
  <c r="E24" i="42"/>
  <c r="D24" i="42"/>
  <c r="C24" i="42"/>
  <c r="B24" i="42"/>
  <c r="N23" i="42"/>
  <c r="M23" i="42"/>
  <c r="L23" i="42"/>
  <c r="N21" i="42"/>
  <c r="M21" i="42"/>
  <c r="L21" i="42"/>
  <c r="N20" i="42"/>
  <c r="M20" i="42"/>
  <c r="L20" i="42"/>
  <c r="N19" i="42"/>
  <c r="M19" i="42"/>
  <c r="L19" i="42"/>
  <c r="N18" i="42"/>
  <c r="M18" i="42"/>
  <c r="L18" i="42"/>
  <c r="I18" i="42"/>
  <c r="H18" i="42"/>
  <c r="G18" i="42"/>
  <c r="F18" i="42"/>
  <c r="E18" i="42"/>
  <c r="D18" i="42"/>
  <c r="C18" i="42"/>
  <c r="B18" i="42"/>
  <c r="I13" i="42"/>
  <c r="H13" i="42"/>
  <c r="G13" i="42"/>
  <c r="F13" i="42"/>
  <c r="E13" i="42"/>
  <c r="D13" i="42"/>
  <c r="C13" i="42"/>
  <c r="B13" i="42"/>
  <c r="I110" i="40"/>
  <c r="H110" i="40"/>
  <c r="G110" i="40"/>
  <c r="F110" i="40"/>
  <c r="E110" i="40"/>
  <c r="D110" i="40"/>
  <c r="C110" i="40"/>
  <c r="B110" i="40"/>
  <c r="I104" i="40"/>
  <c r="H104" i="40"/>
  <c r="G104" i="40"/>
  <c r="F104" i="40"/>
  <c r="E104" i="40"/>
  <c r="D104" i="40"/>
  <c r="C104" i="40"/>
  <c r="B104" i="40"/>
  <c r="I99" i="40"/>
  <c r="H99" i="40"/>
  <c r="G99" i="40"/>
  <c r="F99" i="40"/>
  <c r="E99" i="40"/>
  <c r="D99" i="40"/>
  <c r="C99" i="40"/>
  <c r="B99" i="40"/>
  <c r="I94" i="40"/>
  <c r="H94" i="40"/>
  <c r="G94" i="40"/>
  <c r="F94" i="40"/>
  <c r="E94" i="40"/>
  <c r="D94" i="40"/>
  <c r="C94" i="40"/>
  <c r="B94" i="40"/>
  <c r="I88" i="40"/>
  <c r="H88" i="40"/>
  <c r="G88" i="40"/>
  <c r="F88" i="40"/>
  <c r="E88" i="40"/>
  <c r="D88" i="40"/>
  <c r="C88" i="40"/>
  <c r="B88" i="40"/>
  <c r="I83" i="40"/>
  <c r="H83" i="40"/>
  <c r="G83" i="40"/>
  <c r="F83" i="40"/>
  <c r="E83" i="40"/>
  <c r="D83" i="40"/>
  <c r="C83" i="40"/>
  <c r="B83" i="40"/>
  <c r="I76" i="40"/>
  <c r="H76" i="40"/>
  <c r="G76" i="40"/>
  <c r="E76" i="40"/>
  <c r="D76" i="40"/>
  <c r="C76" i="40"/>
  <c r="I71" i="40"/>
  <c r="H71" i="40"/>
  <c r="G71" i="40"/>
  <c r="E71" i="40"/>
  <c r="D71" i="40"/>
  <c r="C71" i="40"/>
  <c r="I65" i="40"/>
  <c r="H65" i="40"/>
  <c r="G65" i="40"/>
  <c r="E65" i="40"/>
  <c r="D65" i="40"/>
  <c r="C65" i="40"/>
  <c r="I60" i="40"/>
  <c r="H60" i="40"/>
  <c r="G60" i="40"/>
  <c r="E60" i="40"/>
  <c r="D60" i="40"/>
  <c r="C60" i="40"/>
  <c r="I55" i="40"/>
  <c r="H55" i="40"/>
  <c r="G55" i="40"/>
  <c r="E55" i="40"/>
  <c r="D55" i="40"/>
  <c r="C55" i="40"/>
  <c r="I49" i="40"/>
  <c r="H49" i="40"/>
  <c r="G49" i="40"/>
  <c r="E49" i="40"/>
  <c r="D49" i="40"/>
  <c r="C49" i="40"/>
  <c r="I44" i="40"/>
  <c r="H44" i="40"/>
  <c r="G44" i="40"/>
  <c r="E44" i="40"/>
  <c r="D44" i="40"/>
  <c r="C44" i="40"/>
  <c r="I39" i="40"/>
  <c r="H39" i="40"/>
  <c r="G39" i="40"/>
  <c r="F39" i="40"/>
  <c r="E39" i="40"/>
  <c r="D39" i="40"/>
  <c r="C39" i="40"/>
  <c r="B39" i="40"/>
  <c r="N26" i="40"/>
  <c r="T55" i="47"/>
  <c r="T63" i="47" s="1"/>
  <c r="L26" i="40"/>
  <c r="T15" i="47"/>
  <c r="T23" i="47" s="1"/>
  <c r="AH68" i="46"/>
  <c r="AH76" i="46" s="1"/>
  <c r="AH51" i="46"/>
  <c r="AH59" i="46" s="1"/>
  <c r="AH33" i="46"/>
  <c r="AH41" i="46" s="1"/>
  <c r="AH16" i="46"/>
  <c r="AH24" i="46" s="1"/>
  <c r="I29" i="40"/>
  <c r="H29" i="40"/>
  <c r="G29" i="40"/>
  <c r="F29" i="40"/>
  <c r="E29" i="40"/>
  <c r="D29" i="40"/>
  <c r="C29" i="40"/>
  <c r="B29" i="40"/>
  <c r="N27" i="40"/>
  <c r="M27" i="40"/>
  <c r="L27" i="40"/>
  <c r="N25" i="40"/>
  <c r="M25" i="40"/>
  <c r="L25" i="40"/>
  <c r="N24" i="40"/>
  <c r="M24" i="40"/>
  <c r="L24" i="40"/>
  <c r="I24" i="40"/>
  <c r="H24" i="40"/>
  <c r="G24" i="40"/>
  <c r="F24" i="40"/>
  <c r="E24" i="40"/>
  <c r="D24" i="40"/>
  <c r="C24" i="40"/>
  <c r="B24" i="40"/>
  <c r="N23" i="40"/>
  <c r="M23" i="40"/>
  <c r="L23" i="40"/>
  <c r="N22" i="40"/>
  <c r="M22" i="40"/>
  <c r="L22" i="40"/>
  <c r="N21" i="40"/>
  <c r="M21" i="40"/>
  <c r="L21" i="40"/>
  <c r="N20" i="40"/>
  <c r="M20" i="40"/>
  <c r="L20" i="40"/>
  <c r="N19" i="40"/>
  <c r="M19" i="40"/>
  <c r="L19" i="40"/>
  <c r="I19" i="40"/>
  <c r="H19" i="40"/>
  <c r="G19" i="40"/>
  <c r="F19" i="40"/>
  <c r="E19" i="40"/>
  <c r="D19" i="40"/>
  <c r="C19" i="40"/>
  <c r="B19" i="40"/>
  <c r="I14" i="40"/>
  <c r="H14" i="40"/>
  <c r="G14" i="40"/>
  <c r="F14" i="40"/>
  <c r="E14" i="40"/>
  <c r="D14" i="40"/>
  <c r="C14" i="40"/>
  <c r="B14" i="40"/>
  <c r="I109" i="27"/>
  <c r="H109" i="27"/>
  <c r="G109" i="27"/>
  <c r="F109" i="27"/>
  <c r="E109" i="27"/>
  <c r="D109" i="27"/>
  <c r="C109" i="27"/>
  <c r="B109" i="27"/>
  <c r="I104" i="27"/>
  <c r="H104" i="27"/>
  <c r="G104" i="27"/>
  <c r="F104" i="27"/>
  <c r="E104" i="27"/>
  <c r="D104" i="27"/>
  <c r="C104" i="27"/>
  <c r="B104" i="27"/>
  <c r="I99" i="27"/>
  <c r="H99" i="27"/>
  <c r="G99" i="27"/>
  <c r="F99" i="27"/>
  <c r="E99" i="27"/>
  <c r="D99" i="27"/>
  <c r="C99" i="27"/>
  <c r="B99" i="27"/>
  <c r="I93" i="27"/>
  <c r="H93" i="27"/>
  <c r="G93" i="27"/>
  <c r="F93" i="27"/>
  <c r="E93" i="27"/>
  <c r="D93" i="27"/>
  <c r="C93" i="27"/>
  <c r="B93" i="27"/>
  <c r="I88" i="27"/>
  <c r="H88" i="27"/>
  <c r="G88" i="27"/>
  <c r="F88" i="27"/>
  <c r="E88" i="27"/>
  <c r="D88" i="27"/>
  <c r="C88" i="27"/>
  <c r="B88" i="27"/>
  <c r="I83" i="27"/>
  <c r="H83" i="27"/>
  <c r="G83" i="27"/>
  <c r="F83" i="27"/>
  <c r="E83" i="27"/>
  <c r="D83" i="27"/>
  <c r="C83" i="27"/>
  <c r="B83" i="27"/>
  <c r="I76" i="27"/>
  <c r="H76" i="27"/>
  <c r="G76" i="27"/>
  <c r="E76" i="27"/>
  <c r="D76" i="27"/>
  <c r="C76" i="27"/>
  <c r="I71" i="27"/>
  <c r="H71" i="27"/>
  <c r="G71" i="27"/>
  <c r="E71" i="27"/>
  <c r="D71" i="27"/>
  <c r="C71" i="27"/>
  <c r="I65" i="27"/>
  <c r="H65" i="27"/>
  <c r="G65" i="27"/>
  <c r="E65" i="27"/>
  <c r="D65" i="27"/>
  <c r="C65" i="27"/>
  <c r="I60" i="27"/>
  <c r="H60" i="27"/>
  <c r="G60" i="27"/>
  <c r="E60" i="27"/>
  <c r="D60" i="27"/>
  <c r="C60" i="27"/>
  <c r="I55" i="27"/>
  <c r="H55" i="27"/>
  <c r="G55" i="27"/>
  <c r="E55" i="27"/>
  <c r="D55" i="27"/>
  <c r="C55" i="27"/>
  <c r="I49" i="27"/>
  <c r="H49" i="27"/>
  <c r="G49" i="27"/>
  <c r="E49" i="27"/>
  <c r="D49" i="27"/>
  <c r="C49" i="27"/>
  <c r="I44" i="27"/>
  <c r="H44" i="27"/>
  <c r="G44" i="27"/>
  <c r="E44" i="27"/>
  <c r="D44" i="27"/>
  <c r="C44" i="27"/>
  <c r="I39" i="27"/>
  <c r="H39" i="27"/>
  <c r="G39" i="27"/>
  <c r="F39" i="27"/>
  <c r="E39" i="27"/>
  <c r="D39" i="27"/>
  <c r="C39" i="27"/>
  <c r="B39" i="27"/>
  <c r="S73" i="47"/>
  <c r="S55" i="47"/>
  <c r="S32" i="47"/>
  <c r="AG68" i="46"/>
  <c r="AG51" i="46"/>
  <c r="AG33" i="46"/>
  <c r="I29" i="27"/>
  <c r="H29" i="27"/>
  <c r="G29" i="27"/>
  <c r="F29" i="27"/>
  <c r="E29" i="27"/>
  <c r="D29" i="27"/>
  <c r="C29" i="27"/>
  <c r="B29" i="27"/>
  <c r="N28" i="27"/>
  <c r="M28" i="27"/>
  <c r="L28" i="27"/>
  <c r="N27" i="27"/>
  <c r="M27" i="27"/>
  <c r="L27" i="27"/>
  <c r="N26" i="27"/>
  <c r="M26" i="27"/>
  <c r="L26" i="27"/>
  <c r="N25" i="27"/>
  <c r="M25" i="27"/>
  <c r="L25" i="27"/>
  <c r="N24" i="27"/>
  <c r="M24" i="27"/>
  <c r="L24" i="27"/>
  <c r="I24" i="27"/>
  <c r="H24" i="27"/>
  <c r="G24" i="27"/>
  <c r="F24" i="27"/>
  <c r="E24" i="27"/>
  <c r="D24" i="27"/>
  <c r="C24" i="27"/>
  <c r="B24" i="27"/>
  <c r="N23" i="27"/>
  <c r="M23" i="27"/>
  <c r="L23" i="27"/>
  <c r="N22" i="27"/>
  <c r="M22" i="27"/>
  <c r="L22" i="27"/>
  <c r="N21" i="27"/>
  <c r="M21" i="27"/>
  <c r="L21" i="27"/>
  <c r="N20" i="27"/>
  <c r="M20" i="27"/>
  <c r="L20" i="27"/>
  <c r="N19" i="27"/>
  <c r="M19" i="27"/>
  <c r="L19" i="27"/>
  <c r="I19" i="27"/>
  <c r="H19" i="27"/>
  <c r="G19" i="27"/>
  <c r="F19" i="27"/>
  <c r="E19" i="27"/>
  <c r="D19" i="27"/>
  <c r="C19" i="27"/>
  <c r="B19" i="27"/>
  <c r="I14" i="27"/>
  <c r="H14" i="27"/>
  <c r="G14" i="27"/>
  <c r="F14" i="27"/>
  <c r="E14" i="27"/>
  <c r="D14" i="27"/>
  <c r="C14" i="27"/>
  <c r="B14" i="27"/>
  <c r="G110" i="26"/>
  <c r="F110" i="26"/>
  <c r="E110" i="26"/>
  <c r="D110" i="26"/>
  <c r="C110" i="26"/>
  <c r="B110" i="26"/>
  <c r="G105" i="26"/>
  <c r="F105" i="26"/>
  <c r="E105" i="26"/>
  <c r="D105" i="26"/>
  <c r="C105" i="26"/>
  <c r="B105" i="26"/>
  <c r="G100" i="26"/>
  <c r="F100" i="26"/>
  <c r="E100" i="26"/>
  <c r="D100" i="26"/>
  <c r="C100" i="26"/>
  <c r="B100" i="26"/>
  <c r="G94" i="26"/>
  <c r="F94" i="26"/>
  <c r="E94" i="26"/>
  <c r="D94" i="26"/>
  <c r="C94" i="26"/>
  <c r="B94" i="26"/>
  <c r="G89" i="26"/>
  <c r="F89" i="26"/>
  <c r="E89" i="26"/>
  <c r="D89" i="26"/>
  <c r="C89" i="26"/>
  <c r="B89" i="26"/>
  <c r="G83" i="26"/>
  <c r="F83" i="26"/>
  <c r="E83" i="26"/>
  <c r="D83" i="26"/>
  <c r="C83" i="26"/>
  <c r="B83" i="26"/>
  <c r="G77" i="26"/>
  <c r="F77" i="26"/>
  <c r="E77" i="26"/>
  <c r="D77" i="26"/>
  <c r="C77" i="26"/>
  <c r="B77" i="26"/>
  <c r="G72" i="26"/>
  <c r="F72" i="26"/>
  <c r="E72" i="26"/>
  <c r="D72" i="26"/>
  <c r="C72" i="26"/>
  <c r="B72" i="26"/>
  <c r="G66" i="26"/>
  <c r="F66" i="26"/>
  <c r="E66" i="26"/>
  <c r="D66" i="26"/>
  <c r="C66" i="26"/>
  <c r="B66" i="26"/>
  <c r="G61" i="26"/>
  <c r="F61" i="26"/>
  <c r="E61" i="26"/>
  <c r="D61" i="26"/>
  <c r="C61" i="26"/>
  <c r="B61" i="26"/>
  <c r="G56" i="26"/>
  <c r="F56" i="26"/>
  <c r="E56" i="26"/>
  <c r="D56" i="26"/>
  <c r="C56" i="26"/>
  <c r="B56" i="26"/>
  <c r="G50" i="26"/>
  <c r="F50" i="26"/>
  <c r="E50" i="26"/>
  <c r="D50" i="26"/>
  <c r="C50" i="26"/>
  <c r="B50" i="26"/>
  <c r="G45" i="26"/>
  <c r="F45" i="26"/>
  <c r="E45" i="26"/>
  <c r="D45" i="26"/>
  <c r="C45" i="26"/>
  <c r="B45" i="26"/>
  <c r="B40" i="26"/>
  <c r="G35" i="26"/>
  <c r="G40" i="26" s="1"/>
  <c r="L24" i="26" s="1"/>
  <c r="F35" i="26"/>
  <c r="F40" i="26" s="1"/>
  <c r="K24" i="26" s="1"/>
  <c r="E35" i="26"/>
  <c r="E40" i="26" s="1"/>
  <c r="J24" i="26" s="1"/>
  <c r="D35" i="26"/>
  <c r="D40" i="26" s="1"/>
  <c r="C35" i="26"/>
  <c r="C40" i="26" s="1"/>
  <c r="B35" i="26"/>
  <c r="L30" i="26"/>
  <c r="K30" i="26"/>
  <c r="J30" i="26"/>
  <c r="L29" i="26"/>
  <c r="K29" i="26"/>
  <c r="J29" i="26"/>
  <c r="G29" i="26"/>
  <c r="F29" i="26"/>
  <c r="E29" i="26"/>
  <c r="D29" i="26"/>
  <c r="C29" i="26"/>
  <c r="B29" i="26"/>
  <c r="L28" i="26"/>
  <c r="K28" i="26"/>
  <c r="J28" i="26"/>
  <c r="L27" i="26"/>
  <c r="K27" i="26"/>
  <c r="J27" i="26"/>
  <c r="L26" i="26"/>
  <c r="K26" i="26"/>
  <c r="J26" i="26"/>
  <c r="L25" i="26"/>
  <c r="K25" i="26"/>
  <c r="J25" i="26"/>
  <c r="G24" i="26"/>
  <c r="F24" i="26"/>
  <c r="E24" i="26"/>
  <c r="D24" i="26"/>
  <c r="C24" i="26"/>
  <c r="B24" i="26"/>
  <c r="L23" i="26"/>
  <c r="K23" i="26"/>
  <c r="J23" i="26"/>
  <c r="L22" i="26"/>
  <c r="K22" i="26"/>
  <c r="J22" i="26"/>
  <c r="L21" i="26"/>
  <c r="K21" i="26"/>
  <c r="J21" i="26"/>
  <c r="L20" i="26"/>
  <c r="K20" i="26"/>
  <c r="J20" i="26"/>
  <c r="L19" i="26"/>
  <c r="K19" i="26"/>
  <c r="J19" i="26"/>
  <c r="G19" i="26"/>
  <c r="F19" i="26"/>
  <c r="E19" i="26"/>
  <c r="D19" i="26"/>
  <c r="C19" i="26"/>
  <c r="B19" i="26"/>
  <c r="G14" i="26"/>
  <c r="F14" i="26"/>
  <c r="E14" i="26"/>
  <c r="D14" i="26"/>
  <c r="C14" i="26"/>
  <c r="B14" i="26"/>
  <c r="G74" i="25"/>
  <c r="F74" i="25"/>
  <c r="E74" i="25"/>
  <c r="D74" i="25"/>
  <c r="C74" i="25"/>
  <c r="B74" i="25"/>
  <c r="J72" i="25"/>
  <c r="I72" i="25"/>
  <c r="H72" i="25"/>
  <c r="G72" i="25"/>
  <c r="F72" i="25"/>
  <c r="E72" i="25"/>
  <c r="D72" i="25"/>
  <c r="C72" i="25"/>
  <c r="B72" i="25"/>
  <c r="J71" i="25"/>
  <c r="I71" i="25"/>
  <c r="H71" i="25"/>
  <c r="J70" i="25"/>
  <c r="I70" i="25"/>
  <c r="H70" i="25"/>
  <c r="J69" i="25"/>
  <c r="I69" i="25"/>
  <c r="H69" i="25"/>
  <c r="J68" i="25"/>
  <c r="I68" i="25"/>
  <c r="H68" i="25"/>
  <c r="J67" i="25"/>
  <c r="I67" i="25"/>
  <c r="H67" i="25"/>
  <c r="G67" i="25"/>
  <c r="F67" i="25"/>
  <c r="E67" i="25"/>
  <c r="D67" i="25"/>
  <c r="C67" i="25"/>
  <c r="B67" i="25"/>
  <c r="J66" i="25"/>
  <c r="I66" i="25"/>
  <c r="H66" i="25"/>
  <c r="J65" i="25"/>
  <c r="I65" i="25"/>
  <c r="H65" i="25"/>
  <c r="J64" i="25"/>
  <c r="I64" i="25"/>
  <c r="H64" i="25"/>
  <c r="J63" i="25"/>
  <c r="I63" i="25"/>
  <c r="H63" i="25"/>
  <c r="J62" i="25"/>
  <c r="I62" i="25"/>
  <c r="H62" i="25"/>
  <c r="J61" i="25"/>
  <c r="I61" i="25"/>
  <c r="H61" i="25"/>
  <c r="G61" i="25"/>
  <c r="F61" i="25"/>
  <c r="E61" i="25"/>
  <c r="D61" i="25"/>
  <c r="C61" i="25"/>
  <c r="B61" i="25"/>
  <c r="J60" i="25"/>
  <c r="I60" i="25"/>
  <c r="H60" i="25"/>
  <c r="J59" i="25"/>
  <c r="I59" i="25"/>
  <c r="H59" i="25"/>
  <c r="J58" i="25"/>
  <c r="I58" i="25"/>
  <c r="H58" i="25"/>
  <c r="J57" i="25"/>
  <c r="I57" i="25"/>
  <c r="H57" i="25"/>
  <c r="J56" i="25"/>
  <c r="I56" i="25"/>
  <c r="H56" i="25"/>
  <c r="G56" i="25"/>
  <c r="F56" i="25"/>
  <c r="E56" i="25"/>
  <c r="D56" i="25"/>
  <c r="C56" i="25"/>
  <c r="B56" i="25"/>
  <c r="J55" i="25"/>
  <c r="I55" i="25"/>
  <c r="H55" i="25"/>
  <c r="J54" i="25"/>
  <c r="I54" i="25"/>
  <c r="H54" i="25"/>
  <c r="J53" i="25"/>
  <c r="I53" i="25"/>
  <c r="H53" i="25"/>
  <c r="J52" i="25"/>
  <c r="I52" i="25"/>
  <c r="H52" i="25"/>
  <c r="J51" i="25"/>
  <c r="I51" i="25"/>
  <c r="H51" i="25"/>
  <c r="G51" i="25"/>
  <c r="F51" i="25"/>
  <c r="E51" i="25"/>
  <c r="D51" i="25"/>
  <c r="C51" i="25"/>
  <c r="B51" i="25"/>
  <c r="J50" i="25"/>
  <c r="I50" i="25"/>
  <c r="H50" i="25"/>
  <c r="J49" i="25"/>
  <c r="I49" i="25"/>
  <c r="H49" i="25"/>
  <c r="J48" i="25"/>
  <c r="I48" i="25"/>
  <c r="H48" i="25"/>
  <c r="J47" i="25"/>
  <c r="I47" i="25"/>
  <c r="H47" i="25"/>
  <c r="J46" i="25"/>
  <c r="I46" i="25"/>
  <c r="H46" i="25"/>
  <c r="J45" i="25"/>
  <c r="I45" i="25"/>
  <c r="H45" i="25"/>
  <c r="G45" i="25"/>
  <c r="F45" i="25"/>
  <c r="E45" i="25"/>
  <c r="D45" i="25"/>
  <c r="C45" i="25"/>
  <c r="B45" i="25"/>
  <c r="J44" i="25"/>
  <c r="I44" i="25"/>
  <c r="H44" i="25"/>
  <c r="J43" i="25"/>
  <c r="I43" i="25"/>
  <c r="H43" i="25"/>
  <c r="J42" i="25"/>
  <c r="I42" i="25"/>
  <c r="H42" i="25"/>
  <c r="J41" i="25"/>
  <c r="I41" i="25"/>
  <c r="H41" i="25"/>
  <c r="J40" i="25"/>
  <c r="I40" i="25"/>
  <c r="H40" i="25"/>
  <c r="G40" i="25"/>
  <c r="F40" i="25"/>
  <c r="E40" i="25"/>
  <c r="D40" i="25"/>
  <c r="C40" i="25"/>
  <c r="B40" i="25"/>
  <c r="J39" i="25"/>
  <c r="I39" i="25"/>
  <c r="H39" i="25"/>
  <c r="J38" i="25"/>
  <c r="I38" i="25"/>
  <c r="H38" i="25"/>
  <c r="J37" i="25"/>
  <c r="I37" i="25"/>
  <c r="H37" i="25"/>
  <c r="J36" i="25"/>
  <c r="I36" i="25"/>
  <c r="H36" i="25"/>
  <c r="G35" i="25"/>
  <c r="F35" i="25"/>
  <c r="E35" i="25"/>
  <c r="D35" i="25"/>
  <c r="C35" i="25"/>
  <c r="B35" i="25"/>
  <c r="J34" i="25"/>
  <c r="J33" i="25"/>
  <c r="I74" i="25"/>
  <c r="J32" i="25"/>
  <c r="J31" i="25"/>
  <c r="H74" i="25"/>
  <c r="J30" i="25"/>
  <c r="J29" i="25"/>
  <c r="I29" i="25"/>
  <c r="H29" i="25"/>
  <c r="G29" i="25"/>
  <c r="F29" i="25"/>
  <c r="E29" i="25"/>
  <c r="D29" i="25"/>
  <c r="C29" i="25"/>
  <c r="B29" i="25"/>
  <c r="J28" i="25"/>
  <c r="I28" i="25"/>
  <c r="H28" i="25"/>
  <c r="J27" i="25"/>
  <c r="I27" i="25"/>
  <c r="H27" i="25"/>
  <c r="J26" i="25"/>
  <c r="I26" i="25"/>
  <c r="H26" i="25"/>
  <c r="J25" i="25"/>
  <c r="I25" i="25"/>
  <c r="H25" i="25"/>
  <c r="J24" i="25"/>
  <c r="I24" i="25"/>
  <c r="H24" i="25"/>
  <c r="G24" i="25"/>
  <c r="F24" i="25"/>
  <c r="E24" i="25"/>
  <c r="D24" i="25"/>
  <c r="C24" i="25"/>
  <c r="B24" i="25"/>
  <c r="J23" i="25"/>
  <c r="I23" i="25"/>
  <c r="H23" i="25"/>
  <c r="J22" i="25"/>
  <c r="I22" i="25"/>
  <c r="H22" i="25"/>
  <c r="J21" i="25"/>
  <c r="I21" i="25"/>
  <c r="H21" i="25"/>
  <c r="J20" i="25"/>
  <c r="I20" i="25"/>
  <c r="H20" i="25"/>
  <c r="J19" i="25"/>
  <c r="I19" i="25"/>
  <c r="H19" i="25"/>
  <c r="J18" i="25"/>
  <c r="I18" i="25"/>
  <c r="H18" i="25"/>
  <c r="G18" i="25"/>
  <c r="F18" i="25"/>
  <c r="E18" i="25"/>
  <c r="D18" i="25"/>
  <c r="C18" i="25"/>
  <c r="B18" i="25"/>
  <c r="J17" i="25"/>
  <c r="I17" i="25"/>
  <c r="H17" i="25"/>
  <c r="J16" i="25"/>
  <c r="I16" i="25"/>
  <c r="H16" i="25"/>
  <c r="J15" i="25"/>
  <c r="I15" i="25"/>
  <c r="H15" i="25"/>
  <c r="J14" i="25"/>
  <c r="I14" i="25"/>
  <c r="H14" i="25"/>
  <c r="J13" i="25"/>
  <c r="I13" i="25"/>
  <c r="H13" i="25"/>
  <c r="G13" i="25"/>
  <c r="F13" i="25"/>
  <c r="E13" i="25"/>
  <c r="D13" i="25"/>
  <c r="C13" i="25"/>
  <c r="B13" i="25"/>
  <c r="J12" i="25"/>
  <c r="I12" i="25"/>
  <c r="H12" i="25"/>
  <c r="J11" i="25"/>
  <c r="I11" i="25"/>
  <c r="H11" i="25"/>
  <c r="J10" i="25"/>
  <c r="I10" i="25"/>
  <c r="H10" i="25"/>
  <c r="J9" i="25"/>
  <c r="I9" i="25"/>
  <c r="H9" i="25"/>
  <c r="J71" i="19"/>
  <c r="I71" i="19"/>
  <c r="H71" i="19"/>
  <c r="G71" i="19"/>
  <c r="F71" i="19"/>
  <c r="E71" i="19"/>
  <c r="D71" i="19"/>
  <c r="C71" i="19"/>
  <c r="B71" i="19"/>
  <c r="J70" i="19"/>
  <c r="I70" i="19"/>
  <c r="H70" i="19"/>
  <c r="J69" i="19"/>
  <c r="I69" i="19"/>
  <c r="H69" i="19"/>
  <c r="J68" i="19"/>
  <c r="I68" i="19"/>
  <c r="H68" i="19"/>
  <c r="J67" i="19"/>
  <c r="I67" i="19"/>
  <c r="H67" i="19"/>
  <c r="J66" i="19"/>
  <c r="I66" i="19"/>
  <c r="H66" i="19"/>
  <c r="G66" i="19"/>
  <c r="F66" i="19"/>
  <c r="E66" i="19"/>
  <c r="D66" i="19"/>
  <c r="C66" i="19"/>
  <c r="B66" i="19"/>
  <c r="J65" i="19"/>
  <c r="I65" i="19"/>
  <c r="H65" i="19"/>
  <c r="J64" i="19"/>
  <c r="I64" i="19"/>
  <c r="H64" i="19"/>
  <c r="J63" i="19"/>
  <c r="I63" i="19"/>
  <c r="H63" i="19"/>
  <c r="J62" i="19"/>
  <c r="I62" i="19"/>
  <c r="H62" i="19"/>
  <c r="J61" i="19"/>
  <c r="I61" i="19"/>
  <c r="H61" i="19"/>
  <c r="J60" i="19"/>
  <c r="I60" i="19"/>
  <c r="H60" i="19"/>
  <c r="G60" i="19"/>
  <c r="F60" i="19"/>
  <c r="E60" i="19"/>
  <c r="D60" i="19"/>
  <c r="C60" i="19"/>
  <c r="B60" i="19"/>
  <c r="J59" i="19"/>
  <c r="I59" i="19"/>
  <c r="H59" i="19"/>
  <c r="J58" i="19"/>
  <c r="I58" i="19"/>
  <c r="H58" i="19"/>
  <c r="J57" i="19"/>
  <c r="I57" i="19"/>
  <c r="H57" i="19"/>
  <c r="J56" i="19"/>
  <c r="I56" i="19"/>
  <c r="H56" i="19"/>
  <c r="J55" i="19"/>
  <c r="I55" i="19"/>
  <c r="H55" i="19"/>
  <c r="G55" i="19"/>
  <c r="F55" i="19"/>
  <c r="E55" i="19"/>
  <c r="D55" i="19"/>
  <c r="C55" i="19"/>
  <c r="B55" i="19"/>
  <c r="J54" i="19"/>
  <c r="I54" i="19"/>
  <c r="H54" i="19"/>
  <c r="J53" i="19"/>
  <c r="I53" i="19"/>
  <c r="H53" i="19"/>
  <c r="J52" i="19"/>
  <c r="I52" i="19"/>
  <c r="H52" i="19"/>
  <c r="J51" i="19"/>
  <c r="I51" i="19"/>
  <c r="H51" i="19"/>
  <c r="J50" i="19"/>
  <c r="I50" i="19"/>
  <c r="H50" i="19"/>
  <c r="G50" i="19"/>
  <c r="F50" i="19"/>
  <c r="E50" i="19"/>
  <c r="D50" i="19"/>
  <c r="C50" i="19"/>
  <c r="B50" i="19"/>
  <c r="J49" i="19"/>
  <c r="I49" i="19"/>
  <c r="H49" i="19"/>
  <c r="J48" i="19"/>
  <c r="I48" i="19"/>
  <c r="H48" i="19"/>
  <c r="J47" i="19"/>
  <c r="I47" i="19"/>
  <c r="H47" i="19"/>
  <c r="J46" i="19"/>
  <c r="I46" i="19"/>
  <c r="H46" i="19"/>
  <c r="J45" i="19"/>
  <c r="I45" i="19"/>
  <c r="H45" i="19"/>
  <c r="J44" i="19"/>
  <c r="I44" i="19"/>
  <c r="H44" i="19"/>
  <c r="G44" i="19"/>
  <c r="F44" i="19"/>
  <c r="E44" i="19"/>
  <c r="D44" i="19"/>
  <c r="C44" i="19"/>
  <c r="B44" i="19"/>
  <c r="J43" i="19"/>
  <c r="I43" i="19"/>
  <c r="H43" i="19"/>
  <c r="J42" i="19"/>
  <c r="I42" i="19"/>
  <c r="H42" i="19"/>
  <c r="J41" i="19"/>
  <c r="I41" i="19"/>
  <c r="H41" i="19"/>
  <c r="J40" i="19"/>
  <c r="I40" i="19"/>
  <c r="H40" i="19"/>
  <c r="J39" i="19"/>
  <c r="I39" i="19"/>
  <c r="H39" i="19"/>
  <c r="J38" i="19"/>
  <c r="I38" i="19"/>
  <c r="H38" i="19"/>
  <c r="G38" i="19"/>
  <c r="F38" i="19"/>
  <c r="E38" i="19"/>
  <c r="D38" i="19"/>
  <c r="C38" i="19"/>
  <c r="B38" i="19"/>
  <c r="J37" i="19"/>
  <c r="I37" i="19"/>
  <c r="H37" i="19"/>
  <c r="J36" i="19"/>
  <c r="I36" i="19"/>
  <c r="H36" i="19"/>
  <c r="J35" i="19"/>
  <c r="I35" i="19"/>
  <c r="H35" i="19"/>
  <c r="J34" i="19"/>
  <c r="I34" i="19"/>
  <c r="H34" i="19"/>
  <c r="J33" i="19"/>
  <c r="I33" i="19"/>
  <c r="H33" i="19"/>
  <c r="G33" i="19"/>
  <c r="F33" i="19"/>
  <c r="E33" i="19"/>
  <c r="D33" i="19"/>
  <c r="C33" i="19"/>
  <c r="B33" i="19"/>
  <c r="J32" i="19"/>
  <c r="I32" i="19"/>
  <c r="H32" i="19"/>
  <c r="J31" i="19"/>
  <c r="I31" i="19"/>
  <c r="H31" i="19"/>
  <c r="J30" i="19"/>
  <c r="I30" i="19"/>
  <c r="H30" i="19"/>
  <c r="J29" i="19"/>
  <c r="I29" i="19"/>
  <c r="H29" i="19"/>
  <c r="J28" i="19"/>
  <c r="I28" i="19"/>
  <c r="H28" i="19"/>
  <c r="G28" i="19"/>
  <c r="F28" i="19"/>
  <c r="E28" i="19"/>
  <c r="D28" i="19"/>
  <c r="C28" i="19"/>
  <c r="B28" i="19"/>
  <c r="J27" i="19"/>
  <c r="I27" i="19"/>
  <c r="H27" i="19"/>
  <c r="J26" i="19"/>
  <c r="I26" i="19"/>
  <c r="H26" i="19"/>
  <c r="J25" i="19"/>
  <c r="I25" i="19"/>
  <c r="H25" i="19"/>
  <c r="J24" i="19"/>
  <c r="I24" i="19"/>
  <c r="H24" i="19"/>
  <c r="J23" i="19"/>
  <c r="I23" i="19"/>
  <c r="H23" i="19"/>
  <c r="G23" i="19"/>
  <c r="F23" i="19"/>
  <c r="E23" i="19"/>
  <c r="D23" i="19"/>
  <c r="C23" i="19"/>
  <c r="B23" i="19"/>
  <c r="J22" i="19"/>
  <c r="I22" i="19"/>
  <c r="H22" i="19"/>
  <c r="J21" i="19"/>
  <c r="I21" i="19"/>
  <c r="H21" i="19"/>
  <c r="J20" i="19"/>
  <c r="I20" i="19"/>
  <c r="H20" i="19"/>
  <c r="J19" i="19"/>
  <c r="I19" i="19"/>
  <c r="H19" i="19"/>
  <c r="J18" i="19"/>
  <c r="I18" i="19"/>
  <c r="H18" i="19"/>
  <c r="J17" i="19"/>
  <c r="I17" i="19"/>
  <c r="H17" i="19"/>
  <c r="G17" i="19"/>
  <c r="F17" i="19"/>
  <c r="E17" i="19"/>
  <c r="D17" i="19"/>
  <c r="C17" i="19"/>
  <c r="B17" i="19"/>
  <c r="J16" i="19"/>
  <c r="I16" i="19"/>
  <c r="H16" i="19"/>
  <c r="J15" i="19"/>
  <c r="I15" i="19"/>
  <c r="H15" i="19"/>
  <c r="J14" i="19"/>
  <c r="I14" i="19"/>
  <c r="H14" i="19"/>
  <c r="J13" i="19"/>
  <c r="I13" i="19"/>
  <c r="H13" i="19"/>
  <c r="J12" i="19"/>
  <c r="I12" i="19"/>
  <c r="H12" i="19"/>
  <c r="G12" i="19"/>
  <c r="F12" i="19"/>
  <c r="E12" i="19"/>
  <c r="D12" i="19"/>
  <c r="C12" i="19"/>
  <c r="B12" i="19"/>
  <c r="J11" i="19"/>
  <c r="I11" i="19"/>
  <c r="H11" i="19"/>
  <c r="J10" i="19"/>
  <c r="I10" i="19"/>
  <c r="H10" i="19"/>
  <c r="J9" i="19"/>
  <c r="I9" i="19"/>
  <c r="H9" i="19"/>
  <c r="J8" i="19"/>
  <c r="I8" i="19"/>
  <c r="H8" i="19"/>
  <c r="G68" i="20"/>
  <c r="F68" i="20"/>
  <c r="E68" i="20"/>
  <c r="D68" i="20"/>
  <c r="C68" i="20"/>
  <c r="B68" i="20"/>
  <c r="G62" i="20"/>
  <c r="F62" i="20"/>
  <c r="E62" i="20"/>
  <c r="D62" i="20"/>
  <c r="C62" i="20"/>
  <c r="B62" i="20"/>
  <c r="G57" i="20"/>
  <c r="F57" i="20"/>
  <c r="E57" i="20"/>
  <c r="D57" i="20"/>
  <c r="C57" i="20"/>
  <c r="B57" i="20"/>
  <c r="G52" i="20"/>
  <c r="F52" i="20"/>
  <c r="E52" i="20"/>
  <c r="D52" i="20"/>
  <c r="C52" i="20"/>
  <c r="B52" i="20"/>
  <c r="G46" i="20"/>
  <c r="F46" i="20"/>
  <c r="E46" i="20"/>
  <c r="D46" i="20"/>
  <c r="C46" i="20"/>
  <c r="B46" i="20"/>
  <c r="G41" i="20"/>
  <c r="F41" i="20"/>
  <c r="E41" i="20"/>
  <c r="D41" i="20"/>
  <c r="C41" i="20"/>
  <c r="B41" i="20"/>
  <c r="G35" i="20"/>
  <c r="F35" i="20"/>
  <c r="E35" i="20"/>
  <c r="D35" i="20"/>
  <c r="C35" i="20"/>
  <c r="B35" i="20"/>
  <c r="G30" i="20"/>
  <c r="F30" i="20"/>
  <c r="E30" i="20"/>
  <c r="D30" i="20"/>
  <c r="C30" i="20"/>
  <c r="B30" i="20"/>
  <c r="G25" i="20"/>
  <c r="F25" i="20"/>
  <c r="E25" i="20"/>
  <c r="D25" i="20"/>
  <c r="C25" i="20"/>
  <c r="B25" i="20"/>
  <c r="G20" i="20"/>
  <c r="F20" i="20"/>
  <c r="E20" i="20"/>
  <c r="D20" i="20"/>
  <c r="C20" i="20"/>
  <c r="B20" i="20"/>
  <c r="G14" i="20"/>
  <c r="F14" i="20"/>
  <c r="E14" i="20"/>
  <c r="D14" i="20"/>
  <c r="C14" i="20"/>
  <c r="B14" i="20"/>
  <c r="G11" i="20"/>
  <c r="F11" i="20"/>
  <c r="E11" i="20"/>
  <c r="D11" i="20"/>
  <c r="C11" i="20"/>
  <c r="B11" i="20"/>
  <c r="H73" i="17"/>
  <c r="G73" i="17"/>
  <c r="F73" i="17"/>
  <c r="E73" i="17"/>
  <c r="D73" i="17"/>
  <c r="C73" i="17"/>
  <c r="H68" i="17"/>
  <c r="G68" i="17"/>
  <c r="F68" i="17"/>
  <c r="E68" i="17"/>
  <c r="D68" i="17"/>
  <c r="C68" i="17"/>
  <c r="H63" i="17"/>
  <c r="G63" i="17"/>
  <c r="F63" i="17"/>
  <c r="E63" i="17"/>
  <c r="D63" i="17"/>
  <c r="C63" i="17"/>
  <c r="H57" i="17"/>
  <c r="G57" i="17"/>
  <c r="F57" i="17"/>
  <c r="E57" i="17"/>
  <c r="D57" i="17"/>
  <c r="C57" i="17"/>
  <c r="H52" i="17"/>
  <c r="G52" i="17"/>
  <c r="F52" i="17"/>
  <c r="E52" i="17"/>
  <c r="D52" i="17"/>
  <c r="C52" i="17"/>
  <c r="H41" i="17"/>
  <c r="G41" i="17"/>
  <c r="F41" i="17"/>
  <c r="E41" i="17"/>
  <c r="D41" i="17"/>
  <c r="C41" i="17"/>
  <c r="H36" i="17"/>
  <c r="G36" i="17"/>
  <c r="F36" i="17"/>
  <c r="E36" i="17"/>
  <c r="D36" i="17"/>
  <c r="C36" i="17"/>
  <c r="H30" i="17"/>
  <c r="G30" i="17"/>
  <c r="F30" i="17"/>
  <c r="E30" i="17"/>
  <c r="D30" i="17"/>
  <c r="C30" i="17"/>
  <c r="H25" i="17"/>
  <c r="G25" i="17"/>
  <c r="F25" i="17"/>
  <c r="E25" i="17"/>
  <c r="D25" i="17"/>
  <c r="C25" i="17"/>
  <c r="H20" i="17"/>
  <c r="G20" i="17"/>
  <c r="F20" i="17"/>
  <c r="E20" i="17"/>
  <c r="D20" i="17"/>
  <c r="C20" i="17"/>
  <c r="H15" i="17"/>
  <c r="G15" i="17"/>
  <c r="F15" i="17"/>
  <c r="E15" i="17"/>
  <c r="D15" i="17"/>
  <c r="C15" i="17"/>
  <c r="G74" i="21"/>
  <c r="F74" i="21"/>
  <c r="E74" i="21"/>
  <c r="D74" i="21"/>
  <c r="C74" i="21"/>
  <c r="B74" i="21"/>
  <c r="G69" i="21"/>
  <c r="F69" i="21"/>
  <c r="E69" i="21"/>
  <c r="D69" i="21"/>
  <c r="C69" i="21"/>
  <c r="B69" i="21"/>
  <c r="G64" i="21"/>
  <c r="F64" i="21"/>
  <c r="E64" i="21"/>
  <c r="D64" i="21"/>
  <c r="C64" i="21"/>
  <c r="B64" i="21"/>
  <c r="G58" i="21"/>
  <c r="F58" i="21"/>
  <c r="E58" i="21"/>
  <c r="D58" i="21"/>
  <c r="C58" i="21"/>
  <c r="B58" i="21"/>
  <c r="G53" i="21"/>
  <c r="F53" i="21"/>
  <c r="E53" i="21"/>
  <c r="D53" i="21"/>
  <c r="C53" i="21"/>
  <c r="B53" i="21"/>
  <c r="G48" i="21"/>
  <c r="F48" i="21"/>
  <c r="E48" i="21"/>
  <c r="D48" i="21"/>
  <c r="C48" i="21"/>
  <c r="B48" i="21"/>
  <c r="G42" i="21"/>
  <c r="F42" i="21"/>
  <c r="E42" i="21"/>
  <c r="D42" i="21"/>
  <c r="C42" i="21"/>
  <c r="B42" i="21"/>
  <c r="G37" i="21"/>
  <c r="F37" i="21"/>
  <c r="E37" i="21"/>
  <c r="D37" i="21"/>
  <c r="C37" i="21"/>
  <c r="B37" i="21"/>
  <c r="G31" i="21"/>
  <c r="F31" i="21"/>
  <c r="E31" i="21"/>
  <c r="D31" i="21"/>
  <c r="C31" i="21"/>
  <c r="B31" i="21"/>
  <c r="G26" i="21"/>
  <c r="F26" i="21"/>
  <c r="E26" i="21"/>
  <c r="D26" i="21"/>
  <c r="C26" i="21"/>
  <c r="B26" i="21"/>
  <c r="G21" i="21"/>
  <c r="F21" i="21"/>
  <c r="E21" i="21"/>
  <c r="D21" i="21"/>
  <c r="C21" i="21"/>
  <c r="B21" i="21"/>
  <c r="G16" i="21"/>
  <c r="F16" i="21"/>
  <c r="E16" i="21"/>
  <c r="D16" i="21"/>
  <c r="C16" i="21"/>
  <c r="B16" i="21"/>
  <c r="H76" i="22"/>
  <c r="G76" i="22"/>
  <c r="F76" i="22"/>
  <c r="E76" i="22"/>
  <c r="D76" i="22"/>
  <c r="C76" i="22"/>
  <c r="H71" i="22"/>
  <c r="G71" i="22"/>
  <c r="F71" i="22"/>
  <c r="E71" i="22"/>
  <c r="D71" i="22"/>
  <c r="C71" i="22"/>
  <c r="H66" i="22"/>
  <c r="G66" i="22"/>
  <c r="F66" i="22"/>
  <c r="E66" i="22"/>
  <c r="D66" i="22"/>
  <c r="C66" i="22"/>
  <c r="H60" i="22"/>
  <c r="G60" i="22"/>
  <c r="F60" i="22"/>
  <c r="E60" i="22"/>
  <c r="D60" i="22"/>
  <c r="C60" i="22"/>
  <c r="H55" i="22"/>
  <c r="G55" i="22"/>
  <c r="F55" i="22"/>
  <c r="E55" i="22"/>
  <c r="D55" i="22"/>
  <c r="C55" i="22"/>
  <c r="H49" i="22"/>
  <c r="G49" i="22"/>
  <c r="F49" i="22"/>
  <c r="E49" i="22"/>
  <c r="D49" i="22"/>
  <c r="C49" i="22"/>
  <c r="H44" i="22"/>
  <c r="G44" i="22"/>
  <c r="F44" i="22"/>
  <c r="E44" i="22"/>
  <c r="D44" i="22"/>
  <c r="C44" i="22"/>
  <c r="H39" i="22"/>
  <c r="G39" i="22"/>
  <c r="F39" i="22"/>
  <c r="E39" i="22"/>
  <c r="D39" i="22"/>
  <c r="C39" i="22"/>
  <c r="H33" i="22"/>
  <c r="G33" i="22"/>
  <c r="F33" i="22"/>
  <c r="E33" i="22"/>
  <c r="D33" i="22"/>
  <c r="C33" i="22"/>
  <c r="H28" i="22"/>
  <c r="G28" i="22"/>
  <c r="F28" i="22"/>
  <c r="E28" i="22"/>
  <c r="D28" i="22"/>
  <c r="C28" i="22"/>
  <c r="H23" i="22"/>
  <c r="G23" i="22"/>
  <c r="F23" i="22"/>
  <c r="E23" i="22"/>
  <c r="D23" i="22"/>
  <c r="C23" i="22"/>
  <c r="H18" i="22"/>
  <c r="G18" i="22"/>
  <c r="F18" i="22"/>
  <c r="E18" i="22"/>
  <c r="D18" i="22"/>
  <c r="C18" i="22"/>
  <c r="C41" i="68" l="1"/>
  <c r="AR41" i="68"/>
  <c r="AR54" i="68"/>
  <c r="AR59" i="68" s="1"/>
  <c r="AR71" i="68"/>
  <c r="AD63" i="69"/>
  <c r="AD81" i="69"/>
  <c r="J2478" i="33"/>
  <c r="AR76" i="68"/>
  <c r="AO24" i="46"/>
  <c r="C302" i="30"/>
  <c r="F302" i="30"/>
  <c r="G302" i="30"/>
  <c r="C318" i="30"/>
  <c r="D318" i="30"/>
  <c r="E318" i="30"/>
  <c r="F318" i="30"/>
  <c r="D302" i="30"/>
  <c r="G318" i="30"/>
  <c r="E302" i="30"/>
  <c r="C1138" i="33"/>
  <c r="I597" i="33"/>
  <c r="G2026" i="33"/>
  <c r="D167" i="30" s="1"/>
  <c r="G176" i="30"/>
  <c r="AD23" i="69"/>
  <c r="AD40" i="69"/>
  <c r="B1099" i="33"/>
  <c r="J1440" i="33"/>
  <c r="I468" i="33"/>
  <c r="G477" i="33"/>
  <c r="B1105" i="33"/>
  <c r="E1452" i="33"/>
  <c r="J1837" i="33"/>
  <c r="G206" i="30" s="1"/>
  <c r="J74" i="25"/>
  <c r="AJ76" i="46"/>
  <c r="AJ59" i="46"/>
  <c r="AJ41" i="46"/>
  <c r="N29" i="45"/>
  <c r="M29" i="45"/>
  <c r="L29" i="45"/>
  <c r="V40" i="47"/>
  <c r="V23" i="47"/>
  <c r="AJ24" i="46"/>
  <c r="M26" i="40"/>
  <c r="J35" i="25"/>
  <c r="I35" i="25"/>
  <c r="H35" i="25"/>
  <c r="V72" i="47"/>
  <c r="V81" i="47" s="1"/>
  <c r="T73" i="47"/>
  <c r="T81" i="47" s="1"/>
  <c r="U73" i="47"/>
  <c r="U81" i="47" s="1"/>
  <c r="Y81" i="47"/>
  <c r="M27" i="42"/>
  <c r="V54" i="47"/>
  <c r="V63" i="47" s="1"/>
  <c r="T32" i="47"/>
  <c r="T40" i="47" s="1"/>
  <c r="L23" i="45"/>
  <c r="AL24" i="46"/>
  <c r="AM24" i="46"/>
  <c r="AN59" i="46"/>
  <c r="AO59" i="46"/>
  <c r="AA23" i="47"/>
  <c r="X81" i="47"/>
  <c r="AL41" i="46"/>
  <c r="AN41" i="46"/>
  <c r="AO41" i="46"/>
  <c r="AL59" i="46"/>
  <c r="AM59" i="46"/>
  <c r="AL76" i="46"/>
  <c r="AM76" i="46"/>
  <c r="AN76" i="46"/>
  <c r="AO76" i="46"/>
  <c r="X23" i="47"/>
  <c r="Y23" i="47"/>
  <c r="Z23" i="47"/>
  <c r="X40" i="47"/>
  <c r="Y40" i="47"/>
  <c r="Z40" i="47"/>
  <c r="AA40" i="47"/>
  <c r="X63" i="47"/>
  <c r="Y63" i="47"/>
  <c r="Z63" i="47"/>
  <c r="AA63" i="47"/>
  <c r="AA81" i="47"/>
  <c r="AM41" i="46"/>
  <c r="W74" i="46"/>
  <c r="W76" i="46" s="1"/>
  <c r="AB81" i="47"/>
  <c r="X58" i="46"/>
  <c r="X59" i="46" s="1"/>
  <c r="AB40" i="47"/>
  <c r="AN21" i="46"/>
  <c r="AN24" i="46" s="1"/>
  <c r="AB63" i="47"/>
  <c r="AB23" i="47"/>
  <c r="AR24" i="68"/>
  <c r="G1138" i="33"/>
  <c r="J1926" i="33"/>
  <c r="G186" i="30" s="1"/>
  <c r="C1105" i="33"/>
  <c r="E1122" i="33"/>
  <c r="J1138" i="33"/>
  <c r="G1008" i="33"/>
  <c r="J1305" i="33"/>
  <c r="D1347" i="33"/>
  <c r="M1147" i="33"/>
  <c r="G1152" i="33"/>
  <c r="G699" i="33"/>
  <c r="D1499" i="33"/>
  <c r="G369" i="33"/>
  <c r="C1099" i="33"/>
  <c r="G503" i="33"/>
  <c r="H537" i="33"/>
  <c r="J563" i="33"/>
  <c r="I655" i="33"/>
  <c r="B1407" i="33"/>
  <c r="C1432" i="33"/>
  <c r="J2051" i="33"/>
  <c r="G2126" i="33"/>
  <c r="J2218" i="33"/>
  <c r="G130" i="30" s="1"/>
  <c r="M1155" i="33"/>
  <c r="C1373" i="33"/>
  <c r="D1297" i="33"/>
  <c r="G1016" i="33"/>
  <c r="B1238" i="33"/>
  <c r="D1574" i="33"/>
  <c r="E1105" i="33"/>
  <c r="L1138" i="33"/>
  <c r="J1373" i="33"/>
  <c r="G1066" i="33"/>
  <c r="J1809" i="33"/>
  <c r="E1415" i="33"/>
  <c r="B1423" i="33"/>
  <c r="J808" i="33"/>
  <c r="I900" i="33"/>
  <c r="J1347" i="33"/>
  <c r="G1407" i="33"/>
  <c r="D1189" i="33"/>
  <c r="D1289" i="33"/>
  <c r="I707" i="33"/>
  <c r="I439" i="33"/>
  <c r="G458" i="33"/>
  <c r="G511" i="33"/>
  <c r="B1122" i="33"/>
  <c r="C1180" i="33"/>
  <c r="C1364" i="33"/>
  <c r="E1574" i="33"/>
  <c r="J2236" i="33"/>
  <c r="I520" i="33"/>
  <c r="D1099" i="33"/>
  <c r="G175" i="30"/>
  <c r="J1632" i="33"/>
  <c r="G243" i="30" s="1"/>
  <c r="C1482" i="33"/>
  <c r="I924" i="33"/>
  <c r="J1390" i="33"/>
  <c r="J571" i="33"/>
  <c r="J924" i="33"/>
  <c r="J966" i="33"/>
  <c r="G975" i="33"/>
  <c r="J1122" i="33"/>
  <c r="E1499" i="33"/>
  <c r="H520" i="33"/>
  <c r="J707" i="33"/>
  <c r="M1122" i="33"/>
  <c r="J1147" i="33"/>
  <c r="J1901" i="33"/>
  <c r="J2193" i="33"/>
  <c r="D288" i="33"/>
  <c r="J511" i="33"/>
  <c r="I458" i="33"/>
  <c r="J235" i="33"/>
  <c r="I571" i="33"/>
  <c r="J579" i="33"/>
  <c r="G588" i="33"/>
  <c r="J733" i="33"/>
  <c r="I1033" i="33"/>
  <c r="G1091" i="33"/>
  <c r="B1205" i="33"/>
  <c r="E1214" i="33"/>
  <c r="B1322" i="33"/>
  <c r="D1482" i="33"/>
  <c r="I449" i="33"/>
  <c r="G983" i="33"/>
  <c r="J1075" i="33"/>
  <c r="I1091" i="33"/>
  <c r="J1214" i="33"/>
  <c r="J1331" i="33"/>
  <c r="J1819" i="33"/>
  <c r="G204" i="30" s="1"/>
  <c r="J1968" i="33"/>
  <c r="U79" i="50" s="1"/>
  <c r="J2328" i="33"/>
  <c r="G107" i="30" s="1"/>
  <c r="B1549" i="33"/>
  <c r="J1615" i="33"/>
  <c r="G241" i="30" s="1"/>
  <c r="J1934" i="33"/>
  <c r="G187" i="30" s="1"/>
  <c r="G222" i="33"/>
  <c r="G546" i="33"/>
  <c r="G605" i="33"/>
  <c r="I841" i="33"/>
  <c r="G883" i="33"/>
  <c r="I908" i="33"/>
  <c r="G966" i="33"/>
  <c r="D1122" i="33"/>
  <c r="D1180" i="33"/>
  <c r="E1189" i="33"/>
  <c r="B1197" i="33"/>
  <c r="E1205" i="33"/>
  <c r="E1289" i="33"/>
  <c r="C1423" i="33"/>
  <c r="J1582" i="33"/>
  <c r="G267" i="30" s="1"/>
  <c r="J222" i="33"/>
  <c r="G529" i="33"/>
  <c r="I546" i="33"/>
  <c r="I605" i="33"/>
  <c r="G672" i="33"/>
  <c r="G900" i="33"/>
  <c r="B1452" i="33"/>
  <c r="B1465" i="33"/>
  <c r="J2026" i="33"/>
  <c r="J2034" i="33"/>
  <c r="J605" i="33"/>
  <c r="G875" i="33"/>
  <c r="J991" i="33"/>
  <c r="B1172" i="33"/>
  <c r="L1189" i="33"/>
  <c r="C1247" i="33"/>
  <c r="J1256" i="33"/>
  <c r="B1390" i="33"/>
  <c r="C1407" i="33"/>
  <c r="C1452" i="33"/>
  <c r="C1574" i="33"/>
  <c r="I554" i="33"/>
  <c r="J680" i="33"/>
  <c r="G749" i="33"/>
  <c r="J849" i="33"/>
  <c r="J941" i="33"/>
  <c r="C1390" i="33"/>
  <c r="J1607" i="33"/>
  <c r="G240" i="30" s="1"/>
  <c r="J2244" i="33"/>
  <c r="F638" i="33"/>
  <c r="J520" i="33"/>
  <c r="G563" i="33"/>
  <c r="G766" i="33"/>
  <c r="I800" i="33"/>
  <c r="G824" i="33"/>
  <c r="J1000" i="33"/>
  <c r="E1155" i="33"/>
  <c r="G1153" i="33"/>
  <c r="D1172" i="33"/>
  <c r="E1230" i="33"/>
  <c r="D1339" i="33"/>
  <c r="J1364" i="33"/>
  <c r="D1390" i="33"/>
  <c r="B1440" i="33"/>
  <c r="J2018" i="33"/>
  <c r="J2068" i="33"/>
  <c r="J1024" i="33"/>
  <c r="J1230" i="33"/>
  <c r="D1356" i="33"/>
  <c r="E1390" i="33"/>
  <c r="D1507" i="33"/>
  <c r="B1540" i="33"/>
  <c r="J1565" i="33"/>
  <c r="G265" i="30" s="1"/>
  <c r="I680" i="33"/>
  <c r="J950" i="33"/>
  <c r="J1008" i="33"/>
  <c r="J1155" i="33"/>
  <c r="E1172" i="33"/>
  <c r="B1297" i="33"/>
  <c r="B1331" i="33"/>
  <c r="E1339" i="33"/>
  <c r="H439" i="33"/>
  <c r="G449" i="33"/>
  <c r="J783" i="33"/>
  <c r="J791" i="33"/>
  <c r="J816" i="33"/>
  <c r="J824" i="33"/>
  <c r="I866" i="33"/>
  <c r="J900" i="33"/>
  <c r="I1000" i="33"/>
  <c r="L1155" i="33"/>
  <c r="C1331" i="33"/>
  <c r="E1507" i="33"/>
  <c r="C1540" i="33"/>
  <c r="J2520" i="33"/>
  <c r="E1138" i="33"/>
  <c r="D1540" i="33"/>
  <c r="J1985" i="33"/>
  <c r="D1105" i="33"/>
  <c r="B1490" i="33"/>
  <c r="E1540" i="33"/>
  <c r="J1909" i="33"/>
  <c r="G2134" i="33"/>
  <c r="J2201" i="33"/>
  <c r="J2269" i="33"/>
  <c r="J1515" i="33"/>
  <c r="J1828" i="33"/>
  <c r="G205" i="30" s="1"/>
  <c r="J2311" i="33"/>
  <c r="G105" i="30" s="1"/>
  <c r="D1272" i="33"/>
  <c r="C1474" i="33"/>
  <c r="J1482" i="33"/>
  <c r="J1499" i="33"/>
  <c r="J2486" i="33"/>
  <c r="G90" i="30" s="1"/>
  <c r="J2512" i="33"/>
  <c r="J242" i="33"/>
  <c r="F630" i="33"/>
  <c r="J664" i="33"/>
  <c r="F875" i="33"/>
  <c r="I1099" i="33"/>
  <c r="B288" i="33"/>
  <c r="E288" i="33"/>
  <c r="G242" i="33"/>
  <c r="H477" i="33"/>
  <c r="G579" i="33"/>
  <c r="G630" i="33"/>
  <c r="E1114" i="33"/>
  <c r="L1122" i="33"/>
  <c r="M1138" i="33"/>
  <c r="D1238" i="33"/>
  <c r="E1272" i="33"/>
  <c r="B1281" i="33"/>
  <c r="C1399" i="33"/>
  <c r="D1474" i="33"/>
  <c r="B1515" i="33"/>
  <c r="J1590" i="33"/>
  <c r="G268" i="30" s="1"/>
  <c r="J1624" i="33"/>
  <c r="G242" i="30" s="1"/>
  <c r="J2261" i="33"/>
  <c r="J2336" i="33"/>
  <c r="G108" i="30" s="1"/>
  <c r="C288" i="33"/>
  <c r="G235" i="33"/>
  <c r="H458" i="33"/>
  <c r="G468" i="33"/>
  <c r="J546" i="33"/>
  <c r="I766" i="33"/>
  <c r="I783" i="33"/>
  <c r="I791" i="33"/>
  <c r="G816" i="33"/>
  <c r="I824" i="33"/>
  <c r="G849" i="33"/>
  <c r="G991" i="33"/>
  <c r="I1083" i="33"/>
  <c r="E1180" i="33"/>
  <c r="J1189" i="33"/>
  <c r="D1205" i="33"/>
  <c r="J1238" i="33"/>
  <c r="C1264" i="33"/>
  <c r="E1297" i="33"/>
  <c r="B1305" i="33"/>
  <c r="D1331" i="33"/>
  <c r="E1331" i="33"/>
  <c r="E1356" i="33"/>
  <c r="C1382" i="33"/>
  <c r="E1474" i="33"/>
  <c r="J1574" i="33"/>
  <c r="G266" i="30" s="1"/>
  <c r="J1716" i="33"/>
  <c r="G222" i="30" s="1"/>
  <c r="H468" i="33"/>
  <c r="G554" i="33"/>
  <c r="J622" i="33"/>
  <c r="J655" i="33"/>
  <c r="J699" i="33"/>
  <c r="J716" i="33"/>
  <c r="I758" i="33"/>
  <c r="I808" i="33"/>
  <c r="G866" i="33"/>
  <c r="I891" i="33"/>
  <c r="I916" i="33"/>
  <c r="I991" i="33"/>
  <c r="J1083" i="33"/>
  <c r="G1114" i="33"/>
  <c r="J1180" i="33"/>
  <c r="C1205" i="33"/>
  <c r="D1264" i="33"/>
  <c r="C1305" i="33"/>
  <c r="J1356" i="33"/>
  <c r="D1382" i="33"/>
  <c r="J1640" i="33"/>
  <c r="G244" i="30" s="1"/>
  <c r="J229" i="33"/>
  <c r="F655" i="33"/>
  <c r="G664" i="33"/>
  <c r="G707" i="33"/>
  <c r="J758" i="33"/>
  <c r="J774" i="33"/>
  <c r="J891" i="33"/>
  <c r="J958" i="33"/>
  <c r="I983" i="33"/>
  <c r="J1114" i="33"/>
  <c r="L1172" i="33"/>
  <c r="L1180" i="33"/>
  <c r="D1197" i="33"/>
  <c r="J1205" i="33"/>
  <c r="B1256" i="33"/>
  <c r="E1264" i="33"/>
  <c r="B1373" i="33"/>
  <c r="E1382" i="33"/>
  <c r="C1440" i="33"/>
  <c r="E1482" i="33"/>
  <c r="J1674" i="33"/>
  <c r="G248" i="30" s="1"/>
  <c r="C177" i="30"/>
  <c r="J2185" i="33"/>
  <c r="J2252" i="33"/>
  <c r="J2294" i="33"/>
  <c r="G229" i="33"/>
  <c r="J554" i="33"/>
  <c r="G655" i="33"/>
  <c r="I664" i="33"/>
  <c r="G716" i="33"/>
  <c r="I741" i="33"/>
  <c r="G808" i="33"/>
  <c r="I858" i="33"/>
  <c r="G941" i="33"/>
  <c r="I950" i="33"/>
  <c r="J983" i="33"/>
  <c r="E1099" i="33"/>
  <c r="L1114" i="33"/>
  <c r="C1114" i="33"/>
  <c r="G1147" i="33"/>
  <c r="E1164" i="33"/>
  <c r="B1180" i="33"/>
  <c r="E1197" i="33"/>
  <c r="L1205" i="33"/>
  <c r="B1230" i="33"/>
  <c r="C1256" i="33"/>
  <c r="J1264" i="33"/>
  <c r="D1281" i="33"/>
  <c r="J1289" i="33"/>
  <c r="C1297" i="33"/>
  <c r="E1322" i="33"/>
  <c r="C1356" i="33"/>
  <c r="J1382" i="33"/>
  <c r="D1399" i="33"/>
  <c r="B1432" i="33"/>
  <c r="D1440" i="33"/>
  <c r="I1540" i="33"/>
  <c r="F262" i="30" s="1"/>
  <c r="F269" i="30" s="1"/>
  <c r="J1918" i="33"/>
  <c r="U73" i="50" s="1"/>
  <c r="J1959" i="33"/>
  <c r="U78" i="50" s="1"/>
  <c r="J2076" i="33"/>
  <c r="I537" i="33"/>
  <c r="J597" i="33"/>
  <c r="J800" i="33"/>
  <c r="J858" i="33"/>
  <c r="I1075" i="33"/>
  <c r="D1114" i="33"/>
  <c r="J1164" i="33"/>
  <c r="J1197" i="33"/>
  <c r="C1230" i="33"/>
  <c r="D1256" i="33"/>
  <c r="B1289" i="33"/>
  <c r="J1322" i="33"/>
  <c r="B1347" i="33"/>
  <c r="D1373" i="33"/>
  <c r="B1382" i="33"/>
  <c r="C1415" i="33"/>
  <c r="J1423" i="33"/>
  <c r="E1440" i="33"/>
  <c r="J1457" i="33"/>
  <c r="J1540" i="33"/>
  <c r="G262" i="30" s="1"/>
  <c r="J1707" i="33"/>
  <c r="G221" i="30" s="1"/>
  <c r="J2043" i="33"/>
  <c r="D1138" i="33"/>
  <c r="I477" i="33"/>
  <c r="G520" i="33"/>
  <c r="I563" i="33"/>
  <c r="G597" i="33"/>
  <c r="G614" i="33"/>
  <c r="G638" i="33"/>
  <c r="F647" i="33"/>
  <c r="I716" i="33"/>
  <c r="G774" i="33"/>
  <c r="G833" i="33"/>
  <c r="G908" i="33"/>
  <c r="G950" i="33"/>
  <c r="G1000" i="33"/>
  <c r="J1105" i="33"/>
  <c r="C1122" i="33"/>
  <c r="G1130" i="33"/>
  <c r="L1147" i="33"/>
  <c r="L1164" i="33"/>
  <c r="L1197" i="33"/>
  <c r="D1230" i="33"/>
  <c r="B1247" i="33"/>
  <c r="E1256" i="33"/>
  <c r="J1281" i="33"/>
  <c r="C1289" i="33"/>
  <c r="C1347" i="33"/>
  <c r="E1373" i="33"/>
  <c r="B1399" i="33"/>
  <c r="D1432" i="33"/>
  <c r="B1448" i="33"/>
  <c r="C1465" i="33"/>
  <c r="C1490" i="33"/>
  <c r="J1507" i="33"/>
  <c r="C1515" i="33"/>
  <c r="J1599" i="33"/>
  <c r="G239" i="30" s="1"/>
  <c r="F177" i="30"/>
  <c r="J2503" i="33"/>
  <c r="E1238" i="33"/>
  <c r="I833" i="33"/>
  <c r="L1105" i="33"/>
  <c r="J1130" i="33"/>
  <c r="E1432" i="33"/>
  <c r="D1465" i="33"/>
  <c r="D1490" i="33"/>
  <c r="D1515" i="33"/>
  <c r="J1666" i="33"/>
  <c r="G247" i="30" s="1"/>
  <c r="G2034" i="33"/>
  <c r="D168" i="30" s="1"/>
  <c r="J2286" i="33"/>
  <c r="G216" i="33"/>
  <c r="H486" i="33"/>
  <c r="J614" i="33"/>
  <c r="I647" i="33"/>
  <c r="J672" i="33"/>
  <c r="G724" i="33"/>
  <c r="J833" i="33"/>
  <c r="J908" i="33"/>
  <c r="I941" i="33"/>
  <c r="G1033" i="33"/>
  <c r="G1049" i="33"/>
  <c r="J1058" i="33"/>
  <c r="G1075" i="33"/>
  <c r="L1130" i="33"/>
  <c r="B1147" i="33"/>
  <c r="J1172" i="33"/>
  <c r="C1197" i="33"/>
  <c r="D1247" i="33"/>
  <c r="C1281" i="33"/>
  <c r="D1305" i="33"/>
  <c r="J1314" i="33"/>
  <c r="C1322" i="33"/>
  <c r="E1347" i="33"/>
  <c r="J1415" i="33"/>
  <c r="J1432" i="33"/>
  <c r="C1448" i="33"/>
  <c r="E1465" i="33"/>
  <c r="E1490" i="33"/>
  <c r="E1515" i="33"/>
  <c r="J1524" i="33"/>
  <c r="J1951" i="33"/>
  <c r="U77" i="50" s="1"/>
  <c r="J2319" i="33"/>
  <c r="G106" i="30" s="1"/>
  <c r="I614" i="33"/>
  <c r="G1058" i="33"/>
  <c r="J216" i="33"/>
  <c r="G429" i="33"/>
  <c r="H449" i="33"/>
  <c r="I486" i="33"/>
  <c r="J588" i="33"/>
  <c r="J647" i="33"/>
  <c r="J724" i="33"/>
  <c r="G733" i="33"/>
  <c r="J1049" i="33"/>
  <c r="J1066" i="33"/>
  <c r="G1122" i="33"/>
  <c r="M1130" i="33"/>
  <c r="C1147" i="33"/>
  <c r="D1147" i="33"/>
  <c r="D1164" i="33"/>
  <c r="E1222" i="33"/>
  <c r="C1272" i="33"/>
  <c r="E1305" i="33"/>
  <c r="D1322" i="33"/>
  <c r="E1399" i="33"/>
  <c r="E1423" i="33"/>
  <c r="D1448" i="33"/>
  <c r="C1455" i="33"/>
  <c r="J1465" i="33"/>
  <c r="B1532" i="33"/>
  <c r="G1819" i="33"/>
  <c r="D204" i="30" s="1"/>
  <c r="G254" i="33"/>
  <c r="F288" i="33" s="1"/>
  <c r="H429" i="33"/>
  <c r="G622" i="33"/>
  <c r="J689" i="33"/>
  <c r="I733" i="33"/>
  <c r="G741" i="33"/>
  <c r="J841" i="33"/>
  <c r="J875" i="33"/>
  <c r="G924" i="33"/>
  <c r="G1024" i="33"/>
  <c r="J1041" i="33"/>
  <c r="J1091" i="33"/>
  <c r="B1130" i="33"/>
  <c r="E1147" i="33"/>
  <c r="B1155" i="33"/>
  <c r="J1222" i="33"/>
  <c r="J1247" i="33"/>
  <c r="E1281" i="33"/>
  <c r="B1314" i="33"/>
  <c r="G1399" i="33"/>
  <c r="D1407" i="33"/>
  <c r="E1448" i="33"/>
  <c r="D1455" i="33"/>
  <c r="C1532" i="33"/>
  <c r="J1943" i="33"/>
  <c r="U76" i="50" s="1"/>
  <c r="J2010" i="33"/>
  <c r="G165" i="30" s="1"/>
  <c r="G2068" i="33"/>
  <c r="J2278" i="33"/>
  <c r="J2411" i="33"/>
  <c r="G81" i="30" s="1"/>
  <c r="G486" i="33"/>
  <c r="I638" i="33"/>
  <c r="J254" i="33"/>
  <c r="I429" i="33"/>
  <c r="G495" i="33"/>
  <c r="I529" i="33"/>
  <c r="G537" i="33"/>
  <c r="I588" i="33"/>
  <c r="I622" i="33"/>
  <c r="G680" i="33"/>
  <c r="G758" i="33"/>
  <c r="J766" i="33"/>
  <c r="G841" i="33"/>
  <c r="G916" i="33"/>
  <c r="G958" i="33"/>
  <c r="I966" i="33"/>
  <c r="J1016" i="33"/>
  <c r="G1041" i="33"/>
  <c r="G1099" i="33"/>
  <c r="C1130" i="33"/>
  <c r="C1155" i="33"/>
  <c r="B1164" i="33"/>
  <c r="C1172" i="33"/>
  <c r="C1314" i="33"/>
  <c r="D1314" i="33"/>
  <c r="J1339" i="33"/>
  <c r="B1364" i="33"/>
  <c r="J1399" i="33"/>
  <c r="E1407" i="33"/>
  <c r="D1415" i="33"/>
  <c r="J1448" i="33"/>
  <c r="E1455" i="33"/>
  <c r="B1482" i="33"/>
  <c r="D1532" i="33"/>
  <c r="C1549" i="33"/>
  <c r="J1657" i="33"/>
  <c r="G246" i="30" s="1"/>
  <c r="J1691" i="33"/>
  <c r="G250" i="30" s="1"/>
  <c r="J2060" i="33"/>
  <c r="G647" i="33"/>
  <c r="J1033" i="33"/>
  <c r="H420" i="33"/>
  <c r="G439" i="33"/>
  <c r="J638" i="33"/>
  <c r="I672" i="33"/>
  <c r="G689" i="33"/>
  <c r="J741" i="33"/>
  <c r="I849" i="33"/>
  <c r="I883" i="33"/>
  <c r="G933" i="33"/>
  <c r="I958" i="33"/>
  <c r="D1130" i="33"/>
  <c r="D1155" i="33"/>
  <c r="C1164" i="33"/>
  <c r="B1214" i="33"/>
  <c r="B1222" i="33"/>
  <c r="J1272" i="33"/>
  <c r="J1474" i="33"/>
  <c r="B1524" i="33"/>
  <c r="E1532" i="33"/>
  <c r="D1549" i="33"/>
  <c r="G248" i="33"/>
  <c r="G420" i="33"/>
  <c r="G571" i="33"/>
  <c r="I630" i="33"/>
  <c r="I689" i="33"/>
  <c r="G858" i="33"/>
  <c r="J866" i="33"/>
  <c r="I875" i="33"/>
  <c r="J883" i="33"/>
  <c r="J916" i="33"/>
  <c r="I933" i="33"/>
  <c r="I975" i="33"/>
  <c r="G1083" i="33"/>
  <c r="J1099" i="33"/>
  <c r="E1130" i="33"/>
  <c r="B1138" i="33"/>
  <c r="B1189" i="33"/>
  <c r="C1214" i="33"/>
  <c r="C1222" i="33"/>
  <c r="B1272" i="33"/>
  <c r="J1297" i="33"/>
  <c r="E1314" i="33"/>
  <c r="B1339" i="33"/>
  <c r="D1364" i="33"/>
  <c r="J1407" i="33"/>
  <c r="B1499" i="33"/>
  <c r="B1507" i="33"/>
  <c r="C1524" i="33"/>
  <c r="J1532" i="33"/>
  <c r="G261" i="30" s="1"/>
  <c r="E1549" i="33"/>
  <c r="E269" i="30"/>
  <c r="B1574" i="33"/>
  <c r="J1649" i="33"/>
  <c r="G245" i="30" s="1"/>
  <c r="J1791" i="33"/>
  <c r="G1800" i="33"/>
  <c r="J1976" i="33"/>
  <c r="U80" i="50" s="1"/>
  <c r="J2344" i="33"/>
  <c r="G109" i="30" s="1"/>
  <c r="B1264" i="33"/>
  <c r="J248" i="33"/>
  <c r="I579" i="33"/>
  <c r="J630" i="33"/>
  <c r="J749" i="33"/>
  <c r="G891" i="33"/>
  <c r="J933" i="33"/>
  <c r="J975" i="33"/>
  <c r="G1105" i="33"/>
  <c r="B1114" i="33"/>
  <c r="C1189" i="33"/>
  <c r="D1214" i="33"/>
  <c r="D1222" i="33"/>
  <c r="C1238" i="33"/>
  <c r="E1247" i="33"/>
  <c r="C1339" i="33"/>
  <c r="B1356" i="33"/>
  <c r="E1364" i="33"/>
  <c r="B1415" i="33"/>
  <c r="D1423" i="33"/>
  <c r="D1456" i="33"/>
  <c r="B1474" i="33"/>
  <c r="J1490" i="33"/>
  <c r="C1499" i="33"/>
  <c r="C1507" i="33"/>
  <c r="D1524" i="33"/>
  <c r="J1549" i="33"/>
  <c r="G263" i="30" s="1"/>
  <c r="J1800" i="33"/>
  <c r="J1893" i="33"/>
  <c r="J2001" i="33"/>
  <c r="E1456" i="33"/>
  <c r="E1524" i="33"/>
  <c r="J1682" i="33"/>
  <c r="G249" i="30" s="1"/>
  <c r="J2085" i="33"/>
  <c r="J2227" i="33"/>
  <c r="J2303" i="33"/>
  <c r="G140" i="30" s="1"/>
  <c r="G141" i="30" s="1"/>
  <c r="G2486" i="33"/>
  <c r="C251" i="30"/>
  <c r="D251" i="30"/>
  <c r="E251" i="30"/>
  <c r="C196" i="30"/>
  <c r="C214" i="30"/>
  <c r="D196" i="30"/>
  <c r="E196" i="30"/>
  <c r="F251" i="30"/>
  <c r="D93" i="30"/>
  <c r="F93" i="30"/>
  <c r="E214" i="30"/>
  <c r="F214" i="30"/>
  <c r="G173" i="30"/>
  <c r="E225" i="30"/>
  <c r="E232" i="30" s="1"/>
  <c r="J2101" i="33"/>
  <c r="F225" i="30"/>
  <c r="D269" i="30"/>
  <c r="E93" i="30"/>
  <c r="D213" i="30"/>
  <c r="G1176" i="33"/>
  <c r="G1180" i="33" s="1"/>
  <c r="B1453" i="33"/>
  <c r="J1699" i="33"/>
  <c r="G1151" i="33"/>
  <c r="C1453" i="33"/>
  <c r="G1160" i="33"/>
  <c r="G1164" i="33" s="1"/>
  <c r="D1453" i="33"/>
  <c r="B1456" i="33"/>
  <c r="F229" i="30"/>
  <c r="J2093" i="33"/>
  <c r="B1454" i="33"/>
  <c r="C224" i="30"/>
  <c r="C232" i="30" s="1"/>
  <c r="C1454" i="33"/>
  <c r="D224" i="30"/>
  <c r="D232" i="30" s="1"/>
  <c r="D1454" i="33"/>
  <c r="G1168" i="33"/>
  <c r="G1172" i="33" s="1"/>
  <c r="C269" i="30"/>
  <c r="E177" i="30"/>
  <c r="F196" i="30"/>
  <c r="AD76" i="68"/>
  <c r="AM24" i="68"/>
  <c r="AO24" i="68"/>
  <c r="AL41" i="68"/>
  <c r="AH41" i="68"/>
  <c r="AI41" i="68"/>
  <c r="AK59" i="68"/>
  <c r="AI24" i="68"/>
  <c r="AN59" i="68"/>
  <c r="Z23" i="69"/>
  <c r="V63" i="69"/>
  <c r="AA40" i="69"/>
  <c r="Z63" i="69"/>
  <c r="X63" i="69"/>
  <c r="V81" i="69"/>
  <c r="V40" i="69"/>
  <c r="X23" i="69"/>
  <c r="S23" i="69"/>
  <c r="AJ24" i="68"/>
  <c r="AA81" i="69"/>
  <c r="AK24" i="68"/>
  <c r="AG41" i="68"/>
  <c r="AI76" i="68"/>
  <c r="W40" i="69"/>
  <c r="AL24" i="68"/>
  <c r="X40" i="69"/>
  <c r="S63" i="69"/>
  <c r="AJ41" i="68"/>
  <c r="Y40" i="69"/>
  <c r="T63" i="69"/>
  <c r="AN24" i="68"/>
  <c r="AK41" i="68"/>
  <c r="Z40" i="69"/>
  <c r="U63" i="69"/>
  <c r="AM41" i="68"/>
  <c r="AG59" i="68"/>
  <c r="AG76" i="68"/>
  <c r="W63" i="69"/>
  <c r="S81" i="69"/>
  <c r="AN41" i="68"/>
  <c r="AH59" i="68"/>
  <c r="AH76" i="68"/>
  <c r="T81" i="69"/>
  <c r="AO41" i="68"/>
  <c r="AJ59" i="68"/>
  <c r="AI59" i="68"/>
  <c r="AJ76" i="68"/>
  <c r="T23" i="69"/>
  <c r="U81" i="69"/>
  <c r="AK76" i="68"/>
  <c r="U23" i="69"/>
  <c r="AL59" i="68"/>
  <c r="AL76" i="68"/>
  <c r="V23" i="69"/>
  <c r="AA63" i="69"/>
  <c r="Y63" i="69"/>
  <c r="W81" i="69"/>
  <c r="AM59" i="68"/>
  <c r="AM76" i="68"/>
  <c r="W23" i="69"/>
  <c r="X81" i="69"/>
  <c r="AN76" i="68"/>
  <c r="Y81" i="69"/>
  <c r="AO59" i="68"/>
  <c r="AO76" i="68"/>
  <c r="Y23" i="69"/>
  <c r="S40" i="69"/>
  <c r="Z81" i="69"/>
  <c r="AG24" i="68"/>
  <c r="T40" i="69"/>
  <c r="AH24" i="68"/>
  <c r="AA23" i="69"/>
  <c r="U40" i="69"/>
  <c r="D177" i="30" l="1"/>
  <c r="G1155" i="33"/>
  <c r="G177" i="30"/>
  <c r="U74" i="50"/>
  <c r="G214" i="30"/>
  <c r="E1457" i="33"/>
  <c r="G93" i="30"/>
  <c r="G232" i="30"/>
  <c r="G269" i="30"/>
  <c r="U75" i="50"/>
  <c r="G251" i="30"/>
  <c r="D1457" i="33"/>
  <c r="C1457" i="33"/>
  <c r="G185" i="30"/>
  <c r="G196" i="30" s="1"/>
  <c r="G117" i="30"/>
  <c r="F232" i="30"/>
  <c r="B1457" i="33"/>
  <c r="G288" i="33"/>
  <c r="D214" i="30"/>
  <c r="U84" i="5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comercial4</author>
    <author>platts</author>
    <author>Estuardo Herrera</author>
  </authors>
  <commentList>
    <comment ref="G669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>comercial4:</t>
        </r>
        <r>
          <rPr>
            <sz val="8"/>
            <color indexed="81"/>
            <rFont val="Tahoma"/>
            <family val="2"/>
          </rPr>
          <t xml:space="preserve">
a partir del 11 de octubre no se paga impuestos de bunker
</t>
        </r>
      </text>
    </comment>
    <comment ref="C1420" authorId="1" shapeId="0" xr:uid="{00000000-0006-0000-1400-000002000000}">
      <text>
        <r>
          <rPr>
            <b/>
            <sz val="8"/>
            <color indexed="81"/>
            <rFont val="Tahoma"/>
            <family val="2"/>
          </rPr>
          <t xml:space="preserve">precios arreglados
</t>
        </r>
      </text>
    </comment>
    <comment ref="G1547" authorId="2" shapeId="0" xr:uid="{00000000-0006-0000-1400-000003000000}">
      <text>
        <r>
          <rPr>
            <b/>
            <sz val="8"/>
            <color indexed="81"/>
            <rFont val="Tahoma"/>
            <family val="2"/>
          </rPr>
          <t>PROV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556" authorId="2" shapeId="0" xr:uid="{00000000-0006-0000-1400-000004000000}">
      <text>
        <r>
          <rPr>
            <b/>
            <sz val="8"/>
            <color indexed="81"/>
            <rFont val="Tahoma"/>
            <family val="2"/>
          </rPr>
          <t>PROV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564" authorId="2" shapeId="0" xr:uid="{00000000-0006-0000-1400-000005000000}">
      <text>
        <r>
          <rPr>
            <b/>
            <sz val="8"/>
            <color indexed="81"/>
            <rFont val="Tahoma"/>
            <family val="2"/>
          </rPr>
          <t>PROV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573" authorId="2" shapeId="0" xr:uid="{00000000-0006-0000-1400-000006000000}">
      <text>
        <r>
          <rPr>
            <b/>
            <sz val="8"/>
            <color indexed="81"/>
            <rFont val="Tahoma"/>
            <family val="2"/>
          </rPr>
          <t>PROV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581" authorId="2" shapeId="0" xr:uid="{00000000-0006-0000-1400-000007000000}">
      <text>
        <r>
          <rPr>
            <b/>
            <sz val="8"/>
            <color indexed="81"/>
            <rFont val="Tahoma"/>
            <family val="2"/>
          </rPr>
          <t>PROV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589" authorId="2" shapeId="0" xr:uid="{00000000-0006-0000-1400-000008000000}">
      <text>
        <r>
          <rPr>
            <b/>
            <sz val="8"/>
            <color indexed="81"/>
            <rFont val="Tahoma"/>
            <family val="2"/>
          </rPr>
          <t>PROV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598" authorId="2" shapeId="0" xr:uid="{00000000-0006-0000-1400-000009000000}">
      <text>
        <r>
          <rPr>
            <b/>
            <sz val="8"/>
            <color indexed="81"/>
            <rFont val="Tahoma"/>
            <family val="2"/>
          </rPr>
          <t>PROV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606" authorId="2" shapeId="0" xr:uid="{00000000-0006-0000-1400-00000A000000}">
      <text>
        <r>
          <rPr>
            <b/>
            <sz val="8"/>
            <color indexed="81"/>
            <rFont val="Tahoma"/>
            <family val="2"/>
          </rPr>
          <t>PROV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614" authorId="2" shapeId="0" xr:uid="{00000000-0006-0000-1400-00000B000000}">
      <text>
        <r>
          <rPr>
            <b/>
            <sz val="8"/>
            <color indexed="81"/>
            <rFont val="Tahoma"/>
            <family val="2"/>
          </rPr>
          <t>PROV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623" authorId="2" shapeId="0" xr:uid="{00000000-0006-0000-1400-00000C000000}">
      <text>
        <r>
          <rPr>
            <b/>
            <sz val="8"/>
            <color indexed="81"/>
            <rFont val="Tahoma"/>
            <family val="2"/>
          </rPr>
          <t>PROV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<sst xmlns="http://schemas.openxmlformats.org/spreadsheetml/2006/main" count="10722" uniqueCount="741">
  <si>
    <t>(Quetzales por galón)</t>
  </si>
  <si>
    <t>FECHA</t>
  </si>
  <si>
    <t>SERVICIO COMPLETO</t>
  </si>
  <si>
    <t>AUTOSERVICIO</t>
  </si>
  <si>
    <t>SUPER</t>
  </si>
  <si>
    <t>REGULAR</t>
  </si>
  <si>
    <t>DIESEL</t>
  </si>
  <si>
    <t>Promedio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</si>
  <si>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</si>
  <si>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</si>
  <si>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</si>
  <si>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</si>
  <si>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</si>
  <si>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</si>
  <si>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</si>
  <si>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</si>
  <si>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</si>
  <si>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</si>
  <si>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</si>
  <si>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</si>
  <si>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PROMEDIO ANUAL</t>
  </si>
  <si>
    <t>MONITOREO</t>
  </si>
  <si>
    <t>PRECIOS PROMEDIO A CONSUMIDOR FINAL DE GASOLINAS y DIESEL</t>
  </si>
  <si>
    <t>GUATEMALA, CIUDAD,</t>
  </si>
  <si>
    <t>DIFERENCIA</t>
  </si>
  <si>
    <t>MES</t>
  </si>
  <si>
    <t>Superior</t>
  </si>
  <si>
    <t>Regular</t>
  </si>
  <si>
    <t>Diesel</t>
  </si>
  <si>
    <t>Q./gln</t>
  </si>
  <si>
    <t>Ciudad de Guatemala</t>
  </si>
  <si>
    <t>PRECIOS CONSUMIDOR PROMEDIO AÑO 2009</t>
  </si>
  <si>
    <t>Promedio Anual</t>
  </si>
  <si>
    <t>PRECIOS CONSUMIDOR PROMEDIO AÑO 2010</t>
  </si>
  <si>
    <t>5452-5886</t>
  </si>
  <si>
    <t>Ara</t>
  </si>
  <si>
    <t>MONITOREO DE PRECIOS EN ESTACIONES DE SERVICIO</t>
  </si>
  <si>
    <t>PRECIOS CONSUMIDOR PROMEDIO AÑO 2011</t>
  </si>
  <si>
    <t>SUPER 98</t>
  </si>
  <si>
    <t>PRECIOS PROMEDIO DE COMBUSTIBLES A CONSUMIDOR FINAL</t>
  </si>
  <si>
    <t>CIUDAD CAPITAL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</si>
  <si>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</si>
  <si>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</si>
  <si>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</si>
  <si>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</si>
  <si>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</si>
  <si>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</si>
  <si>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</si>
  <si>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</si>
  <si>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</si>
  <si>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</si>
  <si>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</si>
  <si>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</si>
  <si>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MINISTERIO DE ENERGIA Y MINAS</t>
  </si>
  <si>
    <t>DIRECCION GENERAL DE HIDROCARBUROS</t>
  </si>
  <si>
    <t>DEPTO. DE ANÁLISIS ECONÓMICO</t>
  </si>
  <si>
    <t>AÑO 2012</t>
  </si>
  <si>
    <t>KEROSINA</t>
  </si>
  <si>
    <t>BUNKER</t>
  </si>
  <si>
    <t>AV GAS</t>
  </si>
  <si>
    <t>AV JET</t>
  </si>
  <si>
    <t>GLP</t>
  </si>
  <si>
    <t>Q./galón</t>
  </si>
  <si>
    <t>Promedio1-12</t>
  </si>
  <si>
    <t>Promedio2-12</t>
  </si>
  <si>
    <t>Promedio3-12</t>
  </si>
  <si>
    <t>Promedio4-12</t>
  </si>
  <si>
    <t>Promedio5-12</t>
  </si>
  <si>
    <t>Promedio6-11</t>
  </si>
  <si>
    <t>Promedio7-11</t>
  </si>
  <si>
    <t>Promedio8-11</t>
  </si>
  <si>
    <t>Promedio9-11</t>
  </si>
  <si>
    <t>Promedio10-11</t>
  </si>
  <si>
    <t>Promedio11-11</t>
  </si>
  <si>
    <t>Promedio12-11</t>
  </si>
  <si>
    <t>AÑO 2011</t>
  </si>
  <si>
    <t>Promedio1-11</t>
  </si>
  <si>
    <t>Promedio2-11</t>
  </si>
  <si>
    <t>Promedio3-11</t>
  </si>
  <si>
    <t>Promedio4-11</t>
  </si>
  <si>
    <t>Promedio5-11</t>
  </si>
  <si>
    <t>AÑO 2010</t>
  </si>
  <si>
    <t>Promedio1-10</t>
  </si>
  <si>
    <t>Promedio2-10</t>
  </si>
  <si>
    <t>Promedio3-10</t>
  </si>
  <si>
    <t>Promedio4-10</t>
  </si>
  <si>
    <t>Promedio5-10</t>
  </si>
  <si>
    <t>Promedio6-10</t>
  </si>
  <si>
    <t>Promedio7-10</t>
  </si>
  <si>
    <t>Promedio8-10</t>
  </si>
  <si>
    <t>Promedio9-10</t>
  </si>
  <si>
    <t>Promedio10-10</t>
  </si>
  <si>
    <t>Promedio11-10</t>
  </si>
  <si>
    <t>Promedio12-10</t>
  </si>
  <si>
    <t>AÑO 2009</t>
  </si>
  <si>
    <t>Promedio1-9</t>
  </si>
  <si>
    <t>Promedio2-9</t>
  </si>
  <si>
    <t>Promedio3-9</t>
  </si>
  <si>
    <t>Promedio4-9</t>
  </si>
  <si>
    <t>Promedio5-9</t>
  </si>
  <si>
    <t>Promedio6-9</t>
  </si>
  <si>
    <t>Promedio7-9</t>
  </si>
  <si>
    <t>Promedio8-9</t>
  </si>
  <si>
    <t>Promedio9-9</t>
  </si>
  <si>
    <t>Promedio10-9</t>
  </si>
  <si>
    <t>Promedio11-9</t>
  </si>
  <si>
    <t>Promedio12-9</t>
  </si>
  <si>
    <t>AÑO 2008</t>
  </si>
  <si>
    <t>AÑO 2007</t>
  </si>
  <si>
    <t>ND= NO DISPONIBLE</t>
  </si>
  <si>
    <t>AÑO 2006</t>
  </si>
  <si>
    <t>AÑO 2005</t>
  </si>
  <si>
    <t>AÑO 2004</t>
  </si>
  <si>
    <t>AÑO 2003</t>
  </si>
  <si>
    <t>AÑO 2002</t>
  </si>
  <si>
    <t>(Quetzales por cilindro)</t>
  </si>
  <si>
    <t>FECHA           MONITOREO</t>
  </si>
  <si>
    <t>COMPAÑÍA</t>
  </si>
  <si>
    <t>25 Lbs.</t>
  </si>
  <si>
    <t>35 Lbs.</t>
  </si>
  <si>
    <t xml:space="preserve">40 Lbs. </t>
  </si>
  <si>
    <t>60 Lbs.</t>
  </si>
  <si>
    <t>100 Lbs.</t>
  </si>
  <si>
    <t>ZETA</t>
  </si>
  <si>
    <t>TOMZA</t>
  </si>
  <si>
    <t>DAGAS</t>
  </si>
  <si>
    <t>N/V</t>
  </si>
  <si>
    <t xml:space="preserve">                                     PRECIOS EN ESTACIONES DE SERVICIO</t>
  </si>
  <si>
    <t xml:space="preserve">                                         CIUDAD DE GUATEMALA AÑO 1996</t>
  </si>
  <si>
    <t>SUPERIOR</t>
  </si>
  <si>
    <t>PROMEDIO</t>
  </si>
  <si>
    <t xml:space="preserve">                              PRECIOS AL CONSUMIDOR EN GASOLINERAS</t>
  </si>
  <si>
    <t xml:space="preserve">                                     CIUDAD DE GUATEMALA AÑO 1997</t>
  </si>
  <si>
    <t>Q./Gal</t>
  </si>
  <si>
    <t>promedio</t>
  </si>
  <si>
    <t xml:space="preserve">                                       CIUDAD DE GUATEMALA AÑO 1998</t>
  </si>
  <si>
    <t>Q,/GAL</t>
  </si>
  <si>
    <t xml:space="preserve">                  PRECIOS AL CONSUMIDOR EN GASOLINERAS</t>
  </si>
  <si>
    <t xml:space="preserve">                                   CIUDAD DE GUATEMALA AÑO 1999</t>
  </si>
  <si>
    <t>SUPERIOR 98</t>
  </si>
  <si>
    <t>SUPERIOR 95</t>
  </si>
  <si>
    <t>Q/GALÓN</t>
  </si>
  <si>
    <t>PRECIOS AL CONSUMIDOR EN GASOLINERAS</t>
  </si>
  <si>
    <t xml:space="preserve">                                                       CIUDAD DE GUATEMALA AÑO 2000</t>
  </si>
  <si>
    <t xml:space="preserve">   (PROMEDIO ARITMETICO)</t>
  </si>
  <si>
    <t>AV-JET</t>
  </si>
  <si>
    <t>Q/GALON</t>
  </si>
  <si>
    <t xml:space="preserve">                                                       CIUDAD DE GUATEMALA AÑO 2001</t>
  </si>
  <si>
    <t xml:space="preserve"> </t>
  </si>
  <si>
    <t>AV-GAS</t>
  </si>
  <si>
    <t>SUPERIOR-95</t>
  </si>
  <si>
    <t>EXXON</t>
  </si>
  <si>
    <t>CHEVRON</t>
  </si>
  <si>
    <t>SOLO UNA REPORTO</t>
  </si>
  <si>
    <t>BUNKER Rack</t>
  </si>
  <si>
    <t>Turbo-Jet A1</t>
  </si>
  <si>
    <t>0.43 + iva para bunker</t>
  </si>
  <si>
    <t>Promedio6-12</t>
  </si>
  <si>
    <t>Promedio7-12</t>
  </si>
  <si>
    <t>Promedio8-12</t>
  </si>
  <si>
    <t xml:space="preserve">Monitoreo del dia </t>
  </si>
  <si>
    <t>Tonza</t>
  </si>
  <si>
    <t>Zeta</t>
  </si>
  <si>
    <t xml:space="preserve">6+ </t>
  </si>
  <si>
    <t>Dagas</t>
  </si>
  <si>
    <t>*</t>
  </si>
  <si>
    <t>Promedio9-12</t>
  </si>
  <si>
    <t>ZETA GAS</t>
  </si>
  <si>
    <t>DIRECCIÓN GENERAL DE HIDROCARBUROS</t>
  </si>
  <si>
    <t>DEPTO COMERCIALIZACIÓN</t>
  </si>
  <si>
    <t>SECCIÓN PRECIOS DE PETRÓLEO NACIONAL</t>
  </si>
  <si>
    <t>INFORME DE PRECIOS DE GAS LICUADO DEL PETRÓLEO</t>
  </si>
  <si>
    <t>PRECIOS DE CILINDROS (EN QUETZALES)</t>
  </si>
  <si>
    <t>10 Lb..</t>
  </si>
  <si>
    <t>20 Lb..</t>
  </si>
  <si>
    <t>25 Lb..</t>
  </si>
  <si>
    <t>35 Lb..</t>
  </si>
  <si>
    <t>40 Lb..</t>
  </si>
  <si>
    <t>60 Lb..</t>
  </si>
  <si>
    <t>100 Lb..</t>
  </si>
  <si>
    <t>Q128.00 por cilindro</t>
  </si>
  <si>
    <t>N</t>
  </si>
  <si>
    <t>35lbs. Q 179.00 por cilindro</t>
  </si>
  <si>
    <t>Gas Express</t>
  </si>
  <si>
    <t>40lbs. Q 205.00 por cilindro</t>
  </si>
  <si>
    <t>11 Av. 7-97, Col. La Florida, zona 19.</t>
  </si>
  <si>
    <t>60lbs. Q 307.00 por cilindro</t>
  </si>
  <si>
    <t>100lbs. Q 512.00 por cilindro</t>
  </si>
  <si>
    <t>12 Av.  3-52, Col. La Florida</t>
  </si>
  <si>
    <t xml:space="preserve">Tel.  </t>
  </si>
  <si>
    <t>2a. Calle 6-25 Col la Florida, zona 19</t>
  </si>
  <si>
    <t>Tel.  5613-5919</t>
  </si>
  <si>
    <t>5a. Av. y 12 Calle Col. 1o. de Julio, Zona 6, Mixco</t>
  </si>
  <si>
    <t>5a. Av. 8-03 Col. Santa Marta, Zona 5, Mixco</t>
  </si>
  <si>
    <t>5a. Av. 4-60 Col. La Florida Zona 19</t>
  </si>
  <si>
    <t>Tel.  5393-9869</t>
  </si>
  <si>
    <t>5a Av. 0-91 Col. Sata Marta, Zona 5, Mixco</t>
  </si>
  <si>
    <t>Tel.  2437-3668</t>
  </si>
  <si>
    <t>s</t>
  </si>
  <si>
    <t>8va. Calle 3-32, Colonia Landivar, zona 7.</t>
  </si>
  <si>
    <t>9a. Calle  9-84 Col. Castillo Lara, Zona 7</t>
  </si>
  <si>
    <t>Tel.  2473-5165</t>
  </si>
  <si>
    <t>10 Calle 13-92 Colonia Castillo Lara, Zona 7</t>
  </si>
  <si>
    <t>21 Calle 13-76, Col. Castillo Lara, zona 7</t>
  </si>
  <si>
    <t>12 Av. 3-88 Col. Quinta Samayoa, zona 7</t>
  </si>
  <si>
    <t>13 Av. 10-37, Col. Martinico II, Zona 6</t>
  </si>
  <si>
    <t>17 Av. 15-44 Zona 6</t>
  </si>
  <si>
    <t>Tel.  2288-5758</t>
  </si>
  <si>
    <t>19 Calle "B", 18-14, Proyecto 4-4, zona 6</t>
  </si>
  <si>
    <t>Tel.  2288-6189</t>
  </si>
  <si>
    <t>Lote 2 al 9, El Sausalito, zona 6</t>
  </si>
  <si>
    <t>Tel.  5613-5900</t>
  </si>
  <si>
    <t>1ra Calle Lote 4, Santa Luisa, zona 6</t>
  </si>
  <si>
    <t>Tel.  2653-5900</t>
  </si>
  <si>
    <t>n</t>
  </si>
  <si>
    <t xml:space="preserve">Ecólogas  </t>
  </si>
  <si>
    <t>4a. Ave. 27-09 Zona 3</t>
  </si>
  <si>
    <t>Tel.  2471-0597</t>
  </si>
  <si>
    <t xml:space="preserve"> s</t>
  </si>
  <si>
    <t xml:space="preserve">Gas Express </t>
  </si>
  <si>
    <t>Av. El Cementerio 13-22 Zona 3</t>
  </si>
  <si>
    <t>Tel.  2230-3221</t>
  </si>
  <si>
    <t>Ecólogas  1001</t>
  </si>
  <si>
    <t>1 Av. 15-60 zona 1</t>
  </si>
  <si>
    <t>Tel.  2450-4811</t>
  </si>
  <si>
    <t>Dist. Gas R. L.</t>
  </si>
  <si>
    <t>7a. Calle 11-13 Zona 1</t>
  </si>
  <si>
    <t>Tel.  5291-8882</t>
  </si>
  <si>
    <t>S</t>
  </si>
  <si>
    <t>Gas Express Daniela</t>
  </si>
  <si>
    <t>3 Calle 48-74,Col. Molino de Las Flores, Zona 11</t>
  </si>
  <si>
    <t>Tel.  5312-3294</t>
  </si>
  <si>
    <t>44 Av. 8-30 Col. Alvarado, Zona 11</t>
  </si>
  <si>
    <t>Tel.  2438-2877</t>
  </si>
  <si>
    <t>16 Av. 6-27 Col. Carabanchel Zona 11</t>
  </si>
  <si>
    <t>Tel.  2471-3309</t>
  </si>
  <si>
    <t>16 Av. 11-96, Zona 11</t>
  </si>
  <si>
    <t>Tel.  5312-3289</t>
  </si>
  <si>
    <t>Gas Express Meza Grande, S. A.</t>
  </si>
  <si>
    <t xml:space="preserve">Boulevard Sur, Manzana "A" Sección 4 Lote 7, Local "C" </t>
  </si>
  <si>
    <t>Valle Dorado, Zona 8 de Mixco,   Tel.  5919-6064</t>
  </si>
  <si>
    <t>Zeta Gas Express Elsita</t>
  </si>
  <si>
    <t>3a. Calle 6-08, Colonia Panorama, zona 8 de Mixco</t>
  </si>
  <si>
    <t>Tel.  5613-5883</t>
  </si>
  <si>
    <t>SERVI GAS</t>
  </si>
  <si>
    <t>Boulevard Principal, 12-85, San Cristóbal, zona 8 de Mixco</t>
  </si>
  <si>
    <t>Tel.  5794-4617</t>
  </si>
  <si>
    <t>Boulevard Principal, San Cristóbal, zona 8 de Mixco</t>
  </si>
  <si>
    <t>11 Av. 23-56, Col. Reformita, zona 12</t>
  </si>
  <si>
    <t>Tel.  2476-9081</t>
  </si>
  <si>
    <t>25 Av.   24-13, zona 5</t>
  </si>
  <si>
    <t>Tel.  5613-5805</t>
  </si>
  <si>
    <t>5ta. Calle 3-31, Col. Santa Rosita, zona 16</t>
  </si>
  <si>
    <t>Tel.  5210-3765</t>
  </si>
  <si>
    <t>4ta. Calle 2-66, Col. Guajitos, zona 12</t>
  </si>
  <si>
    <t>Tel.  2477-6410</t>
  </si>
  <si>
    <t>5ta Av. 4-79, Col Guajitos, Zona 12</t>
  </si>
  <si>
    <t>Tel.  2449-7648</t>
  </si>
  <si>
    <t>Calzada Justo Rufino Barrios 4-78 "B", Zona 21</t>
  </si>
  <si>
    <t>Distribuidora de Gas APM (Gas Milán)</t>
  </si>
  <si>
    <t>33 Av. 14-89 Zona 21</t>
  </si>
  <si>
    <t>Tel.  5405-3555 y 5558-6130</t>
  </si>
  <si>
    <t>Calzada Justo Rufino Barrios  6-14, zona 21</t>
  </si>
  <si>
    <t>Tel.  5998-8336</t>
  </si>
  <si>
    <t>18 Av. 10-79, Colonia Venezuela, zona 21</t>
  </si>
  <si>
    <t>Tel.  5613-5728</t>
  </si>
  <si>
    <t>16 Av. 15-96, Nimajuyu II, Zona 21</t>
  </si>
  <si>
    <t>5 Av. 4-95, Ciudad Real I, zona 12</t>
  </si>
  <si>
    <t>Tel.  5613-5727</t>
  </si>
  <si>
    <t>5 Calle. 3-63, Ciudad Real II, zona 12</t>
  </si>
  <si>
    <t>Tel.  2479-2702</t>
  </si>
  <si>
    <t>6 Calle 1-43, Ciudad Real zona 12</t>
  </si>
  <si>
    <t>Tel.  5613-5904</t>
  </si>
  <si>
    <t>Gas Express Ayala</t>
  </si>
  <si>
    <t>5 Calle y Calle Corona, Ciudad Real II, zona 12</t>
  </si>
  <si>
    <t>Tel.  5966-8452</t>
  </si>
  <si>
    <t>Santa Cecilia</t>
  </si>
  <si>
    <t>12 Av. 8-83 Col La Florida Zona 19</t>
  </si>
  <si>
    <t>Tel.  2432-8097</t>
  </si>
  <si>
    <t>Gas Alex</t>
  </si>
  <si>
    <t>12 Av. 5-10 Col. La Florida, Zona 19</t>
  </si>
  <si>
    <t>Tel.  2432-3267</t>
  </si>
  <si>
    <t>TOMZA (Independiente)</t>
  </si>
  <si>
    <t>Florida</t>
  </si>
  <si>
    <t>7 Av. 4-25 Col. La Florida Zona 19</t>
  </si>
  <si>
    <t>Tel.  2432-0800</t>
  </si>
  <si>
    <t>Expendio de Gas San Francisco</t>
  </si>
  <si>
    <t>6a. Av. 5-80 Col. La Florida Zona 19</t>
  </si>
  <si>
    <t>Tel.  2438-0420</t>
  </si>
  <si>
    <t>Expendio de Gas Las Flores</t>
  </si>
  <si>
    <t>6 Av. 6-21 Colonia la Florida Zona 19</t>
  </si>
  <si>
    <t>Tel.  2431-5565</t>
  </si>
  <si>
    <t>Gas la Séptima</t>
  </si>
  <si>
    <t>7 Av. 9-14 Col. La Florida Zona 19</t>
  </si>
  <si>
    <t>Tel.  2434-2315</t>
  </si>
  <si>
    <t>Gas La Fe</t>
  </si>
  <si>
    <t>7 Av. 9-35 Col. La Florida Zona 19</t>
  </si>
  <si>
    <t>Tel.  2439-0674</t>
  </si>
  <si>
    <t>Gas 1ro. De Julio</t>
  </si>
  <si>
    <t>5 Av. 10-59 Col. 1ro. De Julio, Zona 6, Mixco</t>
  </si>
  <si>
    <t>Tel.  2435-8095</t>
  </si>
  <si>
    <t>Gas J.B. Judith</t>
  </si>
  <si>
    <t>5 Av. 8-41, Col. Landivar, Zona 7</t>
  </si>
  <si>
    <t>Tel.  2472-1069</t>
  </si>
  <si>
    <t>Gas El Punto</t>
  </si>
  <si>
    <t>11 Calle 5-52 Col. Landivar, Zona 7</t>
  </si>
  <si>
    <t>Tel.  5299-4373</t>
  </si>
  <si>
    <t>Tonza Tulan Gas</t>
  </si>
  <si>
    <t>Manzana "G" Lote 32 Jardines de Tulan Zu Zona Mixco</t>
  </si>
  <si>
    <t>Tel.  2475-6559</t>
  </si>
  <si>
    <t>Gas la Quinta (Alex)</t>
  </si>
  <si>
    <t>13 Av. 4-46 Col. Quinta Samayoa, Zona 7</t>
  </si>
  <si>
    <t>Tel.  2473-5960</t>
  </si>
  <si>
    <t>Gas Marti</t>
  </si>
  <si>
    <t>13 Av. 5-63 Zona 6</t>
  </si>
  <si>
    <t>Tels.  2254-0094 ,  2254-0033</t>
  </si>
  <si>
    <t>Gas Martinico</t>
  </si>
  <si>
    <t>Martinico II 13 Av. 9-47 Zona 6</t>
  </si>
  <si>
    <t>Tel.  2288-3460</t>
  </si>
  <si>
    <t>Expendio de Gas Santa Ana</t>
  </si>
  <si>
    <t>17 Av. 8-64 Zona 6</t>
  </si>
  <si>
    <t>Tel.  2288-0350</t>
  </si>
  <si>
    <t>Expendio la Favorita</t>
  </si>
  <si>
    <t>11 Calle 17-06, zona 6</t>
  </si>
  <si>
    <t>Tel.  2288-6567</t>
  </si>
  <si>
    <t>Gas La Pedrera</t>
  </si>
  <si>
    <t xml:space="preserve">19 Calle "B" 18-83, Proyecto  4-4, zona 6 </t>
  </si>
  <si>
    <t>Tel.  2289-2954</t>
  </si>
  <si>
    <t>Dist. de Gas Divina Providencia</t>
  </si>
  <si>
    <t>9av. 40-20  Zona 8</t>
  </si>
  <si>
    <t>Tel.  2440-5452</t>
  </si>
  <si>
    <t>Expendio de Gas Zavala</t>
  </si>
  <si>
    <t>3ra. Av. 39-06 Zona 8</t>
  </si>
  <si>
    <t>Tel. 2473-4304</t>
  </si>
  <si>
    <t>Distribuidora Tobías</t>
  </si>
  <si>
    <t>Av. Cementerio 14-93 zona 3</t>
  </si>
  <si>
    <t>Tel.  2238-0609</t>
  </si>
  <si>
    <t>Expendio Jeshua</t>
  </si>
  <si>
    <t>17 calle 0-72 zona 1</t>
  </si>
  <si>
    <t>Tel.  2230-4626</t>
  </si>
  <si>
    <t>Gas Comercial Súper</t>
  </si>
  <si>
    <t>6 Calle 9-60 zona 1</t>
  </si>
  <si>
    <t>Tel. 2232-2290</t>
  </si>
  <si>
    <t>Gas 2000</t>
  </si>
  <si>
    <t>1A. Avenida 15-66, zona 1</t>
  </si>
  <si>
    <t>Tel. 2251-3290</t>
  </si>
  <si>
    <t>Guate Gas Molino</t>
  </si>
  <si>
    <t>3a. Calle 48-68 Col. Molino de las Flores zona 11</t>
  </si>
  <si>
    <t>Tel.  5306-3991</t>
  </si>
  <si>
    <t>Repromogas</t>
  </si>
  <si>
    <t>Col. Molino de las Flores, Zona 11</t>
  </si>
  <si>
    <t>Tel.  2437-7331</t>
  </si>
  <si>
    <t>Gas Bambino</t>
  </si>
  <si>
    <t>12 Av. 7-68,  Col. Carabanchel Zona 11</t>
  </si>
  <si>
    <t>Tel.  2472-1631</t>
  </si>
  <si>
    <t>FLASH GAS</t>
  </si>
  <si>
    <t>13 Av. 10-88 Col. Carabanchel zona 11</t>
  </si>
  <si>
    <t>Tel.  2440-9453</t>
  </si>
  <si>
    <t>VELOZ GAS</t>
  </si>
  <si>
    <t>16 Av.  12-14 Col. Carabanchel zona 11</t>
  </si>
  <si>
    <t>Tel.  5704-4370</t>
  </si>
  <si>
    <t>CERSA GAS</t>
  </si>
  <si>
    <t>5 Av. 5-07 Col. Panorama, zona 8 de Mixco</t>
  </si>
  <si>
    <t>Tel. 2478-1578</t>
  </si>
  <si>
    <t>Deposito Don Beto</t>
  </si>
  <si>
    <t>5 AV. 21-36, Col. Valle Dorado, zona 8 de Mixco</t>
  </si>
  <si>
    <t>Tel. 2478-0708</t>
  </si>
  <si>
    <t>Deposito Valle Dorado</t>
  </si>
  <si>
    <t>Manzana 7 Lote 29, Col. Valle Dorado, zona 8 de Mixco</t>
  </si>
  <si>
    <t>Tel. 2443-5204</t>
  </si>
  <si>
    <t>Expendio Gas Antony</t>
  </si>
  <si>
    <t>Bulevar San Cristóbal, zona 8 de Mixco</t>
  </si>
  <si>
    <t>Tel. 5774-0468  y  5523-1641</t>
  </si>
  <si>
    <t>Expendio de Gas Olimpia</t>
  </si>
  <si>
    <t>15 Av. 27-63 Zona 5</t>
  </si>
  <si>
    <t>Tel.  2360-4078</t>
  </si>
  <si>
    <t>Expendio de Gas El Muñecón</t>
  </si>
  <si>
    <t>26 Calle, 25-01 zona 5</t>
  </si>
  <si>
    <t>Tel.  2336-3511</t>
  </si>
  <si>
    <t>Expendio Xelaju</t>
  </si>
  <si>
    <t>3ra. Calle 5av. 8-38, Col. Santa Rosita, zona 16</t>
  </si>
  <si>
    <t>Tel.  5300-5219</t>
  </si>
  <si>
    <t>Expendio Morales</t>
  </si>
  <si>
    <t>7ma Calle  3-38, Colonia Santa Rosita, zona 16</t>
  </si>
  <si>
    <t>Tel.  2261-0594</t>
  </si>
  <si>
    <t>Expendio de Gas Santa Rosita</t>
  </si>
  <si>
    <t>5ta. Av. 2-49, Col. Santa Rosita, zona 16</t>
  </si>
  <si>
    <t>Tel.  2255-8529</t>
  </si>
  <si>
    <t>Gas Carmel</t>
  </si>
  <si>
    <t>10av. 1-55 Zona 17</t>
  </si>
  <si>
    <t>Tel.  2256-3642</t>
  </si>
  <si>
    <t>EL CHORRITO</t>
  </si>
  <si>
    <t>5av. 4-18, Col. Guajitos, zona 12</t>
  </si>
  <si>
    <t>Tel.  2479-2710</t>
  </si>
  <si>
    <t>Gas la Fuente II</t>
  </si>
  <si>
    <t>Calzada Justo Rufino Barrios, 11 Calle 32-83, Zona 21</t>
  </si>
  <si>
    <t>Santa Marta</t>
  </si>
  <si>
    <t>Calzada Justo Rufino Barrios, 33-20 y 13 calle, zona 21</t>
  </si>
  <si>
    <t>Tel.  2449-6619</t>
  </si>
  <si>
    <t>La Fuente I (TOMZA)</t>
  </si>
  <si>
    <t>Calzada Justo Rufino Barrios,  Zona 21</t>
  </si>
  <si>
    <t>Tel.  5405-3555</t>
  </si>
  <si>
    <t xml:space="preserve">Gas VENE </t>
  </si>
  <si>
    <t>18 Av. "B" 11-15, Local "A" Col. Venezuela , Zona 21</t>
  </si>
  <si>
    <t>Tel.  2449-4358</t>
  </si>
  <si>
    <t xml:space="preserve">Expendio Gas Gil </t>
  </si>
  <si>
    <t>13 Av. "C" 10-49 Zona 21</t>
  </si>
  <si>
    <t>Tel.  2449-0576</t>
  </si>
  <si>
    <t>Expendio Salgado</t>
  </si>
  <si>
    <t>14 Av. "A" 10-60 Apto. 24, Bellos Horizontes, zona 21</t>
  </si>
  <si>
    <t>Tel.  5398-4202</t>
  </si>
  <si>
    <t>Expendio de Gas San Antonio</t>
  </si>
  <si>
    <t>22 Calle 22-07, Zona 5</t>
  </si>
  <si>
    <t>Tel.  2335-3676</t>
  </si>
  <si>
    <t>Expendio de Gas Los Ángeles</t>
  </si>
  <si>
    <t>23 calle 38-46,  Zona 5</t>
  </si>
  <si>
    <t>Tel.  2335-4623</t>
  </si>
  <si>
    <t>11 Av. 16-01, Col. Reformita, zona 12</t>
  </si>
  <si>
    <t>Tel.  2473-2367</t>
  </si>
  <si>
    <t>n/v</t>
  </si>
  <si>
    <t>Expendio de Gas El Chito</t>
  </si>
  <si>
    <t>5 Av. 15-55, Col. Reformita, zona 12</t>
  </si>
  <si>
    <t>Tels.  2473-2712  y  2474-4496</t>
  </si>
  <si>
    <t>PROMEDIO DE PROMEDIOS POR EMPRESA</t>
  </si>
  <si>
    <t>PRECIOS PROMEDIO EN LA CAPITAL</t>
  </si>
  <si>
    <t>VALOR MÁXIMO</t>
  </si>
  <si>
    <t>VALOR MÍNIMO</t>
  </si>
  <si>
    <t>PRECIO PROMEDIO POR EMPRESA</t>
  </si>
  <si>
    <t>N/v</t>
  </si>
  <si>
    <t>TOTAL DE EXPENDIOS MONITOREADOS</t>
  </si>
  <si>
    <t>NUMERO DE EXPENDIOS NO ABIERTOS</t>
  </si>
  <si>
    <t>TOTAL DE EXPENDIOS</t>
  </si>
  <si>
    <t>EXPENDIOS DE TOMZA MONITOREADOS</t>
  </si>
  <si>
    <t>EXPENDIOS DE ZETA GAS MONITOREADOS</t>
  </si>
  <si>
    <t>EXPENDIOS DE DAGAS MONITOREADOS</t>
  </si>
  <si>
    <t>.</t>
  </si>
  <si>
    <t>AÑO 81</t>
  </si>
  <si>
    <t>Q./cilindro</t>
  </si>
  <si>
    <t>1/ cilindro 100 lbs.</t>
  </si>
  <si>
    <t>AÑO 82</t>
  </si>
  <si>
    <t>AÑO 83</t>
  </si>
  <si>
    <t>AÑO 84</t>
  </si>
  <si>
    <t>AÑO 85</t>
  </si>
  <si>
    <t>AÑO 86</t>
  </si>
  <si>
    <t>AÑO 87</t>
  </si>
  <si>
    <t xml:space="preserve">    PRECIOS PROMEDIO MENSUAL DE COMBUSTIBLES  EN</t>
  </si>
  <si>
    <t xml:space="preserve">       ESTACIONES DE SERVICIO CIUDAD DE GUATEMALA</t>
  </si>
  <si>
    <t>AÑO 88</t>
  </si>
  <si>
    <t>AÑO 89</t>
  </si>
  <si>
    <t>AÑO 90</t>
  </si>
  <si>
    <t>GLP cilindros</t>
  </si>
  <si>
    <t>AÑO 91</t>
  </si>
  <si>
    <t>AÑO 92</t>
  </si>
  <si>
    <t>1/ precio de cilindro de 100 libras puesto en domicilio.</t>
  </si>
  <si>
    <t>AÑO 93</t>
  </si>
  <si>
    <t>AÑO 94</t>
  </si>
  <si>
    <t>AÑO 95</t>
  </si>
  <si>
    <t>AÑO 96</t>
  </si>
  <si>
    <t>AÑO 97</t>
  </si>
  <si>
    <t>GAS CILINDROS</t>
  </si>
  <si>
    <t>AÑO 98</t>
  </si>
  <si>
    <t>AÑO 99</t>
  </si>
  <si>
    <t>AÑO 2000</t>
  </si>
  <si>
    <t>GAS CILINDRO</t>
  </si>
  <si>
    <t>25 Libras</t>
  </si>
  <si>
    <t>AÑO 2001</t>
  </si>
  <si>
    <r>
      <t xml:space="preserve">GLP  </t>
    </r>
    <r>
      <rPr>
        <sz val="10"/>
        <color indexed="62"/>
        <rFont val="Arial"/>
        <family val="2"/>
      </rPr>
      <t>1/</t>
    </r>
  </si>
  <si>
    <t>Promedio10-12</t>
  </si>
  <si>
    <t>Promedio11-12</t>
  </si>
  <si>
    <t>Promedio12-12</t>
  </si>
  <si>
    <t>PRECIOS CONSUMIDOR PROMEDIO AÑO 2013</t>
  </si>
  <si>
    <t>PRECIOS CONSUMIDOR AUTO SERVICIO PROMEDIO AÑO 2012</t>
  </si>
  <si>
    <t>AÑO 2013</t>
  </si>
  <si>
    <t>Promedio02-13</t>
  </si>
  <si>
    <t>Promedio01-13</t>
  </si>
  <si>
    <t>Promedio03-13</t>
  </si>
  <si>
    <t>Promedio04-13</t>
  </si>
  <si>
    <t>Promedio05-13</t>
  </si>
  <si>
    <t>Promedio06-13</t>
  </si>
  <si>
    <t>Promedio07-13</t>
  </si>
  <si>
    <t>Promedio08-13</t>
  </si>
  <si>
    <t>Promedio09-13</t>
  </si>
  <si>
    <t>Promedio10-13</t>
  </si>
  <si>
    <t>Promedio11-13</t>
  </si>
  <si>
    <t>AÑO 2014</t>
  </si>
  <si>
    <t>Promedio12-13</t>
  </si>
  <si>
    <t>Promedio01-14</t>
  </si>
  <si>
    <t>Promedio02-14</t>
  </si>
  <si>
    <t>Promedio03-14</t>
  </si>
  <si>
    <t>Promedio04-14</t>
  </si>
  <si>
    <t>Promedio05-14</t>
  </si>
  <si>
    <t>Promedio06-14</t>
  </si>
  <si>
    <t>Promedio07-14</t>
  </si>
  <si>
    <t>Promedio08-14</t>
  </si>
  <si>
    <t>Promedio09-14</t>
  </si>
  <si>
    <t>DIRECCION GENERAL DE HIDORCARBUROS</t>
  </si>
  <si>
    <t>Tomza</t>
  </si>
  <si>
    <t xml:space="preserve"> Cil. 25 Lbs.</t>
  </si>
  <si>
    <t>CIUDAD DE GUATEMALA 2012 - 2014</t>
  </si>
  <si>
    <t>PRECIOS DE  GAS LICUADO DE PETROLEO EN CILINDROS DE 25 LIBRAS POR COMPAÑÍA</t>
  </si>
  <si>
    <t>PRECIOS DE  GAS LICUADO DE PETROLEO EN CILINDROS DE 35 LIBRAS POR COMPAÑÍA</t>
  </si>
  <si>
    <t xml:space="preserve"> Cil. 35 Lbs.</t>
  </si>
  <si>
    <t>PRECIOS DE  GAS LICUADO DE PETROLEO EN CILINDROS DE 100 LIBRAS POR COMPAÑÍA</t>
  </si>
  <si>
    <t xml:space="preserve"> Cil. 100 Lbs.</t>
  </si>
  <si>
    <t>Promedio10-14</t>
  </si>
  <si>
    <t>Promedio11-14</t>
  </si>
  <si>
    <t>Promedio12-14</t>
  </si>
  <si>
    <t>Promedio01-15</t>
  </si>
  <si>
    <t>AÑO 2015</t>
  </si>
  <si>
    <t>Promedio02-15</t>
  </si>
  <si>
    <t>CIUDAD DE GUATEMALA 2012 - 2015</t>
  </si>
  <si>
    <t>Semana Santa 02 de abril de 2012</t>
  </si>
  <si>
    <t>Semana Santa 25 de marzo de 2013</t>
  </si>
  <si>
    <t>Semana Santa 14 de abril de 2014</t>
  </si>
  <si>
    <t>Semana Santa 02 de abril de 2015</t>
  </si>
  <si>
    <t>MODALIDAD SERVICIO COMPLETO</t>
  </si>
  <si>
    <t>GASOLINA SUPERIOR - V-Power</t>
  </si>
  <si>
    <t>MES/AÑO</t>
  </si>
  <si>
    <t>GASOLINA SUPERIOR - 95 OCTANOS</t>
  </si>
  <si>
    <t xml:space="preserve">Quetzales por Galòn </t>
  </si>
  <si>
    <t>GASOLINA REGULAR - 87 OCTANOS</t>
  </si>
  <si>
    <t>COMBUSTIBLE DIESEL - 45 CETANOS</t>
  </si>
  <si>
    <t>MODALIDAD AUTOSERVICIO</t>
  </si>
  <si>
    <t>Promedio03-15</t>
  </si>
  <si>
    <t>Promedio04-15</t>
  </si>
  <si>
    <t>Promedio05-15</t>
  </si>
  <si>
    <t>Promedio06-15</t>
  </si>
  <si>
    <t>5414-0833</t>
  </si>
  <si>
    <t>Promedio07-15</t>
  </si>
  <si>
    <t>Promedio08-15</t>
  </si>
  <si>
    <t>Promedio09-15</t>
  </si>
  <si>
    <t>Promedio10-15</t>
  </si>
  <si>
    <t>V-POWWER</t>
  </si>
  <si>
    <t>V-POWER</t>
  </si>
  <si>
    <t>FUENTE: DEPARTAMENTO DE ANALISIS ECONOMICO</t>
  </si>
  <si>
    <t>AÑO 2016</t>
  </si>
  <si>
    <t>Semana Santa 24 de marzo de 2016</t>
  </si>
  <si>
    <t>Promedio11-15</t>
  </si>
  <si>
    <t>Promedio12-15</t>
  </si>
  <si>
    <t>Promedio 01-16</t>
  </si>
  <si>
    <t>Promedio02-16</t>
  </si>
  <si>
    <t>N/D</t>
  </si>
  <si>
    <t>N/D =No Disponibles</t>
  </si>
  <si>
    <t>DEPARTAMENTO DE ANÁLISIS ECONÓMICO</t>
  </si>
  <si>
    <t>Promedio 03-16</t>
  </si>
  <si>
    <t>Promedio 04-16</t>
  </si>
  <si>
    <t>Promedio 05-16</t>
  </si>
  <si>
    <t>Promedio 06-16</t>
  </si>
  <si>
    <t>Promedio 07-16</t>
  </si>
  <si>
    <t>27 Libras</t>
  </si>
  <si>
    <t>35 Libras</t>
  </si>
  <si>
    <t>40 Libras</t>
  </si>
  <si>
    <t>60 Libras</t>
  </si>
  <si>
    <t>100 Libras</t>
  </si>
  <si>
    <t>PRECIOS AL CONSUMIDOR EN ESTACIONES DE SERVICIO CIUDAD DE GUATEMALA,  MODALIDAD AUTOSERVICIO</t>
  </si>
  <si>
    <t>GASOLINA SUPERIOR</t>
  </si>
  <si>
    <t>Año</t>
  </si>
  <si>
    <t>Mes / Unidad</t>
  </si>
  <si>
    <t>Q./GALÓN</t>
  </si>
  <si>
    <t>Promedios</t>
  </si>
  <si>
    <t>GASOLINA REGULAR</t>
  </si>
  <si>
    <t>COMBUSTIBLE DIESEL</t>
  </si>
  <si>
    <t>Pag. 1</t>
  </si>
  <si>
    <t>Pag. 2</t>
  </si>
  <si>
    <t>Promedio 08-16</t>
  </si>
  <si>
    <t>D/N</t>
  </si>
  <si>
    <t>Promedio 09-16</t>
  </si>
  <si>
    <t>Promedio 10-16</t>
  </si>
  <si>
    <t>Promedio 11-16</t>
  </si>
  <si>
    <t>DEPARTAMENTO DE ANALISIS ECONOMICO</t>
  </si>
  <si>
    <t>Precios Sugeridos de GLP por Compañía</t>
  </si>
  <si>
    <t>2016- 2017</t>
  </si>
  <si>
    <t>N/V: No vende</t>
  </si>
  <si>
    <t>Promedio 01-17</t>
  </si>
  <si>
    <t>Promedio 12-16</t>
  </si>
  <si>
    <t>AÑO 2017</t>
  </si>
  <si>
    <t>AUTO SERVICIO</t>
  </si>
  <si>
    <t>Promedio 02-17</t>
  </si>
  <si>
    <t>DIRECCION GENERAL DE HIDROCABUROS</t>
  </si>
  <si>
    <t>PRECIOS PROMEDIO A CONSUMIDOR FINAL DE GASOLINAS Y DIESEL</t>
  </si>
  <si>
    <t>Promedio 03-17</t>
  </si>
  <si>
    <t>Promedio 04-17</t>
  </si>
  <si>
    <t>Promedio 05-17</t>
  </si>
  <si>
    <t>Promedio 06-17</t>
  </si>
  <si>
    <t>Promedio 07-17</t>
  </si>
  <si>
    <t>º24.00</t>
  </si>
  <si>
    <t>º</t>
  </si>
  <si>
    <t>2016- 2018</t>
  </si>
  <si>
    <t xml:space="preserve">       DIRECCION GENERAL DE HIDROCARBUROS</t>
  </si>
  <si>
    <t xml:space="preserve">      DEPTO. DE ANÁLISIS ECONÓMICO</t>
  </si>
  <si>
    <t xml:space="preserve">    PRECIOS PROMEDIO DE COMBUSTIBLES A CONSUMIDOR FINAL</t>
  </si>
  <si>
    <t xml:space="preserve">  MODALIDAD AUTO SERVICIO</t>
  </si>
  <si>
    <t xml:space="preserve">  CIUDAD CAPITAL</t>
  </si>
  <si>
    <t>Promedio 08-17</t>
  </si>
  <si>
    <t>Promedio 09-17</t>
  </si>
  <si>
    <t>Promedio 10-17</t>
  </si>
  <si>
    <t>Promedio 11-17</t>
  </si>
  <si>
    <t>Promedio 12-17</t>
  </si>
  <si>
    <t>Promedio 01-18</t>
  </si>
  <si>
    <t>Promedio 02-18</t>
  </si>
  <si>
    <t>Promedio 03-18</t>
  </si>
  <si>
    <t>Promedio 04-18</t>
  </si>
  <si>
    <t>GLOBALGAS / DAGAS</t>
  </si>
  <si>
    <t>A NIVEL NACIONAL</t>
  </si>
  <si>
    <t>PRECIOS PROMEDIO DE GLP POR COMPAÑÍA</t>
  </si>
  <si>
    <r>
      <t>(</t>
    </r>
    <r>
      <rPr>
        <b/>
        <sz val="8"/>
        <color rgb="FFFF0000"/>
        <rFont val="Arial Narrow"/>
        <family val="2"/>
      </rPr>
      <t>ESTOS PRECIOS SE APLICAN EN TODA LA REPUBLICA DE GUATEMALA</t>
    </r>
    <r>
      <rPr>
        <b/>
        <sz val="10"/>
        <color rgb="FFFF0000"/>
        <rFont val="Arial Narrow"/>
        <family val="2"/>
      </rPr>
      <t>)</t>
    </r>
  </si>
  <si>
    <t>QUETZALES/GALON</t>
  </si>
  <si>
    <t>Promedio 05-18</t>
  </si>
  <si>
    <t>Promedio 06-18</t>
  </si>
  <si>
    <t>Promedio 07-18</t>
  </si>
  <si>
    <t>Promedio 08-18</t>
  </si>
  <si>
    <t>Gas Zeta</t>
  </si>
  <si>
    <t>Tropigas/Gas Metropolitano</t>
  </si>
  <si>
    <t>Promedio 09-18</t>
  </si>
  <si>
    <t>Promedio 10-18</t>
  </si>
  <si>
    <t>Promedio 11-18</t>
  </si>
  <si>
    <t>Promedio 12-18</t>
  </si>
  <si>
    <t>JUNIO-2018 /ENERO 2019</t>
  </si>
  <si>
    <t>PROMEDIO 01-19</t>
  </si>
  <si>
    <t>AÑO 2019</t>
  </si>
  <si>
    <t>Precios Av Jet, son a Consumidor</t>
  </si>
  <si>
    <t>AÑO 2018</t>
  </si>
  <si>
    <t>PROMEDIO 02-19</t>
  </si>
  <si>
    <t>PROMEDIO 03-19</t>
  </si>
  <si>
    <t>PROMEDIO 04-19</t>
  </si>
  <si>
    <t>PROMEDIO 05-19</t>
  </si>
  <si>
    <t>PROMEDIO 06-19</t>
  </si>
  <si>
    <t>PROMEDIO 07-19</t>
  </si>
  <si>
    <t>PROMEDIO 08-19</t>
  </si>
  <si>
    <t>DE JUNIO 2018 A FEBRERO 2020</t>
  </si>
  <si>
    <t>PROMEDIO 09-19</t>
  </si>
  <si>
    <t>PROMEDIO 10-19</t>
  </si>
  <si>
    <t>PROMEDIO 11-19</t>
  </si>
  <si>
    <t>PROMEDIO 12-19</t>
  </si>
  <si>
    <t>DE ENERO 2018 A ABRIL 2020</t>
  </si>
  <si>
    <t>25 may0 20</t>
  </si>
  <si>
    <t>PROMEDIO 01-20</t>
  </si>
  <si>
    <t>PROMEDIO 02-20</t>
  </si>
  <si>
    <t>PROMEDIO 3-20</t>
  </si>
  <si>
    <t>AÑO 2020</t>
  </si>
  <si>
    <t>PROMEDIO 5-20</t>
  </si>
  <si>
    <t>PROMEDIO 7-20</t>
  </si>
  <si>
    <t xml:space="preserve">   </t>
  </si>
  <si>
    <t>01 junio    Q.10.69 por galón</t>
  </si>
  <si>
    <t>08 junio    Q.10.50 por galón</t>
  </si>
  <si>
    <t>15 junio    Q.11.20 por galón</t>
  </si>
  <si>
    <t>22 junio    Q.11.77 por galón</t>
  </si>
  <si>
    <t>29 junio    Q.12.23 por galón.</t>
  </si>
  <si>
    <t xml:space="preserve">  </t>
  </si>
  <si>
    <t>PROMEDIO 6-20</t>
  </si>
  <si>
    <t>PROMEDIO 8-20</t>
  </si>
  <si>
    <t>PROMEDIO 9-20</t>
  </si>
  <si>
    <t>PROMEDIO 10-20</t>
  </si>
  <si>
    <t>PROMEDIO 11-20</t>
  </si>
  <si>
    <t>PROMEDIO 12-20</t>
  </si>
  <si>
    <t>PROMEDIO 1-21</t>
  </si>
  <si>
    <t>AÑO 2021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</si>
  <si>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</si>
  <si>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PROMEDIO 2-21</t>
  </si>
  <si>
    <t>PROMEDIO 3-21</t>
  </si>
  <si>
    <t>PROMEDIO 4-21</t>
  </si>
  <si>
    <t>PROMEDIO 5-21</t>
  </si>
  <si>
    <t>PROMEDIO 6-21</t>
  </si>
  <si>
    <t>PROMEDIO 7-21</t>
  </si>
  <si>
    <t>PROMEDIO 8-21</t>
  </si>
  <si>
    <t>AÑO 2022</t>
  </si>
  <si>
    <t>Precios Bunker, son al consumidor</t>
  </si>
  <si>
    <t xml:space="preserve">DIRECCIÓN GENERAL DE HIDROCARBUROS </t>
  </si>
  <si>
    <t>PRECIO PROMEDIO CONSIMIDOR FINAL, DE GASOLINAS SUPER, REGULAR Y DIESEL</t>
  </si>
  <si>
    <t>CIUDAD DE GUATEMALA</t>
  </si>
  <si>
    <t>(QUETZALES POR GALON)</t>
  </si>
  <si>
    <t>GASOLINA SUPERIOR - CON ADITIVO</t>
  </si>
  <si>
    <t xml:space="preserve">GASOLINA SUPERIOR </t>
  </si>
  <si>
    <t xml:space="preserve">GASOLINA REGULAR </t>
  </si>
  <si>
    <t xml:space="preserve">PRECIOS PROMEDIO A CONSUMIDOR FINAL </t>
  </si>
  <si>
    <t>DE GAS LICUADO DE PETROLEO (GLP)</t>
  </si>
  <si>
    <t>ENVASADO EN CILINDROS</t>
  </si>
  <si>
    <t>10 LBS.</t>
  </si>
  <si>
    <t>20 LBS.</t>
  </si>
  <si>
    <t>25 LBS.</t>
  </si>
  <si>
    <t>35 LBS.</t>
  </si>
  <si>
    <t>40 LBS.</t>
  </si>
  <si>
    <t>60 LBS.</t>
  </si>
  <si>
    <t>100 LBS.</t>
  </si>
  <si>
    <t>Sii</t>
  </si>
  <si>
    <t>(Quetzales por cilindro/ precios incluyen IVA)</t>
  </si>
  <si>
    <t>Pag. 3</t>
  </si>
  <si>
    <t>Pag. 4</t>
  </si>
  <si>
    <t>Pag. 5</t>
  </si>
  <si>
    <t>Pag. 6</t>
  </si>
  <si>
    <t>Pag. 7</t>
  </si>
  <si>
    <t>Pag. 8</t>
  </si>
  <si>
    <t>Pag. 9</t>
  </si>
  <si>
    <t>Pag. 10</t>
  </si>
  <si>
    <t>Pag. 11</t>
  </si>
  <si>
    <t>Pag. 12</t>
  </si>
  <si>
    <t>Pag. 13</t>
  </si>
  <si>
    <t>Pag. 14</t>
  </si>
  <si>
    <t>Pag. 15</t>
  </si>
  <si>
    <t>Pag. 16</t>
  </si>
  <si>
    <t>Pag. 17</t>
  </si>
  <si>
    <t>ENVASADO EN CILINDROS CIUDAD DE GUATEMALA</t>
  </si>
  <si>
    <t>Pag. 18</t>
  </si>
  <si>
    <t>PROMEDIO 7-22</t>
  </si>
  <si>
    <t>PROMEDIO 8-22</t>
  </si>
  <si>
    <t>PROMEDIO 6-22</t>
  </si>
  <si>
    <t>PROMEDIO 9-22</t>
  </si>
  <si>
    <t>PROMEDIO 10-22</t>
  </si>
  <si>
    <t>PROMEDIO 11-22</t>
  </si>
  <si>
    <t>PROMEDIO 12-22</t>
  </si>
  <si>
    <t>DIFERENCIA SEMANA ANTERIOR</t>
  </si>
  <si>
    <t xml:space="preserve">  MODALIDAD AUTOSERVICIO</t>
  </si>
  <si>
    <t xml:space="preserve">PROMEDIO </t>
  </si>
  <si>
    <t>AÑO 2023</t>
  </si>
  <si>
    <t>PROMEDIO 01-23</t>
  </si>
  <si>
    <t>PROMEDIO 2-23</t>
  </si>
  <si>
    <t>PROMEDIO 03-23</t>
  </si>
  <si>
    <t>PROMEDIO 04-23</t>
  </si>
  <si>
    <t>PROMEDIO 05-23</t>
  </si>
  <si>
    <t>PROMEDIO 06-23</t>
  </si>
  <si>
    <t>PROMEDIO 07-23</t>
  </si>
  <si>
    <t>Pag. 19</t>
  </si>
  <si>
    <t>Pag. 20</t>
  </si>
  <si>
    <t>Pag. 21</t>
  </si>
  <si>
    <t>Pag. 22</t>
  </si>
  <si>
    <t>Pag. 23</t>
  </si>
  <si>
    <t>Pag. 24</t>
  </si>
  <si>
    <t>ACEITE COMBUSTIBLE DIÉSEL</t>
  </si>
  <si>
    <t>QUETZALES/GALÓN</t>
  </si>
  <si>
    <t>PROMEDIO 11/23</t>
  </si>
  <si>
    <t>PROMEDIO 10-23</t>
  </si>
  <si>
    <t>AÑO 2024</t>
  </si>
  <si>
    <t>Pag. 25</t>
  </si>
  <si>
    <t>PROMEDIO 01/24</t>
  </si>
  <si>
    <t>PROMEDIO 02/24</t>
  </si>
  <si>
    <t>PROMEDIO 03/24</t>
  </si>
  <si>
    <t>PROMEDIO 04/24</t>
  </si>
  <si>
    <t>PROMEDIO 05/24</t>
  </si>
  <si>
    <t>PROMEDIO 06/24</t>
  </si>
  <si>
    <t>PROMEDIO 07/24</t>
  </si>
  <si>
    <t>09/09/224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</si>
</sst>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0.0"/>
    <numFmt numFmtId="166" formatCode="[$-F800]dddd\,\ mmmm\ dd\,\ yyyy"/>
    <numFmt numFmtId="167" formatCode="&quot;Q&quot;#,##0.00"/>
  </numFmts>
  <fonts count="28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indexed="57"/>
      <name val="Arial"/>
      <family val="2"/>
    </font>
    <font>
      <sz val="10"/>
      <color indexed="48"/>
      <name val="Arial"/>
      <family val="2"/>
    </font>
    <font>
      <sz val="10"/>
      <color indexed="10"/>
      <name val="Arial"/>
      <family val="2"/>
    </font>
    <font>
      <sz val="10"/>
      <color indexed="17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sz val="10"/>
      <color indexed="9"/>
      <name val="Arial"/>
      <family val="2"/>
    </font>
    <font>
      <b/>
      <sz val="10"/>
      <color indexed="10"/>
      <name val="Arial"/>
      <family val="2"/>
    </font>
    <font>
      <b/>
      <sz val="10"/>
      <color indexed="17"/>
      <name val="Arial"/>
      <family val="2"/>
    </font>
    <font>
      <b/>
      <sz val="10"/>
      <color indexed="12"/>
      <name val="Arial"/>
      <family val="2"/>
    </font>
    <font>
      <sz val="10"/>
      <color indexed="8"/>
      <name val="Arial"/>
      <family val="2"/>
    </font>
    <font>
      <sz val="14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indexed="53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indexed="9"/>
      <name val="Arial"/>
      <family val="2"/>
    </font>
    <font>
      <b/>
      <sz val="7"/>
      <color indexed="9"/>
      <name val="Arial"/>
      <family val="2"/>
    </font>
    <font>
      <b/>
      <sz val="11"/>
      <color indexed="12"/>
      <name val="Arial"/>
      <family val="2"/>
    </font>
    <font>
      <b/>
      <sz val="11"/>
      <color indexed="10"/>
      <name val="Arial"/>
      <family val="2"/>
    </font>
    <font>
      <sz val="10"/>
      <color indexed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i/>
      <sz val="8"/>
      <name val="Arial"/>
      <family val="2"/>
    </font>
    <font>
      <b/>
      <i/>
      <sz val="8"/>
      <color indexed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i/>
      <sz val="10"/>
      <name val="Arial"/>
      <family val="2"/>
    </font>
    <font>
      <i/>
      <sz val="10"/>
      <color indexed="20"/>
      <name val="Arial"/>
      <family val="2"/>
    </font>
    <font>
      <b/>
      <i/>
      <sz val="10"/>
      <name val="Arial"/>
      <family val="2"/>
    </font>
    <font>
      <i/>
      <sz val="10"/>
      <color indexed="10"/>
      <name val="Arial"/>
      <family val="2"/>
    </font>
    <font>
      <i/>
      <sz val="14"/>
      <name val="Arial"/>
      <family val="2"/>
    </font>
    <font>
      <sz val="8"/>
      <color indexed="10"/>
      <name val="Arial"/>
      <family val="2"/>
    </font>
    <font>
      <b/>
      <i/>
      <sz val="9"/>
      <name val="Arial"/>
      <family val="2"/>
    </font>
    <font>
      <i/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24"/>
      <color indexed="12"/>
      <name val="Haettenschweiler"/>
      <family val="2"/>
    </font>
    <font>
      <b/>
      <i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9"/>
      <name val="Arial"/>
      <family val="2"/>
    </font>
    <font>
      <b/>
      <i/>
      <sz val="10"/>
      <color indexed="9"/>
      <name val="Arial"/>
      <family val="2"/>
    </font>
    <font>
      <b/>
      <sz val="9"/>
      <color indexed="8"/>
      <name val="Arial"/>
      <family val="2"/>
    </font>
    <font>
      <b/>
      <i/>
      <sz val="10"/>
      <color indexed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57"/>
      <name val="Arial"/>
      <family val="2"/>
    </font>
    <font>
      <b/>
      <sz val="14"/>
      <color indexed="10"/>
      <name val="Arial"/>
      <family val="2"/>
    </font>
    <font>
      <sz val="10"/>
      <color indexed="18"/>
      <name val="Arial"/>
      <family val="2"/>
    </font>
    <font>
      <b/>
      <sz val="12"/>
      <name val="Arial"/>
      <family val="2"/>
    </font>
    <font>
      <b/>
      <sz val="11"/>
      <color indexed="48"/>
      <name val="Arial"/>
      <family val="2"/>
    </font>
    <font>
      <b/>
      <sz val="11"/>
      <name val="Copperplate31ab"/>
      <family val="2"/>
    </font>
    <font>
      <b/>
      <sz val="12"/>
      <color indexed="10"/>
      <name val="Cooper Lt BT"/>
    </font>
    <font>
      <b/>
      <sz val="10"/>
      <name val="Cooper Lt BT"/>
      <family val="1"/>
    </font>
    <font>
      <b/>
      <sz val="10"/>
      <color indexed="62"/>
      <name val="Arial"/>
      <family val="2"/>
    </font>
    <font>
      <b/>
      <sz val="12"/>
      <color indexed="10"/>
      <name val="Arial"/>
      <family val="2"/>
    </font>
    <font>
      <sz val="10"/>
      <color indexed="63"/>
      <name val="Arial"/>
      <family val="2"/>
    </font>
    <font>
      <b/>
      <sz val="9"/>
      <color indexed="53"/>
      <name val="Arial"/>
      <family val="2"/>
    </font>
    <font>
      <sz val="9"/>
      <name val="Arial"/>
      <family val="2"/>
    </font>
    <font>
      <b/>
      <sz val="8"/>
      <color indexed="53"/>
      <name val="Arial"/>
      <family val="2"/>
    </font>
    <font>
      <b/>
      <sz val="14"/>
      <name val="Arial"/>
      <family val="2"/>
    </font>
    <font>
      <b/>
      <sz val="10"/>
      <color indexed="10"/>
      <name val="Arial"/>
      <family val="2"/>
    </font>
    <font>
      <b/>
      <sz val="12"/>
      <color indexed="10"/>
      <name val="Arial"/>
      <family val="2"/>
    </font>
    <font>
      <b/>
      <sz val="12"/>
      <color indexed="9"/>
      <name val="Arial"/>
      <family val="2"/>
    </font>
    <font>
      <b/>
      <sz val="12"/>
      <color indexed="12"/>
      <name val="Arial"/>
      <family val="2"/>
    </font>
    <font>
      <b/>
      <sz val="18"/>
      <color indexed="18"/>
      <name val="Arial"/>
      <family val="2"/>
    </font>
    <font>
      <b/>
      <sz val="12"/>
      <color indexed="8"/>
      <name val="Arial"/>
      <family val="2"/>
    </font>
    <font>
      <b/>
      <sz val="12"/>
      <color indexed="57"/>
      <name val="Arial"/>
      <family val="2"/>
    </font>
    <font>
      <b/>
      <sz val="12"/>
      <color indexed="50"/>
      <name val="Arial"/>
      <family val="2"/>
    </font>
    <font>
      <sz val="10"/>
      <color indexed="62"/>
      <name val="Arial"/>
      <family val="2"/>
    </font>
    <font>
      <b/>
      <sz val="9"/>
      <color indexed="62"/>
      <name val="Arial"/>
      <family val="2"/>
    </font>
    <font>
      <b/>
      <sz val="7"/>
      <color indexed="62"/>
      <name val="Arial"/>
      <family val="2"/>
    </font>
    <font>
      <sz val="10"/>
      <color theme="1"/>
      <name val="Arial"/>
      <family val="2"/>
    </font>
    <font>
      <b/>
      <sz val="10"/>
      <color rgb="FFFFFF99"/>
      <name val="Arial"/>
      <family val="2"/>
    </font>
    <font>
      <b/>
      <sz val="10"/>
      <color theme="1"/>
      <name val="Arial"/>
      <family val="2"/>
    </font>
    <font>
      <b/>
      <sz val="12"/>
      <color rgb="FF17375E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0"/>
      <name val="Arial"/>
      <family val="2"/>
    </font>
    <font>
      <b/>
      <sz val="11"/>
      <color rgb="FF17375E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b/>
      <sz val="10"/>
      <color rgb="FF17375E"/>
      <name val="Calibri"/>
      <family val="2"/>
      <scheme val="minor"/>
    </font>
    <font>
      <b/>
      <sz val="11"/>
      <color rgb="FFFF0000"/>
      <name val="Arial"/>
      <family val="2"/>
    </font>
    <font>
      <b/>
      <sz val="10"/>
      <color theme="0"/>
      <name val="Arial"/>
      <family val="2"/>
    </font>
    <font>
      <b/>
      <sz val="12"/>
      <color theme="0"/>
      <name val="Palatino Linotype"/>
      <family val="1"/>
    </font>
    <font>
      <b/>
      <sz val="10"/>
      <color theme="0"/>
      <name val="Palatino Linotype"/>
      <family val="1"/>
    </font>
    <font>
      <b/>
      <sz val="11"/>
      <name val="Arial"/>
      <family val="2"/>
    </font>
    <font>
      <b/>
      <sz val="9"/>
      <color theme="0"/>
      <name val="Arial"/>
      <family val="2"/>
    </font>
    <font>
      <b/>
      <sz val="8"/>
      <color theme="0"/>
      <name val="Arial"/>
      <family val="2"/>
    </font>
    <font>
      <b/>
      <i/>
      <sz val="10"/>
      <color theme="0"/>
      <name val="Arial"/>
      <family val="2"/>
    </font>
    <font>
      <b/>
      <sz val="10"/>
      <color rgb="FF003399"/>
      <name val="Arial"/>
      <family val="2"/>
    </font>
    <font>
      <b/>
      <sz val="11"/>
      <color indexed="9"/>
      <name val="Arial"/>
      <family val="2"/>
    </font>
    <font>
      <b/>
      <sz val="16"/>
      <color rgb="FF002060"/>
      <name val="Calibri"/>
      <family val="2"/>
      <scheme val="minor"/>
    </font>
    <font>
      <sz val="16"/>
      <color rgb="FF002060"/>
      <name val="Arial"/>
      <family val="2"/>
    </font>
    <font>
      <b/>
      <sz val="10"/>
      <color indexed="16"/>
      <name val="Arial"/>
      <family val="2"/>
    </font>
    <font>
      <b/>
      <sz val="10"/>
      <color rgb="FFFF0000"/>
      <name val="Arial"/>
      <family val="2"/>
    </font>
    <font>
      <sz val="10"/>
      <color rgb="FFF03324"/>
      <name val="Arial"/>
      <family val="2"/>
    </font>
    <font>
      <b/>
      <sz val="48"/>
      <color rgb="FFF03324"/>
      <name val="Arial"/>
      <family val="2"/>
    </font>
    <font>
      <b/>
      <sz val="9"/>
      <color rgb="FFFF0000"/>
      <name val="Calibri"/>
      <family val="2"/>
      <scheme val="minor"/>
    </font>
    <font>
      <b/>
      <sz val="16"/>
      <color theme="3" tint="-0.499984740745262"/>
      <name val="Arial"/>
      <family val="2"/>
    </font>
    <font>
      <b/>
      <sz val="10"/>
      <color theme="3" tint="-0.249977111117893"/>
      <name val="Arial"/>
      <family val="2"/>
    </font>
    <font>
      <b/>
      <sz val="9"/>
      <name val="Calibri"/>
      <family val="2"/>
    </font>
    <font>
      <sz val="8"/>
      <color rgb="FFF03324"/>
      <name val="Arial"/>
      <family val="2"/>
    </font>
    <font>
      <sz val="10"/>
      <name val="Century Gothic"/>
      <family val="2"/>
    </font>
    <font>
      <sz val="12"/>
      <name val="Century Gothic"/>
      <family val="2"/>
    </font>
    <font>
      <b/>
      <sz val="16"/>
      <color rgb="FF006600"/>
      <name val="Century Gothic"/>
      <family val="2"/>
    </font>
    <font>
      <sz val="14"/>
      <name val="Century Gothic"/>
      <family val="2"/>
    </font>
    <font>
      <sz val="16"/>
      <color rgb="FF0070C0"/>
      <name val="Century Gothic"/>
      <family val="2"/>
    </font>
    <font>
      <b/>
      <sz val="16"/>
      <color indexed="10"/>
      <name val="Century Gothic"/>
      <family val="2"/>
    </font>
    <font>
      <sz val="10"/>
      <color indexed="62"/>
      <name val="Century Gothic"/>
      <family val="2"/>
    </font>
    <font>
      <b/>
      <sz val="10"/>
      <name val="Century Gothic"/>
      <family val="2"/>
    </font>
    <font>
      <b/>
      <sz val="11"/>
      <name val="Century Gothic"/>
      <family val="2"/>
    </font>
    <font>
      <b/>
      <sz val="8"/>
      <name val="Century Gothic"/>
      <family val="2"/>
    </font>
    <font>
      <sz val="8"/>
      <name val="Century Gothic"/>
      <family val="2"/>
    </font>
    <font>
      <b/>
      <sz val="10"/>
      <color indexed="62"/>
      <name val="Century Gothic"/>
      <family val="2"/>
    </font>
    <font>
      <b/>
      <sz val="16"/>
      <color rgb="FF000099"/>
      <name val="Century Gothic"/>
      <family val="2"/>
    </font>
    <font>
      <b/>
      <sz val="16"/>
      <color rgb="FF339966"/>
      <name val="Century Gothic"/>
      <family val="2"/>
    </font>
    <font>
      <sz val="10"/>
      <color indexed="18"/>
      <name val="Century Gothic"/>
      <family val="2"/>
    </font>
    <font>
      <sz val="8"/>
      <color indexed="10"/>
      <name val="Century Gothic"/>
      <family val="2"/>
    </font>
    <font>
      <sz val="16"/>
      <color theme="0"/>
      <name val="Century Gothic"/>
      <family val="2"/>
    </font>
    <font>
      <sz val="12"/>
      <color indexed="49"/>
      <name val="Century Gothic"/>
      <family val="2"/>
    </font>
    <font>
      <b/>
      <sz val="12"/>
      <color rgb="FFFFFF00"/>
      <name val="Century Gothic"/>
      <family val="2"/>
    </font>
    <font>
      <sz val="12"/>
      <color theme="0"/>
      <name val="Century Gothic"/>
      <family val="2"/>
    </font>
    <font>
      <b/>
      <sz val="11"/>
      <color theme="0"/>
      <name val="Century Gothic"/>
      <family val="2"/>
    </font>
    <font>
      <b/>
      <sz val="8"/>
      <color theme="0"/>
      <name val="Century Gothic"/>
      <family val="2"/>
    </font>
    <font>
      <b/>
      <sz val="10"/>
      <color rgb="FF002060"/>
      <name val="Century Gothic"/>
      <family val="2"/>
    </font>
    <font>
      <b/>
      <sz val="11"/>
      <color theme="3"/>
      <name val="Arial"/>
      <family val="2"/>
    </font>
    <font>
      <b/>
      <sz val="14"/>
      <color rgb="FF002060"/>
      <name val="Book Antiqua"/>
      <family val="1"/>
    </font>
    <font>
      <b/>
      <sz val="11"/>
      <color theme="3" tint="-0.249977111117893"/>
      <name val="Candara"/>
      <family val="2"/>
    </font>
    <font>
      <b/>
      <sz val="8"/>
      <color theme="3" tint="-0.249977111117893"/>
      <name val="Freeroad"/>
      <family val="2"/>
    </font>
    <font>
      <b/>
      <sz val="10"/>
      <color rgb="FF0066CC"/>
      <name val="Arial"/>
      <family val="2"/>
    </font>
    <font>
      <b/>
      <sz val="11"/>
      <color theme="0"/>
      <name val="Arial"/>
      <family val="2"/>
    </font>
    <font>
      <sz val="11"/>
      <color theme="0"/>
      <name val="Calibri"/>
      <family val="2"/>
      <scheme val="minor"/>
    </font>
    <font>
      <b/>
      <sz val="8"/>
      <color rgb="FFFF0000"/>
      <name val="Arial"/>
      <family val="2"/>
    </font>
    <font>
      <b/>
      <sz val="9"/>
      <color theme="3" tint="-0.249977111117893"/>
      <name val="Freeroad"/>
      <family val="2"/>
    </font>
    <font>
      <b/>
      <sz val="20"/>
      <name val="Arial"/>
      <family val="2"/>
    </font>
    <font>
      <b/>
      <sz val="22"/>
      <name val="Arial"/>
      <family val="2"/>
    </font>
    <font>
      <sz val="22"/>
      <name val="Arial"/>
      <family val="2"/>
    </font>
    <font>
      <b/>
      <sz val="14"/>
      <color theme="0"/>
      <name val="Arial"/>
      <family val="2"/>
    </font>
    <font>
      <b/>
      <sz val="10"/>
      <color rgb="FF002060"/>
      <name val="Arial"/>
      <family val="2"/>
    </font>
    <font>
      <b/>
      <sz val="10"/>
      <color rgb="FF7030A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b/>
      <sz val="11"/>
      <color theme="3" tint="-0.249977111117893"/>
      <name val="Arial"/>
      <family val="2"/>
    </font>
    <font>
      <sz val="11"/>
      <name val="Arial"/>
      <family val="2"/>
    </font>
    <font>
      <b/>
      <sz val="14"/>
      <color theme="3" tint="-0.249977111117893"/>
      <name val="Arial"/>
      <family val="2"/>
    </font>
    <font>
      <b/>
      <sz val="11"/>
      <color rgb="FF7030A0"/>
      <name val="Arial"/>
      <family val="2"/>
    </font>
    <font>
      <b/>
      <sz val="11"/>
      <color rgb="FF002060"/>
      <name val="Arial"/>
      <family val="2"/>
    </font>
    <font>
      <sz val="11"/>
      <color rgb="FFFF0000"/>
      <name val="Arial"/>
      <family val="2"/>
    </font>
    <font>
      <b/>
      <sz val="16"/>
      <color rgb="FF002060"/>
      <name val="Arial"/>
      <family val="2"/>
    </font>
    <font>
      <b/>
      <sz val="12"/>
      <color rgb="FF002060"/>
      <name val="Arial"/>
      <family val="2"/>
    </font>
    <font>
      <b/>
      <sz val="9"/>
      <color rgb="FF002060"/>
      <name val="Arial"/>
      <family val="2"/>
    </font>
    <font>
      <sz val="10"/>
      <color rgb="FF0070C0"/>
      <name val="Arial"/>
      <family val="2"/>
    </font>
    <font>
      <b/>
      <sz val="10"/>
      <color rgb="FFFF0000"/>
      <name val="Aver"/>
      <family val="1"/>
    </font>
    <font>
      <b/>
      <sz val="18"/>
      <color rgb="FF002060"/>
      <name val="Tahoma"/>
      <family val="2"/>
    </font>
    <font>
      <b/>
      <sz val="9"/>
      <color rgb="FF002060"/>
      <name val="Bodoni MT"/>
      <family val="1"/>
    </font>
    <font>
      <b/>
      <sz val="10"/>
      <color rgb="FFFF0000"/>
      <name val="Arial Narrow"/>
      <family val="2"/>
    </font>
    <font>
      <b/>
      <sz val="8"/>
      <color rgb="FFFF0000"/>
      <name val="Arial Narrow"/>
      <family val="2"/>
    </font>
    <font>
      <b/>
      <i/>
      <sz val="10"/>
      <color rgb="FFFF0000"/>
      <name val="Arial"/>
      <family val="2"/>
    </font>
    <font>
      <i/>
      <sz val="10"/>
      <color rgb="FFFF0000"/>
      <name val="Arial"/>
      <family val="2"/>
    </font>
    <font>
      <b/>
      <sz val="12"/>
      <color rgb="FFFF0000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sz val="20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1"/>
      <color rgb="FF003399"/>
      <name val="Arial"/>
      <family val="2"/>
    </font>
    <font>
      <sz val="11"/>
      <color rgb="FF003399"/>
      <name val="Arial"/>
      <family val="2"/>
    </font>
    <font>
      <b/>
      <sz val="24"/>
      <name val="Arial"/>
      <family val="2"/>
    </font>
    <font>
      <sz val="24"/>
      <name val="Arial"/>
      <family val="2"/>
    </font>
    <font>
      <b/>
      <i/>
      <sz val="11"/>
      <color rgb="FFFF0000"/>
      <name val="Arial"/>
      <family val="2"/>
    </font>
    <font>
      <i/>
      <sz val="11"/>
      <color rgb="FFFF0000"/>
      <name val="Arial"/>
      <family val="2"/>
    </font>
    <font>
      <b/>
      <sz val="11"/>
      <color indexed="16"/>
      <name val="Arial"/>
      <family val="2"/>
    </font>
    <font>
      <b/>
      <sz val="10"/>
      <color theme="0"/>
      <name val="Arial Black"/>
      <family val="2"/>
    </font>
    <font>
      <b/>
      <sz val="9"/>
      <color rgb="FF074273"/>
      <name val="Arial"/>
      <family val="2"/>
    </font>
    <font>
      <b/>
      <sz val="10"/>
      <color rgb="FF074273"/>
      <name val="Arial"/>
      <family val="2"/>
    </font>
    <font>
      <b/>
      <sz val="8"/>
      <color rgb="FF074273"/>
      <name val="Arial"/>
      <family val="2"/>
    </font>
    <font>
      <b/>
      <i/>
      <sz val="10"/>
      <color rgb="FF074273"/>
      <name val="Arial"/>
      <family val="2"/>
    </font>
    <font>
      <b/>
      <sz val="10"/>
      <color rgb="FF002060"/>
      <name val="Montserrat"/>
    </font>
    <font>
      <b/>
      <sz val="11"/>
      <color theme="0"/>
      <name val="Montserrat"/>
    </font>
    <font>
      <sz val="10"/>
      <name val="Montserrat"/>
    </font>
    <font>
      <b/>
      <sz val="8"/>
      <name val="Montserrat"/>
    </font>
    <font>
      <b/>
      <sz val="10"/>
      <name val="Montserrat"/>
    </font>
    <font>
      <b/>
      <sz val="10"/>
      <color indexed="9"/>
      <name val="Montserrat"/>
    </font>
    <font>
      <b/>
      <sz val="10"/>
      <color indexed="18"/>
      <name val="Montserrat"/>
    </font>
    <font>
      <b/>
      <i/>
      <sz val="10"/>
      <color indexed="8"/>
      <name val="Montserrat"/>
    </font>
    <font>
      <b/>
      <sz val="10"/>
      <color indexed="8"/>
      <name val="Montserrat"/>
    </font>
    <font>
      <b/>
      <i/>
      <sz val="10"/>
      <color indexed="9"/>
      <name val="Montserrat"/>
    </font>
    <font>
      <b/>
      <i/>
      <sz val="10"/>
      <name val="Montserrat"/>
    </font>
    <font>
      <b/>
      <sz val="9"/>
      <color indexed="9"/>
      <name val="Montserrat"/>
    </font>
    <font>
      <b/>
      <sz val="10"/>
      <color theme="0"/>
      <name val="Montserrat"/>
    </font>
    <font>
      <b/>
      <sz val="10"/>
      <color rgb="FF0B2A4A"/>
      <name val="Montserrat"/>
    </font>
    <font>
      <sz val="11"/>
      <color theme="0"/>
      <name val="Arial"/>
      <family val="2"/>
    </font>
    <font>
      <b/>
      <sz val="14"/>
      <color theme="3" tint="-0.499984740745262"/>
      <name val="Arial"/>
      <family val="2"/>
    </font>
    <font>
      <b/>
      <sz val="8"/>
      <color rgb="FF002060"/>
      <name val="Arial"/>
      <family val="2"/>
    </font>
    <font>
      <b/>
      <sz val="24"/>
      <name val="Titillium"/>
      <family val="3"/>
    </font>
    <font>
      <sz val="24"/>
      <name val="Titillium"/>
      <family val="3"/>
    </font>
    <font>
      <sz val="10"/>
      <name val="Titillium"/>
      <family val="3"/>
    </font>
    <font>
      <sz val="10"/>
      <name val="MonT"/>
    </font>
    <font>
      <b/>
      <sz val="18"/>
      <name val="Titillium"/>
      <family val="3"/>
    </font>
    <font>
      <sz val="18"/>
      <name val="Titillium"/>
      <family val="3"/>
    </font>
    <font>
      <sz val="14"/>
      <name val="Titillium"/>
      <family val="3"/>
    </font>
    <font>
      <b/>
      <sz val="11"/>
      <name val="Titillium"/>
      <family val="3"/>
    </font>
    <font>
      <sz val="11"/>
      <name val="Titillium"/>
      <family val="3"/>
    </font>
    <font>
      <b/>
      <sz val="10"/>
      <color rgb="FF0B2A4A"/>
      <name val="Titillium"/>
      <family val="3"/>
    </font>
    <font>
      <sz val="10"/>
      <color rgb="FF0B2A4A"/>
      <name val="Titillium"/>
      <family val="3"/>
    </font>
    <font>
      <b/>
      <sz val="10"/>
      <color indexed="9"/>
      <name val="Titillium"/>
      <family val="3"/>
    </font>
    <font>
      <b/>
      <sz val="14"/>
      <color theme="0"/>
      <name val="Titillium"/>
      <family val="3"/>
    </font>
    <font>
      <b/>
      <sz val="10"/>
      <name val="Titillium"/>
      <family val="3"/>
    </font>
    <font>
      <b/>
      <sz val="10"/>
      <color theme="8" tint="-0.499984740745262"/>
      <name val="Titillium"/>
      <family val="3"/>
    </font>
    <font>
      <b/>
      <sz val="12"/>
      <color theme="8" tint="-0.499984740745262"/>
      <name val="Titillium"/>
      <family val="3"/>
    </font>
    <font>
      <b/>
      <sz val="12"/>
      <name val="Titillium"/>
      <family val="3"/>
    </font>
    <font>
      <b/>
      <sz val="12"/>
      <color theme="0"/>
      <name val="Titillium"/>
      <family val="3"/>
    </font>
    <font>
      <b/>
      <sz val="10"/>
      <color rgb="FF0B2A4A"/>
      <name val="MonT"/>
    </font>
    <font>
      <sz val="10"/>
      <color rgb="FF0B2A4A"/>
      <name val="MonT"/>
    </font>
    <font>
      <b/>
      <sz val="10"/>
      <color rgb="FFFF0000"/>
      <name val="Titillium"/>
      <family val="3"/>
    </font>
    <font>
      <sz val="10"/>
      <color indexed="9"/>
      <name val="Titillium"/>
      <family val="3"/>
    </font>
    <font>
      <b/>
      <sz val="10"/>
      <color indexed="18"/>
      <name val="Titillium"/>
      <family val="3"/>
    </font>
    <font>
      <b/>
      <sz val="10"/>
      <color indexed="53"/>
      <name val="Titillium"/>
      <family val="3"/>
    </font>
    <font>
      <sz val="8"/>
      <name val="MonT"/>
    </font>
    <font>
      <b/>
      <sz val="10"/>
      <color indexed="17"/>
      <name val="Titillium"/>
      <family val="3"/>
    </font>
    <font>
      <sz val="12"/>
      <name val="Titillium"/>
      <family val="3"/>
    </font>
    <font>
      <b/>
      <sz val="12"/>
      <color indexed="9"/>
      <name val="Titillium"/>
      <family val="3"/>
    </font>
    <font>
      <sz val="8"/>
      <name val="Titillium"/>
      <family val="3"/>
    </font>
    <font>
      <b/>
      <sz val="11"/>
      <color indexed="16"/>
      <name val="Titillium"/>
      <family val="3"/>
    </font>
    <font>
      <b/>
      <sz val="11"/>
      <color indexed="9"/>
      <name val="Titillium"/>
      <family val="3"/>
    </font>
    <font>
      <b/>
      <sz val="10"/>
      <color indexed="10"/>
      <name val="Titillium"/>
      <family val="3"/>
    </font>
    <font>
      <b/>
      <sz val="11"/>
      <color theme="0"/>
      <name val="Titillium"/>
      <family val="3"/>
    </font>
    <font>
      <b/>
      <sz val="11"/>
      <color rgb="FFFF0000"/>
      <name val="Titillium"/>
      <family val="3"/>
    </font>
    <font>
      <sz val="11"/>
      <color rgb="FFFF0000"/>
      <name val="Titillium"/>
      <family val="3"/>
    </font>
    <font>
      <b/>
      <sz val="11"/>
      <color rgb="FF0B2A4A"/>
      <name val="Titillium"/>
      <family val="3"/>
    </font>
    <font>
      <sz val="11"/>
      <color rgb="FF0B2A4A"/>
      <name val="Titillium"/>
      <family val="3"/>
    </font>
    <font>
      <b/>
      <sz val="11"/>
      <color rgb="FF074273"/>
      <name val="Georgia"/>
      <family val="1"/>
    </font>
    <font>
      <b/>
      <sz val="10"/>
      <color rgb="FF074273"/>
      <name val="Georgia"/>
      <family val="1"/>
    </font>
    <font>
      <b/>
      <sz val="22"/>
      <name val="Titillium"/>
      <family val="3"/>
    </font>
    <font>
      <sz val="22"/>
      <name val="Titillium"/>
      <family val="3"/>
    </font>
    <font>
      <b/>
      <sz val="18"/>
      <color rgb="FF0070C0"/>
      <name val="Titillium"/>
      <family val="3"/>
    </font>
    <font>
      <sz val="18"/>
      <color rgb="FF0070C0"/>
      <name val="Titillium"/>
      <family val="3"/>
    </font>
    <font>
      <b/>
      <sz val="14"/>
      <name val="MonT"/>
    </font>
    <font>
      <sz val="12"/>
      <color indexed="8"/>
      <name val="Arial"/>
      <family val="2"/>
    </font>
    <font>
      <b/>
      <sz val="10"/>
      <color theme="8" tint="-0.499984740745262"/>
      <name val="Arial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8" tint="-0.499984740745262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sz val="16"/>
      <color theme="8" tint="-0.499984740745262"/>
      <name val="Calibri"/>
      <family val="2"/>
      <scheme val="minor"/>
    </font>
    <font>
      <b/>
      <sz val="20"/>
      <name val="Titillium"/>
      <family val="3"/>
    </font>
    <font>
      <sz val="20"/>
      <name val="Titillium"/>
      <family val="3"/>
    </font>
    <font>
      <b/>
      <sz val="11"/>
      <color rgb="FF00B0F0"/>
      <name val="Titillium"/>
      <family val="3"/>
    </font>
    <font>
      <sz val="11"/>
      <color rgb="FF00B0F0"/>
      <name val="Titillium"/>
      <family val="3"/>
    </font>
    <font>
      <sz val="10"/>
      <color rgb="FF00B0F0"/>
      <name val="Titillium"/>
      <family val="3"/>
    </font>
    <font>
      <sz val="10"/>
      <color rgb="FFFF0000"/>
      <name val="Arial"/>
      <family val="2"/>
    </font>
    <font>
      <sz val="10"/>
      <color rgb="FF002060"/>
      <name val="Arial"/>
      <family val="2"/>
    </font>
    <font>
      <sz val="10"/>
      <color rgb="FF074273"/>
      <name val="Arial"/>
      <family val="2"/>
    </font>
    <font>
      <b/>
      <sz val="16"/>
      <color rgb="FF002060"/>
      <name val="Altivo Medium"/>
      <family val="2"/>
    </font>
    <font>
      <b/>
      <sz val="12"/>
      <color rgb="FF002060"/>
      <name val="Altivo Regular"/>
      <family val="2"/>
    </font>
    <font>
      <b/>
      <sz val="10"/>
      <name val="Altivo Light"/>
      <family val="2"/>
    </font>
    <font>
      <b/>
      <sz val="9"/>
      <color rgb="FFFF0000"/>
      <name val="Altivo Light"/>
      <family val="2"/>
    </font>
  </fonts>
  <fills count="9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A710A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DA1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74273"/>
        <bgColor indexed="64"/>
      </patternFill>
    </fill>
    <fill>
      <patternFill patternType="solid">
        <fgColor rgb="FF0B2A4A"/>
        <bgColor indexed="64"/>
      </patternFill>
    </fill>
    <fill>
      <patternFill patternType="solid">
        <fgColor rgb="FFCAEAFA"/>
        <bgColor indexed="64"/>
      </patternFill>
    </fill>
    <fill>
      <patternFill patternType="solid">
        <fgColor rgb="FF45515A"/>
        <bgColor indexed="64"/>
      </patternFill>
    </fill>
    <fill>
      <patternFill patternType="solid">
        <fgColor rgb="FFF5A413"/>
        <bgColor indexed="64"/>
      </patternFill>
    </fill>
    <fill>
      <patternFill patternType="solid">
        <fgColor rgb="FF1487C2"/>
        <bgColor indexed="64"/>
      </patternFill>
    </fill>
    <fill>
      <patternFill patternType="solid">
        <fgColor rgb="FFC9F1FF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D9F0FB"/>
        <bgColor indexed="64"/>
      </patternFill>
    </fill>
    <fill>
      <patternFill patternType="solid">
        <fgColor rgb="FF1488C2"/>
        <bgColor indexed="64"/>
      </patternFill>
    </fill>
    <fill>
      <patternFill patternType="solid">
        <fgColor rgb="FFCBEAF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10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53"/>
      </left>
      <right style="double">
        <color indexed="53"/>
      </right>
      <top style="double">
        <color indexed="53"/>
      </top>
      <bottom/>
      <diagonal/>
    </border>
    <border>
      <left/>
      <right style="double">
        <color indexed="53"/>
      </right>
      <top style="double">
        <color indexed="53"/>
      </top>
      <bottom/>
      <diagonal/>
    </border>
    <border>
      <left/>
      <right/>
      <top style="double">
        <color indexed="53"/>
      </top>
      <bottom/>
      <diagonal/>
    </border>
    <border>
      <left style="double">
        <color indexed="53"/>
      </left>
      <right style="double">
        <color indexed="53"/>
      </right>
      <top/>
      <bottom style="double">
        <color indexed="53"/>
      </bottom>
      <diagonal/>
    </border>
    <border>
      <left/>
      <right style="double">
        <color indexed="53"/>
      </right>
      <top/>
      <bottom style="double">
        <color indexed="53"/>
      </bottom>
      <diagonal/>
    </border>
    <border>
      <left/>
      <right/>
      <top/>
      <bottom style="double">
        <color indexed="53"/>
      </bottom>
      <diagonal/>
    </border>
    <border>
      <left style="double">
        <color indexed="53"/>
      </left>
      <right style="double">
        <color indexed="53"/>
      </right>
      <top/>
      <bottom/>
      <diagonal/>
    </border>
    <border>
      <left style="double">
        <color indexed="53"/>
      </left>
      <right/>
      <top style="double">
        <color indexed="53"/>
      </top>
      <bottom/>
      <diagonal/>
    </border>
    <border>
      <left style="double">
        <color indexed="53"/>
      </left>
      <right/>
      <top/>
      <bottom/>
      <diagonal/>
    </border>
    <border>
      <left/>
      <right style="double">
        <color indexed="53"/>
      </right>
      <top/>
      <bottom/>
      <diagonal/>
    </border>
    <border>
      <left style="double">
        <color indexed="53"/>
      </left>
      <right/>
      <top/>
      <bottom style="double">
        <color indexed="53"/>
      </bottom>
      <diagonal/>
    </border>
    <border>
      <left style="double">
        <color indexed="53"/>
      </left>
      <right style="double">
        <color indexed="53"/>
      </right>
      <top style="double">
        <color indexed="53"/>
      </top>
      <bottom style="double">
        <color indexed="53"/>
      </bottom>
      <diagonal/>
    </border>
    <border>
      <left style="double">
        <color indexed="53"/>
      </left>
      <right/>
      <top style="double">
        <color indexed="53"/>
      </top>
      <bottom style="double">
        <color indexed="53"/>
      </bottom>
      <diagonal/>
    </border>
    <border>
      <left/>
      <right/>
      <top style="double">
        <color indexed="53"/>
      </top>
      <bottom style="double">
        <color indexed="53"/>
      </bottom>
      <diagonal/>
    </border>
    <border>
      <left/>
      <right style="double">
        <color indexed="53"/>
      </right>
      <top style="double">
        <color indexed="53"/>
      </top>
      <bottom style="double">
        <color indexed="5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rgb="FFD8D8D8"/>
      </left>
      <right style="medium">
        <color rgb="FFD8D8D8"/>
      </right>
      <top/>
      <bottom style="medium">
        <color rgb="FFD8D8D8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46">
    <xf numFmtId="0" fontId="0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2" fillId="4" borderId="0" applyNumberFormat="0" applyBorder="0" applyAlignment="0" applyProtection="0"/>
    <xf numFmtId="0" fontId="33" fillId="16" borderId="1" applyNumberFormat="0" applyAlignment="0" applyProtection="0"/>
    <xf numFmtId="0" fontId="34" fillId="17" borderId="2" applyNumberFormat="0" applyAlignment="0" applyProtection="0"/>
    <xf numFmtId="0" fontId="35" fillId="0" borderId="3" applyNumberFormat="0" applyFill="0" applyAlignment="0" applyProtection="0"/>
    <xf numFmtId="0" fontId="36" fillId="0" borderId="0" applyNumberFormat="0" applyFill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21" borderId="0" applyNumberFormat="0" applyBorder="0" applyAlignment="0" applyProtection="0"/>
    <xf numFmtId="0" fontId="37" fillId="7" borderId="1" applyNumberFormat="0" applyAlignment="0" applyProtection="0"/>
    <xf numFmtId="0" fontId="38" fillId="3" borderId="0" applyNumberFormat="0" applyBorder="0" applyAlignment="0" applyProtection="0"/>
    <xf numFmtId="0" fontId="39" fillId="22" borderId="0" applyNumberFormat="0" applyBorder="0" applyAlignment="0" applyProtection="0"/>
    <xf numFmtId="0" fontId="3" fillId="23" borderId="4" applyNumberFormat="0" applyFont="0" applyAlignment="0" applyProtection="0"/>
    <xf numFmtId="0" fontId="40" fillId="16" borderId="5" applyNumberFormat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6" applyNumberFormat="0" applyFill="0" applyAlignment="0" applyProtection="0"/>
    <xf numFmtId="0" fontId="45" fillId="0" borderId="7" applyNumberFormat="0" applyFill="0" applyAlignment="0" applyProtection="0"/>
    <xf numFmtId="0" fontId="36" fillId="0" borderId="8" applyNumberFormat="0" applyFill="0" applyAlignment="0" applyProtection="0"/>
    <xf numFmtId="0" fontId="46" fillId="0" borderId="9" applyNumberFormat="0" applyFill="0" applyAlignment="0" applyProtection="0"/>
    <xf numFmtId="0" fontId="3" fillId="0" borderId="0"/>
    <xf numFmtId="0" fontId="2" fillId="0" borderId="0"/>
    <xf numFmtId="0" fontId="3" fillId="0" borderId="0"/>
    <xf numFmtId="0" fontId="1" fillId="0" borderId="0"/>
  </cellStyleXfs>
  <cellXfs count="1868">
    <xf numFmtId="0" fontId="0" fillId="0" borderId="0" xfId="0"/>
    <xf numFmtId="0" fontId="6" fillId="0" borderId="0" xfId="0" applyFont="1"/>
    <xf numFmtId="0" fontId="7" fillId="0" borderId="0" xfId="0" applyFont="1"/>
    <xf numFmtId="0" fontId="8" fillId="0" borderId="0" xfId="0" applyFont="1"/>
    <xf numFmtId="0" fontId="10" fillId="0" borderId="0" xfId="0" applyFont="1"/>
    <xf numFmtId="0" fontId="10" fillId="0" borderId="0" xfId="0" applyFont="1" applyFill="1" applyBorder="1"/>
    <xf numFmtId="0" fontId="10" fillId="0" borderId="0" xfId="0" applyFont="1" applyAlignment="1">
      <alignment horizontal="center"/>
    </xf>
    <xf numFmtId="15" fontId="10" fillId="0" borderId="23" xfId="0" applyNumberFormat="1" applyFont="1" applyBorder="1" applyAlignment="1">
      <alignment horizontal="center"/>
    </xf>
    <xf numFmtId="0" fontId="13" fillId="29" borderId="29" xfId="0" applyFont="1" applyFill="1" applyBorder="1" applyAlignment="1">
      <alignment horizontal="center"/>
    </xf>
    <xf numFmtId="0" fontId="13" fillId="30" borderId="30" xfId="0" applyFont="1" applyFill="1" applyBorder="1" applyAlignment="1">
      <alignment horizontal="center"/>
    </xf>
    <xf numFmtId="15" fontId="10" fillId="31" borderId="23" xfId="0" applyNumberFormat="1" applyFont="1" applyFill="1" applyBorder="1" applyAlignment="1">
      <alignment horizontal="center"/>
    </xf>
    <xf numFmtId="0" fontId="17" fillId="31" borderId="31" xfId="0" applyFont="1" applyFill="1" applyBorder="1" applyAlignment="1">
      <alignment horizontal="center"/>
    </xf>
    <xf numFmtId="0" fontId="17" fillId="31" borderId="0" xfId="0" applyFont="1" applyFill="1" applyBorder="1" applyAlignment="1">
      <alignment horizontal="center"/>
    </xf>
    <xf numFmtId="0" fontId="17" fillId="31" borderId="32" xfId="0" applyFont="1" applyFill="1" applyBorder="1" applyAlignment="1">
      <alignment horizontal="center"/>
    </xf>
    <xf numFmtId="2" fontId="17" fillId="0" borderId="31" xfId="0" applyNumberFormat="1" applyFont="1" applyBorder="1" applyAlignment="1">
      <alignment horizontal="center"/>
    </xf>
    <xf numFmtId="2" fontId="17" fillId="0" borderId="0" xfId="0" applyNumberFormat="1" applyFont="1" applyBorder="1" applyAlignment="1">
      <alignment horizontal="center"/>
    </xf>
    <xf numFmtId="2" fontId="17" fillId="0" borderId="32" xfId="0" applyNumberFormat="1" applyFont="1" applyBorder="1" applyAlignment="1">
      <alignment horizontal="center"/>
    </xf>
    <xf numFmtId="15" fontId="4" fillId="27" borderId="33" xfId="0" applyNumberFormat="1" applyFont="1" applyFill="1" applyBorder="1" applyAlignment="1">
      <alignment horizontal="center"/>
    </xf>
    <xf numFmtId="2" fontId="14" fillId="27" borderId="34" xfId="0" applyNumberFormat="1" applyFont="1" applyFill="1" applyBorder="1" applyAlignment="1">
      <alignment horizontal="center"/>
    </xf>
    <xf numFmtId="2" fontId="16" fillId="27" borderId="35" xfId="0" applyNumberFormat="1" applyFont="1" applyFill="1" applyBorder="1" applyAlignment="1">
      <alignment horizontal="center"/>
    </xf>
    <xf numFmtId="2" fontId="15" fillId="27" borderId="36" xfId="0" applyNumberFormat="1" applyFont="1" applyFill="1" applyBorder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31" xfId="0" applyBorder="1"/>
    <xf numFmtId="0" fontId="4" fillId="0" borderId="0" xfId="0" applyFont="1" applyBorder="1" applyAlignment="1">
      <alignment horizontal="center"/>
    </xf>
    <xf numFmtId="0" fontId="4" fillId="0" borderId="32" xfId="0" applyFont="1" applyBorder="1" applyAlignment="1">
      <alignment horizontal="center"/>
    </xf>
    <xf numFmtId="0" fontId="16" fillId="0" borderId="31" xfId="0" applyFont="1" applyBorder="1"/>
    <xf numFmtId="0" fontId="14" fillId="0" borderId="0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15" fillId="0" borderId="32" xfId="0" applyFont="1" applyBorder="1" applyAlignment="1">
      <alignment horizontal="center"/>
    </xf>
    <xf numFmtId="2" fontId="0" fillId="0" borderId="37" xfId="0" applyNumberFormat="1" applyBorder="1" applyAlignment="1">
      <alignment horizontal="center"/>
    </xf>
    <xf numFmtId="2" fontId="0" fillId="0" borderId="38" xfId="0" applyNumberForma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2" fontId="20" fillId="0" borderId="0" xfId="0" applyNumberFormat="1" applyFont="1" applyBorder="1" applyAlignment="1">
      <alignment horizontal="center"/>
    </xf>
    <xf numFmtId="2" fontId="15" fillId="0" borderId="32" xfId="0" applyNumberFormat="1" applyFont="1" applyBorder="1" applyAlignment="1">
      <alignment horizontal="center"/>
    </xf>
    <xf numFmtId="0" fontId="16" fillId="0" borderId="39" xfId="0" applyFont="1" applyBorder="1"/>
    <xf numFmtId="2" fontId="14" fillId="0" borderId="40" xfId="0" applyNumberFormat="1" applyFont="1" applyBorder="1" applyAlignment="1">
      <alignment horizontal="center"/>
    </xf>
    <xf numFmtId="2" fontId="20" fillId="0" borderId="40" xfId="0" applyNumberFormat="1" applyFont="1" applyBorder="1" applyAlignment="1">
      <alignment horizontal="center"/>
    </xf>
    <xf numFmtId="2" fontId="15" fillId="0" borderId="41" xfId="0" applyNumberFormat="1" applyFont="1" applyBorder="1" applyAlignment="1">
      <alignment horizontal="center"/>
    </xf>
    <xf numFmtId="164" fontId="20" fillId="0" borderId="0" xfId="0" applyNumberFormat="1" applyFon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0" fillId="0" borderId="32" xfId="0" applyNumberFormat="1" applyBorder="1" applyAlignment="1">
      <alignment horizontal="center"/>
    </xf>
    <xf numFmtId="2" fontId="0" fillId="0" borderId="40" xfId="0" applyNumberFormat="1" applyBorder="1" applyAlignment="1">
      <alignment horizontal="center"/>
    </xf>
    <xf numFmtId="2" fontId="0" fillId="0" borderId="41" xfId="0" applyNumberFormat="1" applyBorder="1" applyAlignment="1">
      <alignment horizontal="center"/>
    </xf>
    <xf numFmtId="2" fontId="16" fillId="27" borderId="37" xfId="0" applyNumberFormat="1" applyFont="1" applyFill="1" applyBorder="1" applyAlignment="1">
      <alignment horizontal="center"/>
    </xf>
    <xf numFmtId="2" fontId="15" fillId="27" borderId="38" xfId="0" applyNumberFormat="1" applyFont="1" applyFill="1" applyBorder="1" applyAlignment="1">
      <alignment horizontal="center"/>
    </xf>
    <xf numFmtId="2" fontId="16" fillId="27" borderId="40" xfId="0" applyNumberFormat="1" applyFont="1" applyFill="1" applyBorder="1" applyAlignment="1">
      <alignment horizontal="center"/>
    </xf>
    <xf numFmtId="2" fontId="15" fillId="27" borderId="41" xfId="0" applyNumberFormat="1" applyFont="1" applyFill="1" applyBorder="1" applyAlignment="1">
      <alignment horizontal="center"/>
    </xf>
    <xf numFmtId="15" fontId="4" fillId="31" borderId="0" xfId="0" applyNumberFormat="1" applyFont="1" applyFill="1" applyBorder="1" applyAlignment="1">
      <alignment horizontal="center"/>
    </xf>
    <xf numFmtId="2" fontId="14" fillId="31" borderId="0" xfId="0" applyNumberFormat="1" applyFont="1" applyFill="1" applyBorder="1" applyAlignment="1">
      <alignment horizontal="center"/>
    </xf>
    <xf numFmtId="2" fontId="16" fillId="31" borderId="0" xfId="0" applyNumberFormat="1" applyFont="1" applyFill="1" applyBorder="1" applyAlignment="1">
      <alignment horizontal="center"/>
    </xf>
    <xf numFmtId="2" fontId="15" fillId="31" borderId="0" xfId="0" applyNumberFormat="1" applyFont="1" applyFill="1" applyBorder="1" applyAlignment="1">
      <alignment horizontal="center"/>
    </xf>
    <xf numFmtId="2" fontId="4" fillId="0" borderId="0" xfId="0" applyNumberFormat="1" applyFont="1" applyAlignment="1">
      <alignment horizontal="center"/>
    </xf>
    <xf numFmtId="0" fontId="14" fillId="0" borderId="33" xfId="0" applyFont="1" applyBorder="1"/>
    <xf numFmtId="2" fontId="14" fillId="0" borderId="33" xfId="0" applyNumberFormat="1" applyFont="1" applyBorder="1" applyAlignment="1">
      <alignment horizontal="center"/>
    </xf>
    <xf numFmtId="2" fontId="16" fillId="0" borderId="33" xfId="0" applyNumberFormat="1" applyFont="1" applyBorder="1" applyAlignment="1">
      <alignment horizontal="center"/>
    </xf>
    <xf numFmtId="2" fontId="15" fillId="0" borderId="33" xfId="0" applyNumberFormat="1" applyFont="1" applyBorder="1" applyAlignment="1">
      <alignment horizontal="center"/>
    </xf>
    <xf numFmtId="2" fontId="17" fillId="31" borderId="0" xfId="0" applyNumberFormat="1" applyFont="1" applyFill="1" applyBorder="1" applyAlignment="1">
      <alignment horizontal="center"/>
    </xf>
    <xf numFmtId="15" fontId="10" fillId="31" borderId="27" xfId="0" applyNumberFormat="1" applyFont="1" applyFill="1" applyBorder="1" applyAlignment="1">
      <alignment horizontal="center"/>
    </xf>
    <xf numFmtId="2" fontId="0" fillId="0" borderId="43" xfId="0" applyNumberFormat="1" applyBorder="1" applyAlignment="1">
      <alignment horizontal="center"/>
    </xf>
    <xf numFmtId="2" fontId="0" fillId="0" borderId="44" xfId="0" applyNumberFormat="1" applyBorder="1" applyAlignment="1">
      <alignment horizontal="center"/>
    </xf>
    <xf numFmtId="2" fontId="0" fillId="0" borderId="45" xfId="0" applyNumberFormat="1" applyBorder="1" applyAlignment="1">
      <alignment horizontal="center"/>
    </xf>
    <xf numFmtId="2" fontId="17" fillId="31" borderId="31" xfId="0" applyNumberFormat="1" applyFont="1" applyFill="1" applyBorder="1" applyAlignment="1">
      <alignment horizontal="center"/>
    </xf>
    <xf numFmtId="2" fontId="17" fillId="31" borderId="32" xfId="0" applyNumberFormat="1" applyFont="1" applyFill="1" applyBorder="1" applyAlignment="1">
      <alignment horizontal="center"/>
    </xf>
    <xf numFmtId="0" fontId="0" fillId="31" borderId="0" xfId="0" applyFill="1"/>
    <xf numFmtId="0" fontId="0" fillId="31" borderId="31" xfId="0" applyFill="1" applyBorder="1"/>
    <xf numFmtId="2" fontId="17" fillId="31" borderId="42" xfId="0" applyNumberFormat="1" applyFont="1" applyFill="1" applyBorder="1" applyAlignment="1">
      <alignment horizontal="center"/>
    </xf>
    <xf numFmtId="2" fontId="17" fillId="31" borderId="37" xfId="0" applyNumberFormat="1" applyFont="1" applyFill="1" applyBorder="1" applyAlignment="1">
      <alignment horizontal="center"/>
    </xf>
    <xf numFmtId="2" fontId="17" fillId="31" borderId="38" xfId="0" applyNumberFormat="1" applyFont="1" applyFill="1" applyBorder="1" applyAlignment="1">
      <alignment horizontal="center"/>
    </xf>
    <xf numFmtId="2" fontId="17" fillId="31" borderId="39" xfId="0" applyNumberFormat="1" applyFont="1" applyFill="1" applyBorder="1" applyAlignment="1">
      <alignment horizontal="center"/>
    </xf>
    <xf numFmtId="2" fontId="17" fillId="31" borderId="40" xfId="0" applyNumberFormat="1" applyFont="1" applyFill="1" applyBorder="1" applyAlignment="1">
      <alignment horizontal="center"/>
    </xf>
    <xf numFmtId="2" fontId="17" fillId="31" borderId="41" xfId="0" applyNumberFormat="1" applyFont="1" applyFill="1" applyBorder="1" applyAlignment="1">
      <alignment horizontal="center"/>
    </xf>
    <xf numFmtId="0" fontId="4" fillId="31" borderId="26" xfId="0" applyFont="1" applyFill="1" applyBorder="1" applyAlignment="1">
      <alignment horizontal="center"/>
    </xf>
    <xf numFmtId="0" fontId="4" fillId="31" borderId="0" xfId="0" applyFont="1" applyFill="1"/>
    <xf numFmtId="15" fontId="4" fillId="27" borderId="27" xfId="0" applyNumberFormat="1" applyFont="1" applyFill="1" applyBorder="1" applyAlignment="1">
      <alignment horizontal="center"/>
    </xf>
    <xf numFmtId="15" fontId="10" fillId="31" borderId="26" xfId="0" applyNumberFormat="1" applyFont="1" applyFill="1" applyBorder="1" applyAlignment="1">
      <alignment horizontal="center"/>
    </xf>
    <xf numFmtId="0" fontId="0" fillId="0" borderId="0" xfId="0" applyBorder="1"/>
    <xf numFmtId="15" fontId="4" fillId="31" borderId="31" xfId="0" applyNumberFormat="1" applyFont="1" applyFill="1" applyBorder="1" applyAlignment="1">
      <alignment horizontal="center"/>
    </xf>
    <xf numFmtId="2" fontId="15" fillId="31" borderId="32" xfId="0" applyNumberFormat="1" applyFont="1" applyFill="1" applyBorder="1" applyAlignment="1">
      <alignment horizontal="center"/>
    </xf>
    <xf numFmtId="0" fontId="0" fillId="0" borderId="39" xfId="0" applyBorder="1"/>
    <xf numFmtId="0" fontId="0" fillId="31" borderId="0" xfId="0" applyFill="1" applyBorder="1"/>
    <xf numFmtId="0" fontId="7" fillId="31" borderId="31" xfId="0" applyFont="1" applyFill="1" applyBorder="1"/>
    <xf numFmtId="0" fontId="0" fillId="31" borderId="37" xfId="0" applyFill="1" applyBorder="1"/>
    <xf numFmtId="0" fontId="0" fillId="31" borderId="38" xfId="0" applyFill="1" applyBorder="1"/>
    <xf numFmtId="15" fontId="10" fillId="31" borderId="0" xfId="0" applyNumberFormat="1" applyFont="1" applyFill="1" applyBorder="1" applyAlignment="1">
      <alignment horizontal="center"/>
    </xf>
    <xf numFmtId="2" fontId="14" fillId="0" borderId="36" xfId="0" applyNumberFormat="1" applyFont="1" applyBorder="1" applyAlignment="1">
      <alignment horizontal="center"/>
    </xf>
    <xf numFmtId="0" fontId="21" fillId="31" borderId="31" xfId="0" applyFont="1" applyFill="1" applyBorder="1"/>
    <xf numFmtId="2" fontId="21" fillId="31" borderId="0" xfId="0" applyNumberFormat="1" applyFont="1" applyFill="1" applyBorder="1" applyAlignment="1">
      <alignment horizontal="center"/>
    </xf>
    <xf numFmtId="2" fontId="21" fillId="31" borderId="32" xfId="0" applyNumberFormat="1" applyFont="1" applyFill="1" applyBorder="1" applyAlignment="1">
      <alignment horizontal="center"/>
    </xf>
    <xf numFmtId="0" fontId="21" fillId="31" borderId="39" xfId="0" applyFont="1" applyFill="1" applyBorder="1"/>
    <xf numFmtId="2" fontId="21" fillId="31" borderId="40" xfId="0" applyNumberFormat="1" applyFont="1" applyFill="1" applyBorder="1" applyAlignment="1">
      <alignment horizontal="center"/>
    </xf>
    <xf numFmtId="2" fontId="21" fillId="31" borderId="41" xfId="0" applyNumberFormat="1" applyFont="1" applyFill="1" applyBorder="1" applyAlignment="1">
      <alignment horizontal="center"/>
    </xf>
    <xf numFmtId="0" fontId="19" fillId="32" borderId="31" xfId="0" applyFont="1" applyFill="1" applyBorder="1"/>
    <xf numFmtId="0" fontId="19" fillId="32" borderId="0" xfId="0" applyFont="1" applyFill="1" applyBorder="1" applyAlignment="1">
      <alignment horizontal="center"/>
    </xf>
    <xf numFmtId="0" fontId="19" fillId="32" borderId="32" xfId="0" applyFont="1" applyFill="1" applyBorder="1" applyAlignment="1">
      <alignment horizontal="center"/>
    </xf>
    <xf numFmtId="0" fontId="13" fillId="32" borderId="31" xfId="0" applyFont="1" applyFill="1" applyBorder="1"/>
    <xf numFmtId="0" fontId="13" fillId="26" borderId="46" xfId="0" applyFont="1" applyFill="1" applyBorder="1" applyAlignment="1">
      <alignment horizontal="center"/>
    </xf>
    <xf numFmtId="2" fontId="14" fillId="27" borderId="35" xfId="0" applyNumberFormat="1" applyFont="1" applyFill="1" applyBorder="1" applyAlignment="1">
      <alignment horizontal="center"/>
    </xf>
    <xf numFmtId="2" fontId="14" fillId="27" borderId="37" xfId="0" applyNumberFormat="1" applyFont="1" applyFill="1" applyBorder="1" applyAlignment="1">
      <alignment horizontal="center"/>
    </xf>
    <xf numFmtId="2" fontId="14" fillId="27" borderId="40" xfId="0" applyNumberFormat="1" applyFont="1" applyFill="1" applyBorder="1" applyAlignment="1">
      <alignment horizontal="center"/>
    </xf>
    <xf numFmtId="0" fontId="0" fillId="31" borderId="42" xfId="0" applyFill="1" applyBorder="1"/>
    <xf numFmtId="0" fontId="7" fillId="31" borderId="0" xfId="0" applyFont="1" applyFill="1" applyBorder="1"/>
    <xf numFmtId="0" fontId="7" fillId="31" borderId="32" xfId="0" applyFont="1" applyFill="1" applyBorder="1"/>
    <xf numFmtId="15" fontId="0" fillId="31" borderId="31" xfId="0" applyNumberFormat="1" applyFill="1" applyBorder="1" applyAlignment="1">
      <alignment horizontal="center"/>
    </xf>
    <xf numFmtId="15" fontId="10" fillId="31" borderId="31" xfId="0" applyNumberFormat="1" applyFont="1" applyFill="1" applyBorder="1" applyAlignment="1">
      <alignment horizontal="center"/>
    </xf>
    <xf numFmtId="0" fontId="7" fillId="31" borderId="39" xfId="0" applyFont="1" applyFill="1" applyBorder="1"/>
    <xf numFmtId="0" fontId="7" fillId="31" borderId="40" xfId="0" applyFont="1" applyFill="1" applyBorder="1"/>
    <xf numFmtId="0" fontId="7" fillId="31" borderId="41" xfId="0" applyFont="1" applyFill="1" applyBorder="1"/>
    <xf numFmtId="0" fontId="4" fillId="31" borderId="42" xfId="0" applyFont="1" applyFill="1" applyBorder="1"/>
    <xf numFmtId="0" fontId="4" fillId="0" borderId="0" xfId="0" applyFont="1" applyAlignment="1">
      <alignment horizontal="center"/>
    </xf>
    <xf numFmtId="0" fontId="4" fillId="31" borderId="37" xfId="0" applyFont="1" applyFill="1" applyBorder="1"/>
    <xf numFmtId="15" fontId="4" fillId="27" borderId="0" xfId="0" applyNumberFormat="1" applyFont="1" applyFill="1" applyBorder="1" applyAlignment="1">
      <alignment horizontal="center"/>
    </xf>
    <xf numFmtId="15" fontId="0" fillId="31" borderId="0" xfId="0" applyNumberFormat="1" applyFill="1" applyBorder="1" applyAlignment="1">
      <alignment horizontal="center"/>
    </xf>
    <xf numFmtId="15" fontId="0" fillId="31" borderId="23" xfId="0" applyNumberFormat="1" applyFill="1" applyBorder="1" applyAlignment="1">
      <alignment horizontal="center"/>
    </xf>
    <xf numFmtId="15" fontId="4" fillId="31" borderId="23" xfId="0" applyNumberFormat="1" applyFont="1" applyFill="1" applyBorder="1" applyAlignment="1">
      <alignment horizontal="center"/>
    </xf>
    <xf numFmtId="15" fontId="0" fillId="0" borderId="0" xfId="0" applyNumberFormat="1" applyBorder="1"/>
    <xf numFmtId="2" fontId="0" fillId="31" borderId="0" xfId="0" applyNumberFormat="1" applyFill="1" applyBorder="1" applyAlignment="1">
      <alignment horizontal="center"/>
    </xf>
    <xf numFmtId="0" fontId="0" fillId="0" borderId="22" xfId="0" applyBorder="1"/>
    <xf numFmtId="17" fontId="20" fillId="0" borderId="15" xfId="0" applyNumberFormat="1" applyFont="1" applyBorder="1"/>
    <xf numFmtId="2" fontId="20" fillId="0" borderId="15" xfId="0" applyNumberFormat="1" applyFont="1" applyBorder="1" applyAlignment="1">
      <alignment horizontal="center"/>
    </xf>
    <xf numFmtId="0" fontId="20" fillId="0" borderId="47" xfId="0" applyFont="1" applyBorder="1"/>
    <xf numFmtId="2" fontId="20" fillId="0" borderId="48" xfId="0" applyNumberFormat="1" applyFont="1" applyBorder="1" applyAlignment="1">
      <alignment horizontal="center"/>
    </xf>
    <xf numFmtId="0" fontId="20" fillId="0" borderId="48" xfId="0" applyFont="1" applyBorder="1"/>
    <xf numFmtId="2" fontId="20" fillId="0" borderId="11" xfId="0" applyNumberFormat="1" applyFont="1" applyBorder="1" applyAlignment="1">
      <alignment horizontal="center"/>
    </xf>
    <xf numFmtId="0" fontId="20" fillId="0" borderId="11" xfId="0" applyFont="1" applyBorder="1"/>
    <xf numFmtId="0" fontId="23" fillId="0" borderId="0" xfId="0" applyFont="1" applyBorder="1" applyAlignment="1">
      <alignment horizontal="center"/>
    </xf>
    <xf numFmtId="0" fontId="0" fillId="35" borderId="0" xfId="0" applyFill="1" applyBorder="1"/>
    <xf numFmtId="2" fontId="4" fillId="0" borderId="0" xfId="0" applyNumberFormat="1" applyFont="1" applyBorder="1" applyAlignment="1">
      <alignment horizontal="center"/>
    </xf>
    <xf numFmtId="0" fontId="13" fillId="31" borderId="0" xfId="0" applyFont="1" applyFill="1" applyBorder="1"/>
    <xf numFmtId="15" fontId="19" fillId="31" borderId="0" xfId="0" applyNumberFormat="1" applyFont="1" applyFill="1" applyBorder="1" applyAlignment="1">
      <alignment horizontal="center"/>
    </xf>
    <xf numFmtId="2" fontId="19" fillId="31" borderId="0" xfId="0" applyNumberFormat="1" applyFont="1" applyFill="1" applyBorder="1" applyAlignment="1">
      <alignment horizontal="center"/>
    </xf>
    <xf numFmtId="0" fontId="19" fillId="31" borderId="0" xfId="0" applyFont="1" applyFill="1" applyBorder="1"/>
    <xf numFmtId="0" fontId="0" fillId="0" borderId="0" xfId="0" applyAlignment="1">
      <alignment horizontal="left"/>
    </xf>
    <xf numFmtId="2" fontId="20" fillId="0" borderId="44" xfId="0" applyNumberFormat="1" applyFont="1" applyBorder="1" applyAlignment="1">
      <alignment horizontal="center"/>
    </xf>
    <xf numFmtId="0" fontId="0" fillId="27" borderId="10" xfId="0" applyFill="1" applyBorder="1"/>
    <xf numFmtId="2" fontId="0" fillId="0" borderId="10" xfId="0" applyNumberFormat="1" applyBorder="1" applyAlignment="1">
      <alignment horizontal="center"/>
    </xf>
    <xf numFmtId="0" fontId="0" fillId="0" borderId="10" xfId="0" applyBorder="1"/>
    <xf numFmtId="2" fontId="0" fillId="0" borderId="10" xfId="0" applyNumberFormat="1" applyFill="1" applyBorder="1" applyAlignment="1">
      <alignment horizontal="center"/>
    </xf>
    <xf numFmtId="0" fontId="0" fillId="35" borderId="0" xfId="0" applyFill="1"/>
    <xf numFmtId="0" fontId="0" fillId="0" borderId="0" xfId="0" applyFill="1"/>
    <xf numFmtId="2" fontId="0" fillId="31" borderId="10" xfId="0" applyNumberFormat="1" applyFill="1" applyBorder="1" applyAlignment="1">
      <alignment horizontal="center"/>
    </xf>
    <xf numFmtId="0" fontId="47" fillId="0" borderId="0" xfId="0" applyFont="1"/>
    <xf numFmtId="0" fontId="23" fillId="0" borderId="0" xfId="0" applyFont="1"/>
    <xf numFmtId="0" fontId="23" fillId="0" borderId="0" xfId="0" applyFont="1" applyAlignment="1">
      <alignment horizontal="center"/>
    </xf>
    <xf numFmtId="15" fontId="10" fillId="0" borderId="0" xfId="0" applyNumberFormat="1" applyFont="1" applyAlignment="1">
      <alignment horizontal="center"/>
    </xf>
    <xf numFmtId="2" fontId="10" fillId="0" borderId="0" xfId="0" applyNumberFormat="1" applyFont="1" applyAlignment="1">
      <alignment horizontal="center"/>
    </xf>
    <xf numFmtId="16" fontId="10" fillId="0" borderId="0" xfId="0" applyNumberFormat="1" applyFont="1" applyAlignment="1">
      <alignment horizontal="center"/>
    </xf>
    <xf numFmtId="16" fontId="23" fillId="0" borderId="0" xfId="0" applyNumberFormat="1" applyFont="1" applyAlignment="1">
      <alignment horizontal="center"/>
    </xf>
    <xf numFmtId="0" fontId="48" fillId="0" borderId="0" xfId="0" applyFont="1"/>
    <xf numFmtId="0" fontId="49" fillId="0" borderId="0" xfId="0" applyFont="1"/>
    <xf numFmtId="0" fontId="50" fillId="0" borderId="0" xfId="0" applyFont="1" applyAlignment="1">
      <alignment horizontal="center"/>
    </xf>
    <xf numFmtId="0" fontId="50" fillId="0" borderId="0" xfId="0" applyFont="1"/>
    <xf numFmtId="0" fontId="49" fillId="0" borderId="0" xfId="0" applyFont="1" applyAlignment="1">
      <alignment horizontal="center"/>
    </xf>
    <xf numFmtId="15" fontId="17" fillId="0" borderId="0" xfId="0" applyNumberFormat="1" applyFont="1" applyAlignment="1">
      <alignment horizontal="center"/>
    </xf>
    <xf numFmtId="2" fontId="17" fillId="0" borderId="0" xfId="0" applyNumberFormat="1" applyFont="1" applyAlignment="1">
      <alignment horizontal="center"/>
    </xf>
    <xf numFmtId="15" fontId="51" fillId="31" borderId="0" xfId="0" applyNumberFormat="1" applyFont="1" applyFill="1" applyAlignment="1">
      <alignment horizontal="center"/>
    </xf>
    <xf numFmtId="2" fontId="51" fillId="31" borderId="0" xfId="0" applyNumberFormat="1" applyFont="1" applyFill="1" applyAlignment="1">
      <alignment horizontal="center"/>
    </xf>
    <xf numFmtId="2" fontId="51" fillId="0" borderId="0" xfId="0" applyNumberFormat="1" applyFont="1" applyAlignment="1">
      <alignment horizontal="center"/>
    </xf>
    <xf numFmtId="16" fontId="51" fillId="31" borderId="0" xfId="0" applyNumberFormat="1" applyFont="1" applyFill="1" applyAlignment="1">
      <alignment horizontal="center"/>
    </xf>
    <xf numFmtId="16" fontId="52" fillId="31" borderId="0" xfId="0" applyNumberFormat="1" applyFont="1" applyFill="1" applyAlignment="1">
      <alignment horizontal="center"/>
    </xf>
    <xf numFmtId="2" fontId="52" fillId="0" borderId="0" xfId="0" applyNumberFormat="1" applyFont="1" applyAlignment="1">
      <alignment horizontal="center"/>
    </xf>
    <xf numFmtId="16" fontId="53" fillId="31" borderId="0" xfId="0" applyNumberFormat="1" applyFont="1" applyFill="1" applyAlignment="1"/>
    <xf numFmtId="2" fontId="53" fillId="0" borderId="0" xfId="0" applyNumberFormat="1" applyFont="1" applyAlignment="1"/>
    <xf numFmtId="16" fontId="54" fillId="31" borderId="0" xfId="0" applyNumberFormat="1" applyFont="1" applyFill="1" applyAlignment="1">
      <alignment horizontal="center"/>
    </xf>
    <xf numFmtId="2" fontId="8" fillId="0" borderId="0" xfId="0" applyNumberFormat="1" applyFont="1" applyAlignment="1">
      <alignment horizontal="center"/>
    </xf>
    <xf numFmtId="2" fontId="55" fillId="0" borderId="0" xfId="0" applyNumberFormat="1" applyFont="1" applyAlignment="1">
      <alignment horizontal="center"/>
    </xf>
    <xf numFmtId="2" fontId="56" fillId="0" borderId="0" xfId="0" applyNumberFormat="1" applyFont="1" applyAlignment="1">
      <alignment horizontal="center"/>
    </xf>
    <xf numFmtId="2" fontId="57" fillId="0" borderId="0" xfId="0" applyNumberFormat="1" applyFont="1" applyAlignment="1"/>
    <xf numFmtId="2" fontId="58" fillId="0" borderId="0" xfId="0" applyNumberFormat="1" applyFont="1" applyAlignment="1">
      <alignment horizontal="center"/>
    </xf>
    <xf numFmtId="16" fontId="4" fillId="31" borderId="0" xfId="0" applyNumberFormat="1" applyFont="1" applyFill="1" applyAlignment="1">
      <alignment horizontal="center"/>
    </xf>
    <xf numFmtId="0" fontId="59" fillId="0" borderId="0" xfId="0" applyFont="1" applyAlignment="1">
      <alignment horizontal="center"/>
    </xf>
    <xf numFmtId="0" fontId="60" fillId="0" borderId="0" xfId="0" applyFont="1" applyAlignment="1">
      <alignment horizontal="center"/>
    </xf>
    <xf numFmtId="16" fontId="53" fillId="31" borderId="0" xfId="0" applyNumberFormat="1" applyFont="1" applyFill="1" applyAlignment="1">
      <alignment horizontal="center"/>
    </xf>
    <xf numFmtId="2" fontId="24" fillId="0" borderId="0" xfId="0" applyNumberFormat="1" applyFont="1" applyAlignment="1">
      <alignment horizontal="center"/>
    </xf>
    <xf numFmtId="2" fontId="60" fillId="0" borderId="0" xfId="0" applyNumberFormat="1" applyFont="1" applyAlignment="1">
      <alignment horizontal="center"/>
    </xf>
    <xf numFmtId="0" fontId="12" fillId="0" borderId="0" xfId="0" applyFont="1"/>
    <xf numFmtId="165" fontId="0" fillId="0" borderId="0" xfId="0" applyNumberFormat="1" applyAlignment="1">
      <alignment horizontal="center"/>
    </xf>
    <xf numFmtId="2" fontId="59" fillId="0" borderId="0" xfId="0" applyNumberFormat="1" applyFont="1" applyAlignment="1">
      <alignment horizontal="left"/>
    </xf>
    <xf numFmtId="2" fontId="59" fillId="0" borderId="0" xfId="0" applyNumberFormat="1" applyFont="1" applyBorder="1" applyAlignment="1">
      <alignment horizontal="center"/>
    </xf>
    <xf numFmtId="0" fontId="59" fillId="0" borderId="0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60" fillId="0" borderId="0" xfId="0" applyFont="1" applyBorder="1" applyAlignment="1">
      <alignment horizontal="center"/>
    </xf>
    <xf numFmtId="15" fontId="10" fillId="0" borderId="0" xfId="0" applyNumberFormat="1" applyFont="1" applyBorder="1" applyAlignment="1">
      <alignment horizontal="center"/>
    </xf>
    <xf numFmtId="2" fontId="10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2" fontId="60" fillId="0" borderId="0" xfId="0" applyNumberFormat="1" applyFont="1" applyBorder="1" applyAlignment="1">
      <alignment horizontal="center"/>
    </xf>
    <xf numFmtId="16" fontId="53" fillId="31" borderId="0" xfId="0" applyNumberFormat="1" applyFont="1" applyFill="1" applyBorder="1" applyAlignment="1">
      <alignment horizontal="center"/>
    </xf>
    <xf numFmtId="0" fontId="4" fillId="0" borderId="0" xfId="0" applyFont="1"/>
    <xf numFmtId="2" fontId="4" fillId="0" borderId="0" xfId="0" applyNumberFormat="1" applyFont="1"/>
    <xf numFmtId="0" fontId="0" fillId="0" borderId="0" xfId="0" applyAlignment="1">
      <alignment horizontal="center"/>
    </xf>
    <xf numFmtId="2" fontId="0" fillId="0" borderId="0" xfId="0" applyNumberFormat="1"/>
    <xf numFmtId="15" fontId="0" fillId="0" borderId="0" xfId="0" applyNumberFormat="1" applyAlignment="1">
      <alignment horizontal="center"/>
    </xf>
    <xf numFmtId="2" fontId="59" fillId="0" borderId="20" xfId="0" applyNumberFormat="1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59" fillId="0" borderId="21" xfId="0" applyFont="1" applyBorder="1" applyAlignment="1">
      <alignment horizontal="center"/>
    </xf>
    <xf numFmtId="0" fontId="59" fillId="0" borderId="17" xfId="0" applyFont="1" applyBorder="1" applyAlignment="1">
      <alignment horizontal="center"/>
    </xf>
    <xf numFmtId="2" fontId="59" fillId="0" borderId="47" xfId="0" applyNumberFormat="1" applyFont="1" applyBorder="1" applyAlignment="1">
      <alignment horizontal="center"/>
    </xf>
    <xf numFmtId="0" fontId="24" fillId="0" borderId="44" xfId="0" applyFont="1" applyBorder="1" applyAlignment="1">
      <alignment horizontal="center"/>
    </xf>
    <xf numFmtId="15" fontId="0" fillId="0" borderId="47" xfId="0" applyNumberFormat="1" applyBorder="1" applyAlignment="1">
      <alignment horizontal="center"/>
    </xf>
    <xf numFmtId="0" fontId="0" fillId="0" borderId="44" xfId="0" applyBorder="1"/>
    <xf numFmtId="16" fontId="53" fillId="31" borderId="19" xfId="0" applyNumberFormat="1" applyFont="1" applyFill="1" applyBorder="1" applyAlignment="1">
      <alignment horizontal="center"/>
    </xf>
    <xf numFmtId="2" fontId="4" fillId="0" borderId="22" xfId="0" applyNumberFormat="1" applyFont="1" applyBorder="1" applyAlignment="1">
      <alignment horizontal="center"/>
    </xf>
    <xf numFmtId="2" fontId="4" fillId="0" borderId="14" xfId="0" applyNumberFormat="1" applyFont="1" applyBorder="1" applyAlignment="1">
      <alignment horizontal="center"/>
    </xf>
    <xf numFmtId="0" fontId="0" fillId="0" borderId="44" xfId="0" applyBorder="1" applyAlignment="1">
      <alignment horizontal="center"/>
    </xf>
    <xf numFmtId="0" fontId="61" fillId="0" borderId="0" xfId="0" applyFont="1" applyFill="1" applyBorder="1" applyAlignment="1">
      <alignment vertic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4" fillId="31" borderId="21" xfId="0" applyFont="1" applyFill="1" applyBorder="1" applyAlignment="1">
      <alignment horizontal="center"/>
    </xf>
    <xf numFmtId="0" fontId="59" fillId="31" borderId="21" xfId="0" applyFont="1" applyFill="1" applyBorder="1" applyAlignment="1">
      <alignment horizontal="center"/>
    </xf>
    <xf numFmtId="0" fontId="59" fillId="31" borderId="17" xfId="0" applyFont="1" applyFill="1" applyBorder="1" applyAlignment="1">
      <alignment horizontal="center"/>
    </xf>
    <xf numFmtId="0" fontId="24" fillId="31" borderId="22" xfId="0" applyFont="1" applyFill="1" applyBorder="1" applyAlignment="1">
      <alignment horizontal="center"/>
    </xf>
    <xf numFmtId="0" fontId="24" fillId="31" borderId="14" xfId="0" applyFont="1" applyFill="1" applyBorder="1" applyAlignment="1">
      <alignment horizontal="center"/>
    </xf>
    <xf numFmtId="15" fontId="0" fillId="31" borderId="48" xfId="0" applyNumberFormat="1" applyFill="1" applyBorder="1" applyAlignment="1">
      <alignment horizontal="center"/>
    </xf>
    <xf numFmtId="0" fontId="0" fillId="31" borderId="0" xfId="0" applyFill="1" applyBorder="1" applyAlignment="1">
      <alignment horizontal="center"/>
    </xf>
    <xf numFmtId="2" fontId="0" fillId="31" borderId="44" xfId="0" applyNumberFormat="1" applyFill="1" applyBorder="1" applyAlignment="1">
      <alignment horizontal="center"/>
    </xf>
    <xf numFmtId="15" fontId="0" fillId="0" borderId="48" xfId="0" applyNumberFormat="1" applyBorder="1" applyAlignment="1">
      <alignment horizontal="center"/>
    </xf>
    <xf numFmtId="16" fontId="53" fillId="31" borderId="11" xfId="0" applyNumberFormat="1" applyFont="1" applyFill="1" applyBorder="1" applyAlignment="1">
      <alignment horizontal="center"/>
    </xf>
    <xf numFmtId="2" fontId="4" fillId="31" borderId="22" xfId="0" applyNumberFormat="1" applyFont="1" applyFill="1" applyBorder="1" applyAlignment="1">
      <alignment horizontal="center"/>
    </xf>
    <xf numFmtId="2" fontId="4" fillId="31" borderId="14" xfId="0" applyNumberFormat="1" applyFont="1" applyFill="1" applyBorder="1" applyAlignment="1">
      <alignment horizontal="center"/>
    </xf>
    <xf numFmtId="0" fontId="0" fillId="0" borderId="0" xfId="0" applyAlignment="1"/>
    <xf numFmtId="0" fontId="61" fillId="0" borderId="0" xfId="0" applyFont="1" applyFill="1" applyBorder="1" applyAlignment="1">
      <alignment horizontal="center" vertical="center"/>
    </xf>
    <xf numFmtId="0" fontId="4" fillId="31" borderId="49" xfId="0" applyFont="1" applyFill="1" applyBorder="1" applyAlignment="1">
      <alignment horizontal="center"/>
    </xf>
    <xf numFmtId="0" fontId="4" fillId="31" borderId="50" xfId="0" applyFont="1" applyFill="1" applyBorder="1" applyAlignment="1">
      <alignment horizontal="center"/>
    </xf>
    <xf numFmtId="0" fontId="59" fillId="31" borderId="50" xfId="0" applyFont="1" applyFill="1" applyBorder="1" applyAlignment="1">
      <alignment horizontal="center"/>
    </xf>
    <xf numFmtId="0" fontId="59" fillId="31" borderId="51" xfId="0" applyFont="1" applyFill="1" applyBorder="1" applyAlignment="1">
      <alignment horizontal="center"/>
    </xf>
    <xf numFmtId="0" fontId="59" fillId="31" borderId="49" xfId="0" applyFont="1" applyFill="1" applyBorder="1" applyAlignment="1">
      <alignment horizontal="center"/>
    </xf>
    <xf numFmtId="0" fontId="24" fillId="31" borderId="52" xfId="0" applyFont="1" applyFill="1" applyBorder="1" applyAlignment="1">
      <alignment horizontal="center"/>
    </xf>
    <xf numFmtId="0" fontId="24" fillId="31" borderId="53" xfId="0" applyFont="1" applyFill="1" applyBorder="1" applyAlignment="1">
      <alignment horizontal="center"/>
    </xf>
    <xf numFmtId="0" fontId="24" fillId="31" borderId="54" xfId="0" applyFont="1" applyFill="1" applyBorder="1" applyAlignment="1">
      <alignment horizontal="center"/>
    </xf>
    <xf numFmtId="15" fontId="11" fillId="31" borderId="55" xfId="0" applyNumberFormat="1" applyFont="1" applyFill="1" applyBorder="1" applyAlignment="1">
      <alignment horizontal="center"/>
    </xf>
    <xf numFmtId="2" fontId="11" fillId="31" borderId="56" xfId="0" applyNumberFormat="1" applyFont="1" applyFill="1" applyBorder="1" applyAlignment="1">
      <alignment horizontal="center"/>
    </xf>
    <xf numFmtId="2" fontId="11" fillId="31" borderId="51" xfId="0" applyNumberFormat="1" applyFont="1" applyFill="1" applyBorder="1" applyAlignment="1">
      <alignment horizontal="center"/>
    </xf>
    <xf numFmtId="2" fontId="11" fillId="31" borderId="50" xfId="0" applyNumberFormat="1" applyFont="1" applyFill="1" applyBorder="1" applyAlignment="1">
      <alignment horizontal="center"/>
    </xf>
    <xf numFmtId="2" fontId="11" fillId="31" borderId="57" xfId="0" applyNumberFormat="1" applyFont="1" applyFill="1" applyBorder="1" applyAlignment="1">
      <alignment horizontal="center"/>
    </xf>
    <xf numFmtId="2" fontId="11" fillId="31" borderId="0" xfId="0" applyNumberFormat="1" applyFont="1" applyFill="1" applyBorder="1" applyAlignment="1">
      <alignment horizontal="center"/>
    </xf>
    <xf numFmtId="2" fontId="11" fillId="31" borderId="58" xfId="0" applyNumberFormat="1" applyFont="1" applyFill="1" applyBorder="1" applyAlignment="1">
      <alignment horizontal="center"/>
    </xf>
    <xf numFmtId="2" fontId="11" fillId="31" borderId="59" xfId="0" applyNumberFormat="1" applyFont="1" applyFill="1" applyBorder="1" applyAlignment="1">
      <alignment horizontal="center"/>
    </xf>
    <xf numFmtId="2" fontId="11" fillId="31" borderId="54" xfId="0" applyNumberFormat="1" applyFont="1" applyFill="1" applyBorder="1" applyAlignment="1">
      <alignment horizontal="center"/>
    </xf>
    <xf numFmtId="2" fontId="11" fillId="31" borderId="53" xfId="0" applyNumberFormat="1" applyFont="1" applyFill="1" applyBorder="1" applyAlignment="1">
      <alignment horizontal="center"/>
    </xf>
    <xf numFmtId="16" fontId="62" fillId="38" borderId="60" xfId="0" applyNumberFormat="1" applyFont="1" applyFill="1" applyBorder="1" applyAlignment="1">
      <alignment horizontal="center"/>
    </xf>
    <xf numFmtId="2" fontId="16" fillId="38" borderId="61" xfId="0" applyNumberFormat="1" applyFont="1" applyFill="1" applyBorder="1" applyAlignment="1">
      <alignment horizontal="center"/>
    </xf>
    <xf numFmtId="2" fontId="16" fillId="38" borderId="62" xfId="0" applyNumberFormat="1" applyFont="1" applyFill="1" applyBorder="1" applyAlignment="1">
      <alignment horizontal="center"/>
    </xf>
    <xf numFmtId="2" fontId="16" fillId="38" borderId="63" xfId="0" applyNumberFormat="1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4" fillId="31" borderId="51" xfId="0" applyFont="1" applyFill="1" applyBorder="1" applyAlignment="1">
      <alignment horizontal="center"/>
    </xf>
    <xf numFmtId="0" fontId="11" fillId="31" borderId="0" xfId="0" applyFont="1" applyFill="1" applyBorder="1" applyAlignment="1">
      <alignment horizontal="center"/>
    </xf>
    <xf numFmtId="0" fontId="0" fillId="0" borderId="0" xfId="0" applyAlignment="1">
      <alignment vertical="center"/>
    </xf>
    <xf numFmtId="0" fontId="19" fillId="39" borderId="10" xfId="0" applyFont="1" applyFill="1" applyBorder="1" applyAlignment="1">
      <alignment horizontal="center"/>
    </xf>
    <xf numFmtId="0" fontId="64" fillId="39" borderId="10" xfId="0" applyFont="1" applyFill="1" applyBorder="1" applyAlignment="1">
      <alignment horizontal="center"/>
    </xf>
    <xf numFmtId="0" fontId="25" fillId="39" borderId="10" xfId="0" applyFont="1" applyFill="1" applyBorder="1" applyAlignment="1">
      <alignment horizontal="center"/>
    </xf>
    <xf numFmtId="15" fontId="10" fillId="0" borderId="10" xfId="0" applyNumberFormat="1" applyFont="1" applyFill="1" applyBorder="1" applyAlignment="1">
      <alignment horizontal="center"/>
    </xf>
    <xf numFmtId="2" fontId="10" fillId="0" borderId="10" xfId="0" applyNumberFormat="1" applyFont="1" applyFill="1" applyBorder="1" applyAlignment="1">
      <alignment horizontal="center"/>
    </xf>
    <xf numFmtId="0" fontId="10" fillId="0" borderId="10" xfId="0" applyFont="1" applyFill="1" applyBorder="1" applyAlignment="1">
      <alignment horizontal="center"/>
    </xf>
    <xf numFmtId="16" fontId="65" fillId="39" borderId="10" xfId="0" applyNumberFormat="1" applyFont="1" applyFill="1" applyBorder="1" applyAlignment="1">
      <alignment horizontal="center"/>
    </xf>
    <xf numFmtId="2" fontId="19" fillId="39" borderId="10" xfId="0" applyNumberFormat="1" applyFont="1" applyFill="1" applyBorder="1" applyAlignment="1">
      <alignment horizontal="center"/>
    </xf>
    <xf numFmtId="15" fontId="10" fillId="31" borderId="10" xfId="0" applyNumberFormat="1" applyFont="1" applyFill="1" applyBorder="1" applyAlignment="1">
      <alignment horizontal="center"/>
    </xf>
    <xf numFmtId="2" fontId="10" fillId="31" borderId="10" xfId="0" applyNumberFormat="1" applyFont="1" applyFill="1" applyBorder="1" applyAlignment="1">
      <alignment horizontal="center"/>
    </xf>
    <xf numFmtId="0" fontId="10" fillId="31" borderId="10" xfId="0" applyFont="1" applyFill="1" applyBorder="1" applyAlignment="1">
      <alignment horizontal="center"/>
    </xf>
    <xf numFmtId="0" fontId="21" fillId="36" borderId="10" xfId="0" applyFont="1" applyFill="1" applyBorder="1" applyAlignment="1">
      <alignment horizontal="center"/>
    </xf>
    <xf numFmtId="0" fontId="66" fillId="36" borderId="10" xfId="0" applyFont="1" applyFill="1" applyBorder="1" applyAlignment="1">
      <alignment horizontal="center"/>
    </xf>
    <xf numFmtId="0" fontId="50" fillId="36" borderId="10" xfId="0" applyFont="1" applyFill="1" applyBorder="1" applyAlignment="1">
      <alignment horizontal="center"/>
    </xf>
    <xf numFmtId="16" fontId="67" fillId="36" borderId="10" xfId="0" applyNumberFormat="1" applyFont="1" applyFill="1" applyBorder="1" applyAlignment="1">
      <alignment horizontal="center"/>
    </xf>
    <xf numFmtId="2" fontId="21" fillId="36" borderId="10" xfId="0" applyNumberFormat="1" applyFont="1" applyFill="1" applyBorder="1" applyAlignment="1">
      <alignment horizontal="center"/>
    </xf>
    <xf numFmtId="2" fontId="11" fillId="0" borderId="10" xfId="0" applyNumberFormat="1" applyFont="1" applyFill="1" applyBorder="1" applyAlignment="1">
      <alignment horizontal="center"/>
    </xf>
    <xf numFmtId="0" fontId="21" fillId="40" borderId="10" xfId="0" applyFont="1" applyFill="1" applyBorder="1" applyAlignment="1">
      <alignment horizontal="center"/>
    </xf>
    <xf numFmtId="0" fontId="66" fillId="40" borderId="10" xfId="0" applyFont="1" applyFill="1" applyBorder="1" applyAlignment="1">
      <alignment horizontal="center"/>
    </xf>
    <xf numFmtId="0" fontId="50" fillId="40" borderId="10" xfId="0" applyFont="1" applyFill="1" applyBorder="1" applyAlignment="1">
      <alignment horizontal="center"/>
    </xf>
    <xf numFmtId="16" fontId="67" fillId="40" borderId="10" xfId="0" applyNumberFormat="1" applyFont="1" applyFill="1" applyBorder="1" applyAlignment="1">
      <alignment horizontal="center"/>
    </xf>
    <xf numFmtId="2" fontId="21" fillId="40" borderId="10" xfId="0" applyNumberFormat="1" applyFont="1" applyFill="1" applyBorder="1" applyAlignment="1">
      <alignment horizontal="center"/>
    </xf>
    <xf numFmtId="0" fontId="50" fillId="40" borderId="47" xfId="0" applyFont="1" applyFill="1" applyBorder="1" applyAlignment="1">
      <alignment horizontal="center"/>
    </xf>
    <xf numFmtId="0" fontId="21" fillId="27" borderId="10" xfId="0" applyFont="1" applyFill="1" applyBorder="1" applyAlignment="1">
      <alignment horizontal="center"/>
    </xf>
    <xf numFmtId="0" fontId="66" fillId="27" borderId="10" xfId="0" applyFont="1" applyFill="1" applyBorder="1" applyAlignment="1">
      <alignment horizontal="center"/>
    </xf>
    <xf numFmtId="0" fontId="50" fillId="27" borderId="10" xfId="0" applyFont="1" applyFill="1" applyBorder="1" applyAlignment="1">
      <alignment horizontal="center"/>
    </xf>
    <xf numFmtId="2" fontId="29" fillId="0" borderId="0" xfId="0" applyNumberFormat="1" applyFont="1"/>
    <xf numFmtId="16" fontId="67" fillId="27" borderId="10" xfId="0" applyNumberFormat="1" applyFont="1" applyFill="1" applyBorder="1" applyAlignment="1">
      <alignment horizontal="center"/>
    </xf>
    <xf numFmtId="2" fontId="21" fillId="27" borderId="10" xfId="0" applyNumberFormat="1" applyFont="1" applyFill="1" applyBorder="1" applyAlignment="1">
      <alignment horizontal="center"/>
    </xf>
    <xf numFmtId="2" fontId="14" fillId="0" borderId="0" xfId="0" applyNumberFormat="1" applyFont="1" applyAlignment="1">
      <alignment horizontal="center"/>
    </xf>
    <xf numFmtId="2" fontId="10" fillId="41" borderId="10" xfId="0" applyNumberFormat="1" applyFont="1" applyFill="1" applyBorder="1" applyAlignment="1">
      <alignment horizontal="center"/>
    </xf>
    <xf numFmtId="0" fontId="21" fillId="41" borderId="10" xfId="0" applyFont="1" applyFill="1" applyBorder="1" applyAlignment="1">
      <alignment horizontal="center"/>
    </xf>
    <xf numFmtId="0" fontId="66" fillId="41" borderId="10" xfId="0" applyFont="1" applyFill="1" applyBorder="1" applyAlignment="1">
      <alignment horizontal="center"/>
    </xf>
    <xf numFmtId="0" fontId="50" fillId="41" borderId="10" xfId="0" applyFont="1" applyFill="1" applyBorder="1" applyAlignment="1">
      <alignment horizontal="center"/>
    </xf>
    <xf numFmtId="16" fontId="67" fillId="41" borderId="10" xfId="0" applyNumberFormat="1" applyFont="1" applyFill="1" applyBorder="1" applyAlignment="1">
      <alignment horizontal="center"/>
    </xf>
    <xf numFmtId="2" fontId="21" fillId="41" borderId="10" xfId="0" applyNumberFormat="1" applyFont="1" applyFill="1" applyBorder="1" applyAlignment="1">
      <alignment horizontal="center"/>
    </xf>
    <xf numFmtId="0" fontId="21" fillId="42" borderId="10" xfId="0" applyFont="1" applyFill="1" applyBorder="1" applyAlignment="1">
      <alignment horizontal="center"/>
    </xf>
    <xf numFmtId="0" fontId="66" fillId="42" borderId="10" xfId="0" applyFont="1" applyFill="1" applyBorder="1" applyAlignment="1">
      <alignment horizontal="center"/>
    </xf>
    <xf numFmtId="0" fontId="50" fillId="42" borderId="10" xfId="0" applyFont="1" applyFill="1" applyBorder="1" applyAlignment="1">
      <alignment horizontal="center"/>
    </xf>
    <xf numFmtId="16" fontId="67" fillId="42" borderId="10" xfId="0" applyNumberFormat="1" applyFont="1" applyFill="1" applyBorder="1" applyAlignment="1">
      <alignment horizontal="center"/>
    </xf>
    <xf numFmtId="2" fontId="21" fillId="42" borderId="10" xfId="0" applyNumberFormat="1" applyFont="1" applyFill="1" applyBorder="1" applyAlignment="1">
      <alignment horizontal="center"/>
    </xf>
    <xf numFmtId="0" fontId="21" fillId="24" borderId="10" xfId="0" applyFont="1" applyFill="1" applyBorder="1" applyAlignment="1">
      <alignment horizontal="center"/>
    </xf>
    <xf numFmtId="0" fontId="66" fillId="24" borderId="10" xfId="0" applyFont="1" applyFill="1" applyBorder="1" applyAlignment="1">
      <alignment horizontal="center"/>
    </xf>
    <xf numFmtId="0" fontId="50" fillId="24" borderId="10" xfId="0" applyFont="1" applyFill="1" applyBorder="1" applyAlignment="1">
      <alignment horizontal="center"/>
    </xf>
    <xf numFmtId="16" fontId="67" fillId="24" borderId="10" xfId="0" applyNumberFormat="1" applyFont="1" applyFill="1" applyBorder="1" applyAlignment="1">
      <alignment horizontal="center"/>
    </xf>
    <xf numFmtId="2" fontId="21" fillId="24" borderId="10" xfId="0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15" fontId="10" fillId="31" borderId="26" xfId="0" applyNumberFormat="1" applyFont="1" applyFill="1" applyBorder="1" applyAlignment="1">
      <alignment horizontal="right"/>
    </xf>
    <xf numFmtId="15" fontId="10" fillId="31" borderId="23" xfId="0" applyNumberFormat="1" applyFont="1" applyFill="1" applyBorder="1" applyAlignment="1">
      <alignment horizontal="right"/>
    </xf>
    <xf numFmtId="15" fontId="10" fillId="31" borderId="27" xfId="0" applyNumberFormat="1" applyFont="1" applyFill="1" applyBorder="1" applyAlignment="1">
      <alignment horizontal="right"/>
    </xf>
    <xf numFmtId="2" fontId="67" fillId="31" borderId="0" xfId="0" applyNumberFormat="1" applyFont="1" applyFill="1" applyBorder="1" applyAlignment="1">
      <alignment horizontal="center"/>
    </xf>
    <xf numFmtId="2" fontId="65" fillId="31" borderId="0" xfId="0" applyNumberFormat="1" applyFont="1" applyFill="1" applyBorder="1" applyAlignment="1">
      <alignment horizontal="center"/>
    </xf>
    <xf numFmtId="0" fontId="22" fillId="33" borderId="64" xfId="0" applyFont="1" applyFill="1" applyBorder="1" applyAlignment="1">
      <alignment horizontal="center"/>
    </xf>
    <xf numFmtId="0" fontId="22" fillId="33" borderId="65" xfId="0" applyFont="1" applyFill="1" applyBorder="1" applyAlignment="1">
      <alignment horizontal="center"/>
    </xf>
    <xf numFmtId="0" fontId="22" fillId="33" borderId="66" xfId="0" applyFont="1" applyFill="1" applyBorder="1" applyAlignment="1">
      <alignment horizontal="center"/>
    </xf>
    <xf numFmtId="2" fontId="71" fillId="0" borderId="0" xfId="0" applyNumberFormat="1" applyFont="1"/>
    <xf numFmtId="0" fontId="19" fillId="29" borderId="64" xfId="0" applyFont="1" applyFill="1" applyBorder="1" applyAlignment="1">
      <alignment horizontal="center"/>
    </xf>
    <xf numFmtId="0" fontId="19" fillId="29" borderId="65" xfId="0" applyFont="1" applyFill="1" applyBorder="1" applyAlignment="1">
      <alignment horizontal="center"/>
    </xf>
    <xf numFmtId="0" fontId="19" fillId="29" borderId="66" xfId="0" applyFont="1" applyFill="1" applyBorder="1" applyAlignment="1">
      <alignment horizontal="center"/>
    </xf>
    <xf numFmtId="165" fontId="0" fillId="0" borderId="10" xfId="0" applyNumberFormat="1" applyBorder="1"/>
    <xf numFmtId="165" fontId="0" fillId="0" borderId="10" xfId="0" applyNumberFormat="1" applyFill="1" applyBorder="1"/>
    <xf numFmtId="0" fontId="4" fillId="31" borderId="10" xfId="0" applyFont="1" applyFill="1" applyBorder="1"/>
    <xf numFmtId="2" fontId="4" fillId="31" borderId="10" xfId="0" applyNumberFormat="1" applyFont="1" applyFill="1" applyBorder="1"/>
    <xf numFmtId="0" fontId="19" fillId="34" borderId="64" xfId="0" applyFont="1" applyFill="1" applyBorder="1" applyAlignment="1">
      <alignment horizontal="center"/>
    </xf>
    <xf numFmtId="0" fontId="19" fillId="34" borderId="65" xfId="0" applyFont="1" applyFill="1" applyBorder="1" applyAlignment="1">
      <alignment horizontal="center"/>
    </xf>
    <xf numFmtId="0" fontId="19" fillId="34" borderId="66" xfId="0" applyFont="1" applyFill="1" applyBorder="1" applyAlignment="1">
      <alignment horizontal="center"/>
    </xf>
    <xf numFmtId="0" fontId="22" fillId="31" borderId="0" xfId="0" applyFont="1" applyFill="1" applyBorder="1" applyAlignment="1">
      <alignment horizontal="center"/>
    </xf>
    <xf numFmtId="2" fontId="0" fillId="31" borderId="0" xfId="0" applyNumberFormat="1" applyFill="1"/>
    <xf numFmtId="15" fontId="10" fillId="31" borderId="42" xfId="0" applyNumberFormat="1" applyFont="1" applyFill="1" applyBorder="1" applyAlignment="1">
      <alignment horizontal="right"/>
    </xf>
    <xf numFmtId="15" fontId="10" fillId="31" borderId="31" xfId="0" applyNumberFormat="1" applyFont="1" applyFill="1" applyBorder="1" applyAlignment="1">
      <alignment horizontal="right"/>
    </xf>
    <xf numFmtId="2" fontId="17" fillId="31" borderId="10" xfId="0" applyNumberFormat="1" applyFont="1" applyFill="1" applyBorder="1" applyAlignment="1">
      <alignment horizontal="center"/>
    </xf>
    <xf numFmtId="2" fontId="17" fillId="0" borderId="10" xfId="0" applyNumberFormat="1" applyFont="1" applyFill="1" applyBorder="1" applyAlignment="1">
      <alignment horizontal="center"/>
    </xf>
    <xf numFmtId="14" fontId="0" fillId="0" borderId="0" xfId="0" applyNumberFormat="1"/>
    <xf numFmtId="165" fontId="4" fillId="31" borderId="10" xfId="0" applyNumberFormat="1" applyFont="1" applyFill="1" applyBorder="1"/>
    <xf numFmtId="0" fontId="4" fillId="31" borderId="10" xfId="0" applyFont="1" applyFill="1" applyBorder="1" applyAlignment="1">
      <alignment horizontal="center"/>
    </xf>
    <xf numFmtId="0" fontId="59" fillId="0" borderId="0" xfId="0" applyFont="1" applyFill="1"/>
    <xf numFmtId="1" fontId="0" fillId="0" borderId="0" xfId="0" applyNumberFormat="1" applyFill="1"/>
    <xf numFmtId="0" fontId="75" fillId="0" borderId="0" xfId="0" applyFont="1" applyFill="1" applyAlignment="1">
      <alignment horizontal="center"/>
    </xf>
    <xf numFmtId="0" fontId="4" fillId="0" borderId="0" xfId="0" applyFont="1" applyFill="1"/>
    <xf numFmtId="1" fontId="0" fillId="0" borderId="0" xfId="0" applyNumberFormat="1"/>
    <xf numFmtId="0" fontId="77" fillId="43" borderId="33" xfId="0" applyFont="1" applyFill="1" applyBorder="1" applyAlignment="1">
      <alignment horizontal="center"/>
    </xf>
    <xf numFmtId="0" fontId="77" fillId="43" borderId="40" xfId="0" applyFont="1" applyFill="1" applyBorder="1" applyAlignment="1">
      <alignment horizontal="center"/>
    </xf>
    <xf numFmtId="166" fontId="76" fillId="0" borderId="0" xfId="0" applyNumberFormat="1" applyFont="1" applyBorder="1" applyAlignment="1">
      <alignment horizontal="center" vertical="center"/>
    </xf>
    <xf numFmtId="0" fontId="77" fillId="0" borderId="35" xfId="0" applyFont="1" applyFill="1" applyBorder="1" applyAlignment="1">
      <alignment horizontal="center"/>
    </xf>
    <xf numFmtId="0" fontId="0" fillId="0" borderId="42" xfId="0" applyBorder="1"/>
    <xf numFmtId="0" fontId="72" fillId="0" borderId="0" xfId="0" applyFont="1"/>
    <xf numFmtId="0" fontId="0" fillId="0" borderId="26" xfId="0" applyBorder="1"/>
    <xf numFmtId="0" fontId="0" fillId="0" borderId="37" xfId="0" applyBorder="1"/>
    <xf numFmtId="0" fontId="0" fillId="0" borderId="38" xfId="0" applyBorder="1"/>
    <xf numFmtId="0" fontId="78" fillId="31" borderId="33" xfId="0" applyFont="1" applyFill="1" applyBorder="1" applyAlignment="1">
      <alignment horizontal="center" vertical="center"/>
    </xf>
    <xf numFmtId="0" fontId="0" fillId="43" borderId="0" xfId="0" applyFill="1"/>
    <xf numFmtId="0" fontId="0" fillId="0" borderId="23" xfId="0" applyBorder="1"/>
    <xf numFmtId="0" fontId="0" fillId="0" borderId="32" xfId="0" applyBorder="1"/>
    <xf numFmtId="0" fontId="20" fillId="31" borderId="42" xfId="0" applyFont="1" applyFill="1" applyBorder="1" applyAlignment="1">
      <alignment horizontal="center" vertical="center"/>
    </xf>
    <xf numFmtId="0" fontId="80" fillId="31" borderId="31" xfId="0" applyFont="1" applyFill="1" applyBorder="1" applyAlignment="1">
      <alignment horizontal="center" vertical="center"/>
    </xf>
    <xf numFmtId="0" fontId="0" fillId="31" borderId="39" xfId="0" applyFill="1" applyBorder="1" applyAlignment="1">
      <alignment horizontal="center" vertical="center"/>
    </xf>
    <xf numFmtId="0" fontId="78" fillId="31" borderId="42" xfId="0" applyFont="1" applyFill="1" applyBorder="1" applyAlignment="1">
      <alignment horizontal="center" vertical="center"/>
    </xf>
    <xf numFmtId="0" fontId="0" fillId="27" borderId="0" xfId="0" applyFill="1"/>
    <xf numFmtId="0" fontId="20" fillId="31" borderId="26" xfId="0" applyFont="1" applyFill="1" applyBorder="1" applyAlignment="1">
      <alignment horizontal="center" vertical="center"/>
    </xf>
    <xf numFmtId="0" fontId="80" fillId="31" borderId="23" xfId="0" applyFont="1" applyFill="1" applyBorder="1" applyAlignment="1">
      <alignment horizontal="center" vertical="center"/>
    </xf>
    <xf numFmtId="0" fontId="0" fillId="31" borderId="27" xfId="0" applyFill="1" applyBorder="1" applyAlignment="1">
      <alignment horizontal="center" vertical="center"/>
    </xf>
    <xf numFmtId="0" fontId="0" fillId="0" borderId="40" xfId="0" applyBorder="1"/>
    <xf numFmtId="0" fontId="0" fillId="0" borderId="27" xfId="0" applyBorder="1"/>
    <xf numFmtId="0" fontId="0" fillId="0" borderId="41" xfId="0" applyBorder="1"/>
    <xf numFmtId="0" fontId="78" fillId="31" borderId="34" xfId="0" applyFont="1" applyFill="1" applyBorder="1" applyAlignment="1">
      <alignment horizontal="center" vertical="center"/>
    </xf>
    <xf numFmtId="0" fontId="20" fillId="31" borderId="31" xfId="0" applyFont="1" applyFill="1" applyBorder="1" applyAlignment="1">
      <alignment horizontal="center"/>
    </xf>
    <xf numFmtId="0" fontId="0" fillId="31" borderId="31" xfId="0" applyFill="1" applyBorder="1" applyAlignment="1">
      <alignment horizontal="center"/>
    </xf>
    <xf numFmtId="0" fontId="20" fillId="31" borderId="42" xfId="0" applyFont="1" applyFill="1" applyBorder="1" applyAlignment="1">
      <alignment horizontal="center"/>
    </xf>
    <xf numFmtId="0" fontId="0" fillId="31" borderId="31" xfId="0" applyFill="1" applyBorder="1" applyAlignment="1">
      <alignment horizontal="center" vertical="center"/>
    </xf>
    <xf numFmtId="0" fontId="20" fillId="31" borderId="67" xfId="0" applyFont="1" applyFill="1" applyBorder="1" applyAlignment="1">
      <alignment horizontal="center"/>
    </xf>
    <xf numFmtId="0" fontId="17" fillId="31" borderId="68" xfId="0" applyFont="1" applyFill="1" applyBorder="1" applyAlignment="1">
      <alignment horizontal="center"/>
    </xf>
    <xf numFmtId="0" fontId="0" fillId="31" borderId="69" xfId="0" applyFill="1" applyBorder="1" applyAlignment="1">
      <alignment horizontal="center" vertical="center"/>
    </xf>
    <xf numFmtId="0" fontId="78" fillId="31" borderId="26" xfId="0" applyFont="1" applyFill="1" applyBorder="1" applyAlignment="1">
      <alignment horizontal="center" vertical="center"/>
    </xf>
    <xf numFmtId="0" fontId="20" fillId="31" borderId="26" xfId="0" applyFont="1" applyFill="1" applyBorder="1" applyAlignment="1">
      <alignment horizontal="center"/>
    </xf>
    <xf numFmtId="0" fontId="0" fillId="31" borderId="23" xfId="0" applyFill="1" applyBorder="1" applyAlignment="1">
      <alignment horizontal="center"/>
    </xf>
    <xf numFmtId="0" fontId="0" fillId="31" borderId="27" xfId="0" applyFill="1" applyBorder="1"/>
    <xf numFmtId="0" fontId="0" fillId="31" borderId="27" xfId="0" applyFill="1" applyBorder="1" applyAlignment="1">
      <alignment horizontal="center"/>
    </xf>
    <xf numFmtId="0" fontId="20" fillId="31" borderId="23" xfId="0" applyFont="1" applyFill="1" applyBorder="1" applyAlignment="1">
      <alignment horizontal="center" vertical="center"/>
    </xf>
    <xf numFmtId="0" fontId="78" fillId="31" borderId="31" xfId="0" applyFont="1" applyFill="1" applyBorder="1" applyAlignment="1">
      <alignment horizontal="center" vertical="center"/>
    </xf>
    <xf numFmtId="0" fontId="0" fillId="31" borderId="23" xfId="0" applyFill="1" applyBorder="1" applyAlignment="1">
      <alignment horizontal="center" vertical="center" wrapText="1"/>
    </xf>
    <xf numFmtId="0" fontId="0" fillId="31" borderId="27" xfId="0" applyFill="1" applyBorder="1" applyAlignment="1">
      <alignment horizontal="center" vertical="center" wrapText="1"/>
    </xf>
    <xf numFmtId="0" fontId="10" fillId="31" borderId="23" xfId="0" applyFont="1" applyFill="1" applyBorder="1" applyAlignment="1">
      <alignment horizontal="center" vertical="center"/>
    </xf>
    <xf numFmtId="0" fontId="10" fillId="31" borderId="27" xfId="0" applyFont="1" applyFill="1" applyBorder="1" applyAlignment="1">
      <alignment horizontal="center" vertical="center"/>
    </xf>
    <xf numFmtId="0" fontId="3" fillId="31" borderId="31" xfId="0" applyFont="1" applyFill="1" applyBorder="1" applyAlignment="1">
      <alignment horizontal="center"/>
    </xf>
    <xf numFmtId="0" fontId="3" fillId="31" borderId="39" xfId="0" applyFont="1" applyFill="1" applyBorder="1" applyAlignment="1">
      <alignment horizontal="center"/>
    </xf>
    <xf numFmtId="0" fontId="14" fillId="0" borderId="0" xfId="0" applyFont="1" applyBorder="1" applyAlignment="1">
      <alignment vertical="center" wrapText="1"/>
    </xf>
    <xf numFmtId="0" fontId="20" fillId="31" borderId="31" xfId="0" applyFont="1" applyFill="1" applyBorder="1" applyAlignment="1">
      <alignment horizontal="center" vertical="center"/>
    </xf>
    <xf numFmtId="0" fontId="0" fillId="31" borderId="39" xfId="0" applyFill="1" applyBorder="1" applyAlignment="1">
      <alignment horizontal="center"/>
    </xf>
    <xf numFmtId="0" fontId="78" fillId="26" borderId="33" xfId="0" applyFont="1" applyFill="1" applyBorder="1" applyAlignment="1">
      <alignment horizontal="center" vertical="center"/>
    </xf>
    <xf numFmtId="0" fontId="20" fillId="26" borderId="31" xfId="0" applyFont="1" applyFill="1" applyBorder="1" applyAlignment="1">
      <alignment horizontal="center" vertical="center"/>
    </xf>
    <xf numFmtId="0" fontId="0" fillId="26" borderId="31" xfId="0" applyFill="1" applyBorder="1" applyAlignment="1">
      <alignment horizontal="center" vertical="center"/>
    </xf>
    <xf numFmtId="0" fontId="0" fillId="26" borderId="39" xfId="0" applyFill="1" applyBorder="1" applyAlignment="1">
      <alignment horizontal="center" vertical="center"/>
    </xf>
    <xf numFmtId="0" fontId="78" fillId="26" borderId="42" xfId="0" applyFont="1" applyFill="1" applyBorder="1" applyAlignment="1">
      <alignment horizontal="center" vertical="center"/>
    </xf>
    <xf numFmtId="0" fontId="20" fillId="26" borderId="42" xfId="0" applyFont="1" applyFill="1" applyBorder="1" applyAlignment="1">
      <alignment horizontal="center"/>
    </xf>
    <xf numFmtId="0" fontId="0" fillId="26" borderId="31" xfId="0" applyFill="1" applyBorder="1" applyAlignment="1">
      <alignment horizontal="center"/>
    </xf>
    <xf numFmtId="0" fontId="0" fillId="26" borderId="39" xfId="0" applyFill="1" applyBorder="1" applyAlignment="1">
      <alignment horizontal="center"/>
    </xf>
    <xf numFmtId="0" fontId="0" fillId="26" borderId="0" xfId="0" applyFill="1" applyBorder="1" applyAlignment="1">
      <alignment horizontal="center" vertical="center"/>
    </xf>
    <xf numFmtId="0" fontId="10" fillId="26" borderId="0" xfId="0" applyFont="1" applyFill="1" applyBorder="1" applyAlignment="1">
      <alignment vertical="center" wrapText="1"/>
    </xf>
    <xf numFmtId="1" fontId="10" fillId="26" borderId="0" xfId="0" applyNumberFormat="1" applyFont="1" applyFill="1"/>
    <xf numFmtId="0" fontId="0" fillId="26" borderId="0" xfId="0" applyFill="1"/>
    <xf numFmtId="0" fontId="22" fillId="0" borderId="26" xfId="0" applyFont="1" applyFill="1" applyBorder="1" applyAlignment="1">
      <alignment horizontal="center" vertical="center"/>
    </xf>
    <xf numFmtId="0" fontId="0" fillId="0" borderId="23" xfId="0" applyFill="1" applyBorder="1" applyAlignment="1">
      <alignment horizontal="center" vertical="center"/>
    </xf>
    <xf numFmtId="0" fontId="17" fillId="31" borderId="27" xfId="0" applyFont="1" applyFill="1" applyBorder="1" applyAlignment="1">
      <alignment horizontal="center" vertical="center"/>
    </xf>
    <xf numFmtId="0" fontId="22" fillId="31" borderId="33" xfId="0" applyFont="1" applyFill="1" applyBorder="1" applyAlignment="1">
      <alignment horizontal="center" vertical="center"/>
    </xf>
    <xf numFmtId="0" fontId="22" fillId="31" borderId="31" xfId="0" applyFont="1" applyFill="1" applyBorder="1" applyAlignment="1">
      <alignment horizontal="center"/>
    </xf>
    <xf numFmtId="0" fontId="17" fillId="31" borderId="70" xfId="0" applyFont="1" applyFill="1" applyBorder="1" applyAlignment="1">
      <alignment horizontal="center"/>
    </xf>
    <xf numFmtId="0" fontId="17" fillId="31" borderId="27" xfId="0" applyFont="1" applyFill="1" applyBorder="1" applyAlignment="1">
      <alignment horizontal="center"/>
    </xf>
    <xf numFmtId="0" fontId="22" fillId="31" borderId="23" xfId="0" applyFont="1" applyFill="1" applyBorder="1" applyAlignment="1">
      <alignment horizontal="center"/>
    </xf>
    <xf numFmtId="0" fontId="17" fillId="31" borderId="23" xfId="0" applyFont="1" applyFill="1" applyBorder="1" applyAlignment="1">
      <alignment horizontal="center"/>
    </xf>
    <xf numFmtId="0" fontId="22" fillId="31" borderId="42" xfId="0" applyFont="1" applyFill="1" applyBorder="1" applyAlignment="1">
      <alignment horizontal="center" vertical="center"/>
    </xf>
    <xf numFmtId="0" fontId="22" fillId="31" borderId="42" xfId="0" applyFont="1" applyFill="1" applyBorder="1" applyAlignment="1">
      <alignment horizontal="center"/>
    </xf>
    <xf numFmtId="0" fontId="22" fillId="31" borderId="26" xfId="0" applyFont="1" applyFill="1" applyBorder="1" applyAlignment="1">
      <alignment horizontal="center" vertical="center"/>
    </xf>
    <xf numFmtId="0" fontId="22" fillId="31" borderId="26" xfId="0" applyFont="1" applyFill="1" applyBorder="1" applyAlignment="1">
      <alignment horizontal="center"/>
    </xf>
    <xf numFmtId="0" fontId="22" fillId="31" borderId="23" xfId="0" applyFont="1" applyFill="1" applyBorder="1" applyAlignment="1">
      <alignment horizontal="center" vertical="center"/>
    </xf>
    <xf numFmtId="0" fontId="22" fillId="31" borderId="31" xfId="0" applyFont="1" applyFill="1" applyBorder="1" applyAlignment="1">
      <alignment horizontal="center" vertical="center"/>
    </xf>
    <xf numFmtId="0" fontId="60" fillId="31" borderId="23" xfId="0" applyFont="1" applyFill="1" applyBorder="1" applyAlignment="1">
      <alignment horizontal="center"/>
    </xf>
    <xf numFmtId="0" fontId="60" fillId="31" borderId="27" xfId="0" applyFont="1" applyFill="1" applyBorder="1" applyAlignment="1">
      <alignment horizontal="center"/>
    </xf>
    <xf numFmtId="0" fontId="10" fillId="27" borderId="0" xfId="0" applyFont="1" applyFill="1"/>
    <xf numFmtId="0" fontId="81" fillId="31" borderId="42" xfId="0" applyFont="1" applyFill="1" applyBorder="1" applyAlignment="1">
      <alignment horizontal="center"/>
    </xf>
    <xf numFmtId="0" fontId="10" fillId="43" borderId="0" xfId="0" applyFont="1" applyFill="1"/>
    <xf numFmtId="2" fontId="14" fillId="0" borderId="31" xfId="0" applyNumberFormat="1" applyFont="1" applyFill="1" applyBorder="1" applyAlignment="1">
      <alignment vertical="center" wrapText="1"/>
    </xf>
    <xf numFmtId="0" fontId="0" fillId="31" borderId="23" xfId="0" applyFill="1" applyBorder="1" applyAlignment="1">
      <alignment horizontal="center" vertical="center"/>
    </xf>
    <xf numFmtId="0" fontId="14" fillId="0" borderId="31" xfId="0" applyFont="1" applyBorder="1" applyAlignment="1">
      <alignment vertical="center" wrapText="1"/>
    </xf>
    <xf numFmtId="0" fontId="5" fillId="31" borderId="31" xfId="0" applyFont="1" applyFill="1" applyBorder="1" applyAlignment="1">
      <alignment horizontal="center"/>
    </xf>
    <xf numFmtId="0" fontId="82" fillId="31" borderId="23" xfId="0" applyFont="1" applyFill="1" applyBorder="1" applyAlignment="1">
      <alignment horizontal="center" vertical="center"/>
    </xf>
    <xf numFmtId="0" fontId="22" fillId="0" borderId="33" xfId="0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horizontal="center" vertical="center"/>
    </xf>
    <xf numFmtId="0" fontId="83" fillId="31" borderId="26" xfId="0" applyFont="1" applyFill="1" applyBorder="1" applyAlignment="1">
      <alignment horizontal="center" vertical="center"/>
    </xf>
    <xf numFmtId="0" fontId="0" fillId="0" borderId="71" xfId="0" applyBorder="1"/>
    <xf numFmtId="0" fontId="0" fillId="0" borderId="72" xfId="0" applyBorder="1"/>
    <xf numFmtId="0" fontId="0" fillId="0" borderId="73" xfId="0" applyBorder="1"/>
    <xf numFmtId="0" fontId="0" fillId="0" borderId="74" xfId="0" applyBorder="1"/>
    <xf numFmtId="0" fontId="0" fillId="0" borderId="16" xfId="0" applyBorder="1"/>
    <xf numFmtId="0" fontId="17" fillId="31" borderId="23" xfId="0" applyFont="1" applyFill="1" applyBorder="1" applyAlignment="1">
      <alignment horizontal="center" vertical="center"/>
    </xf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4" fillId="27" borderId="31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0" fillId="0" borderId="0" xfId="0" applyFont="1" applyBorder="1" applyAlignment="1">
      <alignment vertical="center" wrapText="1"/>
    </xf>
    <xf numFmtId="1" fontId="10" fillId="0" borderId="37" xfId="0" applyNumberFormat="1" applyFont="1" applyFill="1" applyBorder="1" applyAlignment="1">
      <alignment vertical="center" wrapText="1"/>
    </xf>
    <xf numFmtId="1" fontId="10" fillId="0" borderId="0" xfId="0" applyNumberFormat="1" applyFont="1" applyFill="1" applyBorder="1" applyAlignment="1">
      <alignment vertical="center" wrapText="1"/>
    </xf>
    <xf numFmtId="0" fontId="77" fillId="0" borderId="33" xfId="0" applyFont="1" applyBorder="1" applyAlignment="1">
      <alignment horizontal="center"/>
    </xf>
    <xf numFmtId="0" fontId="77" fillId="0" borderId="40" xfId="0" applyFont="1" applyBorder="1" applyAlignment="1">
      <alignment horizontal="center"/>
    </xf>
    <xf numFmtId="1" fontId="10" fillId="0" borderId="0" xfId="0" applyNumberFormat="1" applyFont="1" applyBorder="1" applyAlignment="1">
      <alignment vertical="center" wrapText="1"/>
    </xf>
    <xf numFmtId="0" fontId="0" fillId="0" borderId="31" xfId="0" applyFill="1" applyBorder="1" applyAlignment="1">
      <alignment horizontal="center" vertical="center"/>
    </xf>
    <xf numFmtId="0" fontId="0" fillId="0" borderId="0" xfId="0" applyBorder="1" applyAlignment="1">
      <alignment vertical="center" wrapText="1"/>
    </xf>
    <xf numFmtId="2" fontId="4" fillId="0" borderId="0" xfId="0" applyNumberFormat="1" applyFont="1" applyBorder="1" applyAlignment="1">
      <alignment horizontal="center" vertical="center" wrapText="1"/>
    </xf>
    <xf numFmtId="2" fontId="0" fillId="0" borderId="0" xfId="0" applyNumberFormat="1" applyBorder="1" applyAlignment="1">
      <alignment vertical="center" wrapText="1"/>
    </xf>
    <xf numFmtId="2" fontId="84" fillId="0" borderId="0" xfId="0" applyNumberFormat="1" applyFont="1" applyBorder="1" applyAlignment="1">
      <alignment vertical="center" wrapText="1"/>
    </xf>
    <xf numFmtId="0" fontId="14" fillId="0" borderId="31" xfId="0" applyFont="1" applyFill="1" applyBorder="1" applyAlignment="1">
      <alignment horizontal="center" vertical="center"/>
    </xf>
    <xf numFmtId="2" fontId="85" fillId="0" borderId="0" xfId="0" applyNumberFormat="1" applyFont="1" applyBorder="1" applyAlignment="1">
      <alignment horizontal="center" vertical="center" wrapText="1"/>
    </xf>
    <xf numFmtId="2" fontId="86" fillId="0" borderId="0" xfId="0" applyNumberFormat="1" applyFont="1" applyBorder="1" applyAlignment="1">
      <alignment horizontal="center" vertical="center" wrapText="1"/>
    </xf>
    <xf numFmtId="0" fontId="19" fillId="44" borderId="74" xfId="0" applyFont="1" applyFill="1" applyBorder="1" applyAlignment="1">
      <alignment horizontal="center" vertical="center"/>
    </xf>
    <xf numFmtId="2" fontId="19" fillId="44" borderId="10" xfId="0" applyNumberFormat="1" applyFont="1" applyFill="1" applyBorder="1" applyAlignment="1">
      <alignment horizontal="center"/>
    </xf>
    <xf numFmtId="0" fontId="19" fillId="44" borderId="31" xfId="0" applyFont="1" applyFill="1" applyBorder="1" applyAlignment="1">
      <alignment horizontal="center" vertical="center"/>
    </xf>
    <xf numFmtId="1" fontId="19" fillId="44" borderId="15" xfId="0" applyNumberFormat="1" applyFont="1" applyFill="1" applyBorder="1" applyAlignment="1">
      <alignment horizontal="center"/>
    </xf>
    <xf numFmtId="0" fontId="0" fillId="0" borderId="31" xfId="0" applyBorder="1" applyAlignment="1">
      <alignment horizontal="center" vertical="center"/>
    </xf>
    <xf numFmtId="2" fontId="14" fillId="36" borderId="15" xfId="0" applyNumberFormat="1" applyFont="1" applyFill="1" applyBorder="1"/>
    <xf numFmtId="0" fontId="0" fillId="36" borderId="15" xfId="0" applyFill="1" applyBorder="1"/>
    <xf numFmtId="1" fontId="0" fillId="0" borderId="0" xfId="0" applyNumberFormat="1" applyAlignment="1">
      <alignment vertical="center" wrapText="1"/>
    </xf>
    <xf numFmtId="0" fontId="4" fillId="0" borderId="31" xfId="0" applyFont="1" applyBorder="1" applyAlignment="1">
      <alignment horizontal="center" vertical="center"/>
    </xf>
    <xf numFmtId="2" fontId="21" fillId="36" borderId="48" xfId="0" applyNumberFormat="1" applyFont="1" applyFill="1" applyBorder="1"/>
    <xf numFmtId="0" fontId="0" fillId="0" borderId="0" xfId="0" applyAlignment="1">
      <alignment vertical="center" wrapText="1"/>
    </xf>
    <xf numFmtId="2" fontId="21" fillId="36" borderId="11" xfId="0" applyNumberFormat="1" applyFont="1" applyFill="1" applyBorder="1"/>
    <xf numFmtId="0" fontId="87" fillId="24" borderId="10" xfId="0" applyFont="1" applyFill="1" applyBorder="1" applyAlignment="1">
      <alignment horizontal="center" vertical="center"/>
    </xf>
    <xf numFmtId="2" fontId="87" fillId="24" borderId="10" xfId="0" applyNumberFormat="1" applyFont="1" applyFill="1" applyBorder="1"/>
    <xf numFmtId="1" fontId="87" fillId="24" borderId="10" xfId="0" applyNumberFormat="1" applyFont="1" applyFill="1" applyBorder="1"/>
    <xf numFmtId="0" fontId="87" fillId="34" borderId="10" xfId="0" applyFont="1" applyFill="1" applyBorder="1" applyAlignment="1">
      <alignment horizontal="center" vertical="center"/>
    </xf>
    <xf numFmtId="2" fontId="88" fillId="34" borderId="10" xfId="0" applyNumberFormat="1" applyFont="1" applyFill="1" applyBorder="1"/>
    <xf numFmtId="1" fontId="88" fillId="34" borderId="10" xfId="0" applyNumberFormat="1" applyFont="1" applyFill="1" applyBorder="1"/>
    <xf numFmtId="1" fontId="87" fillId="34" borderId="10" xfId="0" applyNumberFormat="1" applyFont="1" applyFill="1" applyBorder="1"/>
    <xf numFmtId="0" fontId="73" fillId="27" borderId="10" xfId="0" applyFont="1" applyFill="1" applyBorder="1" applyAlignment="1">
      <alignment horizontal="center" vertical="center"/>
    </xf>
    <xf numFmtId="1" fontId="73" fillId="27" borderId="10" xfId="0" applyNumberFormat="1" applyFont="1" applyFill="1" applyBorder="1"/>
    <xf numFmtId="0" fontId="73" fillId="0" borderId="31" xfId="0" applyFont="1" applyBorder="1" applyAlignment="1">
      <alignment horizontal="center" vertical="center"/>
    </xf>
    <xf numFmtId="0" fontId="89" fillId="0" borderId="0" xfId="0" applyFont="1" applyBorder="1" applyAlignment="1">
      <alignment horizontal="center" vertical="center"/>
    </xf>
    <xf numFmtId="0" fontId="72" fillId="0" borderId="0" xfId="0" applyFont="1" applyBorder="1"/>
    <xf numFmtId="0" fontId="90" fillId="0" borderId="31" xfId="0" applyFont="1" applyFill="1" applyBorder="1" applyAlignment="1">
      <alignment horizontal="center" vertical="center"/>
    </xf>
    <xf numFmtId="0" fontId="91" fillId="0" borderId="31" xfId="0" applyFont="1" applyFill="1" applyBorder="1" applyAlignment="1">
      <alignment horizontal="center" vertical="center"/>
    </xf>
    <xf numFmtId="0" fontId="12" fillId="0" borderId="31" xfId="0" applyFont="1" applyFill="1" applyBorder="1" applyAlignment="1">
      <alignment horizontal="center" vertical="center"/>
    </xf>
    <xf numFmtId="0" fontId="79" fillId="0" borderId="31" xfId="0" applyFont="1" applyFill="1" applyBorder="1" applyAlignment="1">
      <alignment horizontal="center" vertical="center"/>
    </xf>
    <xf numFmtId="0" fontId="88" fillId="0" borderId="31" xfId="0" applyFont="1" applyFill="1" applyBorder="1" applyAlignment="1">
      <alignment horizontal="center" vertical="center"/>
    </xf>
    <xf numFmtId="0" fontId="92" fillId="0" borderId="31" xfId="0" applyFont="1" applyFill="1" applyBorder="1" applyAlignment="1">
      <alignment horizontal="center" vertical="center"/>
    </xf>
    <xf numFmtId="0" fontId="73" fillId="0" borderId="31" xfId="0" applyFont="1" applyFill="1" applyBorder="1" applyAlignment="1">
      <alignment horizontal="center" vertical="center"/>
    </xf>
    <xf numFmtId="0" fontId="0" fillId="0" borderId="39" xfId="0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78" fillId="0" borderId="0" xfId="0" applyFont="1" applyAlignment="1">
      <alignment horizontal="center"/>
    </xf>
    <xf numFmtId="0" fontId="93" fillId="0" borderId="0" xfId="0" applyFont="1"/>
    <xf numFmtId="0" fontId="78" fillId="0" borderId="0" xfId="0" applyFont="1"/>
    <xf numFmtId="2" fontId="93" fillId="0" borderId="0" xfId="0" applyNumberFormat="1" applyFont="1" applyAlignment="1">
      <alignment horizontal="center"/>
    </xf>
    <xf numFmtId="0" fontId="14" fillId="0" borderId="0" xfId="0" applyFont="1"/>
    <xf numFmtId="0" fontId="93" fillId="0" borderId="0" xfId="0" applyFont="1" applyAlignment="1">
      <alignment horizontal="center"/>
    </xf>
    <xf numFmtId="0" fontId="20" fillId="0" borderId="15" xfId="0" applyFont="1" applyBorder="1" applyAlignment="1">
      <alignment horizontal="center"/>
    </xf>
    <xf numFmtId="0" fontId="94" fillId="0" borderId="15" xfId="0" applyFont="1" applyBorder="1" applyAlignment="1">
      <alignment horizontal="center"/>
    </xf>
    <xf numFmtId="0" fontId="78" fillId="0" borderId="11" xfId="0" applyFont="1" applyBorder="1" applyAlignment="1">
      <alignment horizontal="center"/>
    </xf>
    <xf numFmtId="0" fontId="93" fillId="0" borderId="48" xfId="0" applyFont="1" applyBorder="1"/>
    <xf numFmtId="2" fontId="72" fillId="0" borderId="48" xfId="0" applyNumberFormat="1" applyFont="1" applyBorder="1" applyAlignment="1">
      <alignment horizontal="center"/>
    </xf>
    <xf numFmtId="2" fontId="93" fillId="0" borderId="48" xfId="0" applyNumberFormat="1" applyFont="1" applyBorder="1" applyAlignment="1">
      <alignment horizontal="center"/>
    </xf>
    <xf numFmtId="2" fontId="72" fillId="0" borderId="47" xfId="0" applyNumberFormat="1" applyFont="1" applyBorder="1" applyAlignment="1">
      <alignment horizontal="center"/>
    </xf>
    <xf numFmtId="0" fontId="93" fillId="0" borderId="48" xfId="0" applyFont="1" applyBorder="1" applyAlignment="1">
      <alignment horizontal="center"/>
    </xf>
    <xf numFmtId="0" fontId="93" fillId="0" borderId="11" xfId="0" applyFont="1" applyBorder="1"/>
    <xf numFmtId="2" fontId="72" fillId="0" borderId="11" xfId="0" applyNumberFormat="1" applyFont="1" applyBorder="1" applyAlignment="1">
      <alignment horizontal="center"/>
    </xf>
    <xf numFmtId="2" fontId="93" fillId="0" borderId="11" xfId="0" applyNumberFormat="1" applyFont="1" applyBorder="1" applyAlignment="1">
      <alignment horizontal="center"/>
    </xf>
    <xf numFmtId="0" fontId="78" fillId="28" borderId="13" xfId="0" applyFont="1" applyFill="1" applyBorder="1"/>
    <xf numFmtId="2" fontId="20" fillId="28" borderId="18" xfId="0" applyNumberFormat="1" applyFont="1" applyFill="1" applyBorder="1" applyAlignment="1">
      <alignment horizontal="center"/>
    </xf>
    <xf numFmtId="2" fontId="78" fillId="28" borderId="12" xfId="0" applyNumberFormat="1" applyFont="1" applyFill="1" applyBorder="1" applyAlignment="1">
      <alignment horizontal="center"/>
    </xf>
    <xf numFmtId="2" fontId="72" fillId="0" borderId="19" xfId="0" applyNumberFormat="1" applyFont="1" applyBorder="1" applyAlignment="1">
      <alignment horizontal="center"/>
    </xf>
    <xf numFmtId="2" fontId="78" fillId="28" borderId="18" xfId="0" applyNumberFormat="1" applyFont="1" applyFill="1" applyBorder="1" applyAlignment="1">
      <alignment horizontal="center"/>
    </xf>
    <xf numFmtId="0" fontId="72" fillId="0" borderId="48" xfId="0" applyFont="1" applyBorder="1" applyAlignment="1">
      <alignment horizontal="center"/>
    </xf>
    <xf numFmtId="0" fontId="72" fillId="0" borderId="11" xfId="0" applyFont="1" applyBorder="1" applyAlignment="1">
      <alignment horizontal="center"/>
    </xf>
    <xf numFmtId="2" fontId="78" fillId="0" borderId="0" xfId="0" applyNumberFormat="1" applyFont="1" applyAlignment="1">
      <alignment horizontal="center"/>
    </xf>
    <xf numFmtId="0" fontId="93" fillId="0" borderId="15" xfId="0" applyFont="1" applyBorder="1"/>
    <xf numFmtId="2" fontId="72" fillId="0" borderId="15" xfId="0" applyNumberFormat="1" applyFont="1" applyBorder="1" applyAlignment="1">
      <alignment horizontal="center"/>
    </xf>
    <xf numFmtId="2" fontId="93" fillId="0" borderId="15" xfId="0" applyNumberFormat="1" applyFont="1" applyBorder="1" applyAlignment="1">
      <alignment horizontal="center"/>
    </xf>
    <xf numFmtId="0" fontId="78" fillId="0" borderId="15" xfId="0" applyFont="1" applyBorder="1" applyAlignment="1">
      <alignment horizontal="center"/>
    </xf>
    <xf numFmtId="0" fontId="95" fillId="0" borderId="15" xfId="0" applyFont="1" applyBorder="1" applyAlignment="1">
      <alignment horizontal="center"/>
    </xf>
    <xf numFmtId="0" fontId="78" fillId="0" borderId="22" xfId="0" applyFont="1" applyBorder="1" applyAlignment="1">
      <alignment horizontal="center"/>
    </xf>
    <xf numFmtId="0" fontId="78" fillId="0" borderId="48" xfId="0" applyFont="1" applyBorder="1"/>
    <xf numFmtId="164" fontId="78" fillId="0" borderId="0" xfId="0" applyNumberFormat="1" applyFont="1" applyBorder="1" applyAlignment="1">
      <alignment horizontal="center"/>
    </xf>
    <xf numFmtId="2" fontId="78" fillId="0" borderId="48" xfId="0" applyNumberFormat="1" applyFont="1" applyBorder="1" applyAlignment="1">
      <alignment horizontal="center"/>
    </xf>
    <xf numFmtId="0" fontId="78" fillId="0" borderId="11" xfId="0" applyFont="1" applyBorder="1"/>
    <xf numFmtId="164" fontId="78" fillId="0" borderId="22" xfId="0" applyNumberFormat="1" applyFont="1" applyBorder="1" applyAlignment="1">
      <alignment horizontal="center"/>
    </xf>
    <xf numFmtId="2" fontId="78" fillId="0" borderId="11" xfId="0" applyNumberFormat="1" applyFont="1" applyBorder="1" applyAlignment="1">
      <alignment horizontal="center"/>
    </xf>
    <xf numFmtId="0" fontId="93" fillId="0" borderId="22" xfId="0" applyFont="1" applyBorder="1"/>
    <xf numFmtId="2" fontId="93" fillId="0" borderId="22" xfId="0" applyNumberFormat="1" applyFont="1" applyBorder="1" applyAlignment="1">
      <alignment horizontal="center"/>
    </xf>
    <xf numFmtId="0" fontId="78" fillId="0" borderId="44" xfId="0" applyFont="1" applyBorder="1" applyAlignment="1">
      <alignment horizontal="center"/>
    </xf>
    <xf numFmtId="0" fontId="78" fillId="0" borderId="48" xfId="0" applyFont="1" applyBorder="1" applyAlignment="1">
      <alignment horizontal="center"/>
    </xf>
    <xf numFmtId="0" fontId="95" fillId="0" borderId="48" xfId="0" applyFont="1" applyBorder="1" applyAlignment="1">
      <alignment horizontal="center"/>
    </xf>
    <xf numFmtId="0" fontId="78" fillId="0" borderId="14" xfId="0" applyFont="1" applyBorder="1" applyAlignment="1">
      <alignment horizontal="center"/>
    </xf>
    <xf numFmtId="2" fontId="78" fillId="0" borderId="44" xfId="0" applyNumberFormat="1" applyFont="1" applyBorder="1" applyAlignment="1">
      <alignment horizontal="center"/>
    </xf>
    <xf numFmtId="0" fontId="78" fillId="0" borderId="0" xfId="0" applyFont="1" applyBorder="1" applyAlignment="1">
      <alignment horizontal="center"/>
    </xf>
    <xf numFmtId="2" fontId="78" fillId="0" borderId="14" xfId="0" applyNumberFormat="1" applyFont="1" applyBorder="1" applyAlignment="1">
      <alignment horizontal="center"/>
    </xf>
    <xf numFmtId="0" fontId="93" fillId="0" borderId="0" xfId="0" applyFont="1" applyBorder="1"/>
    <xf numFmtId="2" fontId="93" fillId="0" borderId="0" xfId="0" applyNumberFormat="1" applyFont="1" applyBorder="1" applyAlignment="1">
      <alignment horizontal="center"/>
    </xf>
    <xf numFmtId="0" fontId="95" fillId="0" borderId="47" xfId="0" applyFont="1" applyBorder="1" applyAlignment="1">
      <alignment horizontal="center"/>
    </xf>
    <xf numFmtId="0" fontId="78" fillId="0" borderId="19" xfId="0" applyFont="1" applyBorder="1" applyAlignment="1">
      <alignment horizontal="center"/>
    </xf>
    <xf numFmtId="0" fontId="20" fillId="0" borderId="44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20" fillId="0" borderId="48" xfId="0" applyFont="1" applyBorder="1" applyAlignment="1">
      <alignment horizontal="center"/>
    </xf>
    <xf numFmtId="2" fontId="20" fillId="0" borderId="14" xfId="0" applyNumberFormat="1" applyFont="1" applyBorder="1" applyAlignment="1">
      <alignment horizontal="center"/>
    </xf>
    <xf numFmtId="0" fontId="20" fillId="0" borderId="22" xfId="0" applyFont="1" applyBorder="1" applyAlignment="1">
      <alignment horizontal="center"/>
    </xf>
    <xf numFmtId="0" fontId="20" fillId="0" borderId="11" xfId="0" applyFont="1" applyBorder="1" applyAlignment="1">
      <alignment horizontal="center"/>
    </xf>
    <xf numFmtId="2" fontId="0" fillId="0" borderId="48" xfId="0" applyNumberFormat="1" applyBorder="1" applyAlignment="1">
      <alignment horizontal="center"/>
    </xf>
    <xf numFmtId="0" fontId="95" fillId="31" borderId="15" xfId="0" applyFont="1" applyFill="1" applyBorder="1" applyAlignment="1">
      <alignment horizontal="center"/>
    </xf>
    <xf numFmtId="0" fontId="78" fillId="31" borderId="11" xfId="0" applyFont="1" applyFill="1" applyBorder="1" applyAlignment="1">
      <alignment horizontal="center"/>
    </xf>
    <xf numFmtId="0" fontId="19" fillId="39" borderId="13" xfId="0" applyFont="1" applyFill="1" applyBorder="1"/>
    <xf numFmtId="0" fontId="19" fillId="39" borderId="20" xfId="0" applyFont="1" applyFill="1" applyBorder="1"/>
    <xf numFmtId="2" fontId="78" fillId="28" borderId="10" xfId="0" applyNumberFormat="1" applyFont="1" applyFill="1" applyBorder="1" applyAlignment="1">
      <alignment horizontal="center"/>
    </xf>
    <xf numFmtId="2" fontId="78" fillId="31" borderId="0" xfId="0" applyNumberFormat="1" applyFont="1" applyFill="1" applyBorder="1" applyAlignment="1">
      <alignment horizontal="center"/>
    </xf>
    <xf numFmtId="165" fontId="0" fillId="0" borderId="48" xfId="0" applyNumberFormat="1" applyBorder="1" applyAlignment="1">
      <alignment horizontal="center"/>
    </xf>
    <xf numFmtId="0" fontId="0" fillId="31" borderId="39" xfId="0" applyFill="1" applyBorder="1"/>
    <xf numFmtId="0" fontId="0" fillId="31" borderId="40" xfId="0" applyFill="1" applyBorder="1"/>
    <xf numFmtId="0" fontId="0" fillId="31" borderId="26" xfId="0" applyFill="1" applyBorder="1"/>
    <xf numFmtId="0" fontId="0" fillId="31" borderId="23" xfId="0" applyFill="1" applyBorder="1"/>
    <xf numFmtId="0" fontId="0" fillId="34" borderId="42" xfId="0" applyFill="1" applyBorder="1"/>
    <xf numFmtId="0" fontId="0" fillId="34" borderId="31" xfId="0" applyFill="1" applyBorder="1"/>
    <xf numFmtId="0" fontId="0" fillId="34" borderId="39" xfId="0" applyFill="1" applyBorder="1"/>
    <xf numFmtId="0" fontId="0" fillId="0" borderId="0" xfId="0" applyBorder="1" applyAlignment="1">
      <alignment horizontal="left"/>
    </xf>
    <xf numFmtId="0" fontId="20" fillId="45" borderId="31" xfId="0" applyFont="1" applyFill="1" applyBorder="1"/>
    <xf numFmtId="2" fontId="96" fillId="0" borderId="10" xfId="0" applyNumberFormat="1" applyFont="1" applyFill="1" applyBorder="1" applyAlignment="1">
      <alignment horizontal="center"/>
    </xf>
    <xf numFmtId="0" fontId="0" fillId="45" borderId="0" xfId="0" applyFill="1" applyBorder="1"/>
    <xf numFmtId="0" fontId="0" fillId="45" borderId="37" xfId="0" applyFill="1" applyBorder="1"/>
    <xf numFmtId="0" fontId="0" fillId="45" borderId="38" xfId="0" applyFill="1" applyBorder="1"/>
    <xf numFmtId="0" fontId="0" fillId="45" borderId="32" xfId="0" applyFill="1" applyBorder="1"/>
    <xf numFmtId="0" fontId="0" fillId="45" borderId="31" xfId="0" applyFill="1" applyBorder="1"/>
    <xf numFmtId="2" fontId="20" fillId="45" borderId="68" xfId="0" applyNumberFormat="1" applyFont="1" applyFill="1" applyBorder="1" applyAlignment="1">
      <alignment horizontal="center"/>
    </xf>
    <xf numFmtId="2" fontId="10" fillId="31" borderId="12" xfId="0" applyNumberFormat="1" applyFont="1" applyFill="1" applyBorder="1" applyAlignment="1">
      <alignment horizontal="center"/>
    </xf>
    <xf numFmtId="0" fontId="0" fillId="49" borderId="0" xfId="0" applyFill="1"/>
    <xf numFmtId="0" fontId="0" fillId="50" borderId="0" xfId="0" applyFill="1"/>
    <xf numFmtId="0" fontId="0" fillId="51" borderId="0" xfId="0" applyFill="1"/>
    <xf numFmtId="0" fontId="0" fillId="52" borderId="0" xfId="0" applyFill="1"/>
    <xf numFmtId="0" fontId="0" fillId="53" borderId="0" xfId="0" applyFill="1"/>
    <xf numFmtId="0" fontId="21" fillId="31" borderId="42" xfId="0" applyFont="1" applyFill="1" applyBorder="1"/>
    <xf numFmtId="2" fontId="21" fillId="31" borderId="37" xfId="0" applyNumberFormat="1" applyFont="1" applyFill="1" applyBorder="1" applyAlignment="1">
      <alignment horizontal="center"/>
    </xf>
    <xf numFmtId="2" fontId="21" fillId="31" borderId="38" xfId="0" applyNumberFormat="1" applyFont="1" applyFill="1" applyBorder="1" applyAlignment="1">
      <alignment horizontal="center"/>
    </xf>
    <xf numFmtId="15" fontId="97" fillId="27" borderId="0" xfId="0" applyNumberFormat="1" applyFont="1" applyFill="1" applyBorder="1" applyAlignment="1">
      <alignment horizontal="center"/>
    </xf>
    <xf numFmtId="0" fontId="0" fillId="45" borderId="0" xfId="0" applyFill="1"/>
    <xf numFmtId="0" fontId="0" fillId="54" borderId="0" xfId="0" applyFill="1"/>
    <xf numFmtId="15" fontId="3" fillId="31" borderId="26" xfId="0" applyNumberFormat="1" applyFont="1" applyFill="1" applyBorder="1" applyAlignment="1">
      <alignment horizontal="center"/>
    </xf>
    <xf numFmtId="15" fontId="3" fillId="31" borderId="23" xfId="0" applyNumberFormat="1" applyFont="1" applyFill="1" applyBorder="1" applyAlignment="1">
      <alignment horizontal="center"/>
    </xf>
    <xf numFmtId="0" fontId="21" fillId="36" borderId="72" xfId="0" applyFont="1" applyFill="1" applyBorder="1" applyAlignment="1">
      <alignment horizontal="center"/>
    </xf>
    <xf numFmtId="0" fontId="66" fillId="36" borderId="72" xfId="0" applyFont="1" applyFill="1" applyBorder="1" applyAlignment="1">
      <alignment horizontal="center"/>
    </xf>
    <xf numFmtId="0" fontId="50" fillId="36" borderId="72" xfId="0" applyFont="1" applyFill="1" applyBorder="1" applyAlignment="1">
      <alignment horizontal="center"/>
    </xf>
    <xf numFmtId="0" fontId="66" fillId="36" borderId="73" xfId="0" applyFont="1" applyFill="1" applyBorder="1" applyAlignment="1">
      <alignment horizontal="center"/>
    </xf>
    <xf numFmtId="0" fontId="50" fillId="36" borderId="16" xfId="0" applyFont="1" applyFill="1" applyBorder="1" applyAlignment="1">
      <alignment horizontal="center"/>
    </xf>
    <xf numFmtId="2" fontId="10" fillId="31" borderId="16" xfId="0" applyNumberFormat="1" applyFont="1" applyFill="1" applyBorder="1" applyAlignment="1">
      <alignment horizontal="center"/>
    </xf>
    <xf numFmtId="16" fontId="67" fillId="36" borderId="28" xfId="0" applyNumberFormat="1" applyFont="1" applyFill="1" applyBorder="1" applyAlignment="1">
      <alignment horizontal="center"/>
    </xf>
    <xf numFmtId="2" fontId="21" fillId="36" borderId="29" xfId="0" applyNumberFormat="1" applyFont="1" applyFill="1" applyBorder="1" applyAlignment="1">
      <alignment horizontal="center"/>
    </xf>
    <xf numFmtId="2" fontId="21" fillId="36" borderId="30" xfId="0" applyNumberFormat="1" applyFont="1" applyFill="1" applyBorder="1" applyAlignment="1">
      <alignment horizontal="center"/>
    </xf>
    <xf numFmtId="0" fontId="28" fillId="27" borderId="33" xfId="0" applyFont="1" applyFill="1" applyBorder="1" applyAlignment="1">
      <alignment horizontal="center" vertical="center" wrapText="1"/>
    </xf>
    <xf numFmtId="0" fontId="28" fillId="27" borderId="35" xfId="0" applyFont="1" applyFill="1" applyBorder="1" applyAlignment="1">
      <alignment horizontal="center" vertical="center" wrapText="1"/>
    </xf>
    <xf numFmtId="15" fontId="4" fillId="53" borderId="0" xfId="0" applyNumberFormat="1" applyFont="1" applyFill="1" applyBorder="1" applyAlignment="1">
      <alignment horizontal="center" vertical="center" wrapText="1"/>
    </xf>
    <xf numFmtId="2" fontId="0" fillId="53" borderId="0" xfId="0" applyNumberFormat="1" applyFill="1" applyBorder="1" applyAlignment="1">
      <alignment horizontal="center"/>
    </xf>
    <xf numFmtId="0" fontId="4" fillId="48" borderId="0" xfId="0" applyFont="1" applyFill="1" applyBorder="1"/>
    <xf numFmtId="16" fontId="67" fillId="36" borderId="64" xfId="0" applyNumberFormat="1" applyFont="1" applyFill="1" applyBorder="1" applyAlignment="1">
      <alignment horizontal="center"/>
    </xf>
    <xf numFmtId="2" fontId="0" fillId="45" borderId="0" xfId="0" applyNumberFormat="1" applyFill="1"/>
    <xf numFmtId="0" fontId="5" fillId="45" borderId="0" xfId="0" applyFont="1" applyFill="1"/>
    <xf numFmtId="15" fontId="3" fillId="45" borderId="26" xfId="0" applyNumberFormat="1" applyFont="1" applyFill="1" applyBorder="1" applyAlignment="1">
      <alignment horizontal="center"/>
    </xf>
    <xf numFmtId="15" fontId="3" fillId="45" borderId="23" xfId="0" applyNumberFormat="1" applyFont="1" applyFill="1" applyBorder="1" applyAlignment="1">
      <alignment horizontal="center"/>
    </xf>
    <xf numFmtId="15" fontId="10" fillId="45" borderId="23" xfId="0" applyNumberFormat="1" applyFont="1" applyFill="1" applyBorder="1" applyAlignment="1">
      <alignment horizontal="center"/>
    </xf>
    <xf numFmtId="15" fontId="10" fillId="45" borderId="26" xfId="0" applyNumberFormat="1" applyFont="1" applyFill="1" applyBorder="1" applyAlignment="1">
      <alignment horizontal="center"/>
    </xf>
    <xf numFmtId="0" fontId="4" fillId="53" borderId="0" xfId="0" applyFont="1" applyFill="1" applyBorder="1"/>
    <xf numFmtId="0" fontId="3" fillId="0" borderId="0" xfId="42"/>
    <xf numFmtId="0" fontId="3" fillId="45" borderId="0" xfId="42" applyFill="1"/>
    <xf numFmtId="2" fontId="4" fillId="45" borderId="0" xfId="42" applyNumberFormat="1" applyFont="1" applyFill="1" applyBorder="1" applyAlignment="1">
      <alignment horizontal="center"/>
    </xf>
    <xf numFmtId="0" fontId="3" fillId="45" borderId="33" xfId="42" applyFill="1" applyBorder="1"/>
    <xf numFmtId="0" fontId="103" fillId="46" borderId="34" xfId="42" applyFont="1" applyFill="1" applyBorder="1" applyAlignment="1">
      <alignment horizontal="center" vertical="center" wrapText="1"/>
    </xf>
    <xf numFmtId="0" fontId="104" fillId="0" borderId="33" xfId="42" applyFont="1" applyBorder="1"/>
    <xf numFmtId="0" fontId="103" fillId="55" borderId="42" xfId="42" applyFont="1" applyFill="1" applyBorder="1" applyAlignment="1">
      <alignment horizontal="center" vertical="center" wrapText="1"/>
    </xf>
    <xf numFmtId="0" fontId="3" fillId="0" borderId="26" xfId="42" applyBorder="1"/>
    <xf numFmtId="0" fontId="103" fillId="46" borderId="42" xfId="42" applyFont="1" applyFill="1" applyBorder="1" applyAlignment="1">
      <alignment horizontal="center" vertical="center" wrapText="1"/>
    </xf>
    <xf numFmtId="0" fontId="3" fillId="45" borderId="26" xfId="42" applyFill="1" applyBorder="1"/>
    <xf numFmtId="0" fontId="102" fillId="0" borderId="42" xfId="42" applyFont="1" applyBorder="1" applyAlignment="1">
      <alignment horizontal="center"/>
    </xf>
    <xf numFmtId="0" fontId="104" fillId="48" borderId="42" xfId="42" applyFont="1" applyFill="1" applyBorder="1" applyAlignment="1">
      <alignment horizontal="center"/>
    </xf>
    <xf numFmtId="0" fontId="104" fillId="0" borderId="26" xfId="42" applyFont="1" applyBorder="1"/>
    <xf numFmtId="0" fontId="104" fillId="48" borderId="76" xfId="42" applyFont="1" applyFill="1" applyBorder="1" applyAlignment="1">
      <alignment horizontal="center"/>
    </xf>
    <xf numFmtId="0" fontId="3" fillId="0" borderId="23" xfId="42" applyBorder="1"/>
    <xf numFmtId="0" fontId="104" fillId="48" borderId="33" xfId="42" applyFont="1" applyFill="1" applyBorder="1" applyAlignment="1">
      <alignment horizontal="center"/>
    </xf>
    <xf numFmtId="0" fontId="104" fillId="48" borderId="26" xfId="42" applyFont="1" applyFill="1" applyBorder="1" applyAlignment="1">
      <alignment horizontal="center"/>
    </xf>
    <xf numFmtId="0" fontId="104" fillId="48" borderId="38" xfId="42" applyFont="1" applyFill="1" applyBorder="1" applyAlignment="1">
      <alignment horizontal="center"/>
    </xf>
    <xf numFmtId="0" fontId="3" fillId="45" borderId="23" xfId="42" applyFill="1" applyBorder="1"/>
    <xf numFmtId="0" fontId="104" fillId="0" borderId="76" xfId="42" applyFont="1" applyBorder="1"/>
    <xf numFmtId="167" fontId="3" fillId="0" borderId="82" xfId="42" applyNumberFormat="1" applyBorder="1"/>
    <xf numFmtId="167" fontId="3" fillId="0" borderId="23" xfId="42" applyNumberFormat="1" applyBorder="1"/>
    <xf numFmtId="167" fontId="3" fillId="0" borderId="78" xfId="42" applyNumberFormat="1" applyBorder="1"/>
    <xf numFmtId="167" fontId="3" fillId="0" borderId="77" xfId="42" applyNumberFormat="1" applyBorder="1"/>
    <xf numFmtId="0" fontId="104" fillId="0" borderId="82" xfId="42" applyFont="1" applyBorder="1"/>
    <xf numFmtId="167" fontId="3" fillId="0" borderId="83" xfId="42" applyNumberFormat="1" applyBorder="1"/>
    <xf numFmtId="167" fontId="3" fillId="0" borderId="84" xfId="42" applyNumberFormat="1" applyBorder="1"/>
    <xf numFmtId="167" fontId="3" fillId="0" borderId="85" xfId="42" applyNumberFormat="1" applyBorder="1"/>
    <xf numFmtId="0" fontId="104" fillId="0" borderId="86" xfId="42" applyFont="1" applyBorder="1"/>
    <xf numFmtId="167" fontId="3" fillId="0" borderId="86" xfId="42" applyNumberFormat="1" applyBorder="1"/>
    <xf numFmtId="167" fontId="3" fillId="0" borderId="79" xfId="42" applyNumberFormat="1" applyBorder="1"/>
    <xf numFmtId="0" fontId="3" fillId="0" borderId="27" xfId="42" applyBorder="1"/>
    <xf numFmtId="167" fontId="3" fillId="0" borderId="87" xfId="42" applyNumberFormat="1" applyBorder="1"/>
    <xf numFmtId="0" fontId="3" fillId="45" borderId="27" xfId="42" applyFill="1" applyBorder="1"/>
    <xf numFmtId="0" fontId="3" fillId="45" borderId="0" xfId="42" applyFill="1" applyBorder="1"/>
    <xf numFmtId="0" fontId="105" fillId="45" borderId="0" xfId="42" applyFont="1" applyFill="1" applyBorder="1"/>
    <xf numFmtId="0" fontId="103" fillId="45" borderId="0" xfId="42" applyFont="1" applyFill="1" applyBorder="1" applyAlignment="1">
      <alignment horizontal="center" vertical="center" wrapText="1"/>
    </xf>
    <xf numFmtId="2" fontId="105" fillId="45" borderId="0" xfId="42" applyNumberFormat="1" applyFont="1" applyFill="1" applyBorder="1" applyAlignment="1">
      <alignment horizontal="center"/>
    </xf>
    <xf numFmtId="0" fontId="102" fillId="45" borderId="34" xfId="42" applyFont="1" applyFill="1" applyBorder="1" applyAlignment="1">
      <alignment horizontal="center" vertical="center" wrapText="1"/>
    </xf>
    <xf numFmtId="0" fontId="103" fillId="45" borderId="42" xfId="42" applyFont="1" applyFill="1" applyBorder="1" applyAlignment="1">
      <alignment horizontal="center" vertical="center" wrapText="1"/>
    </xf>
    <xf numFmtId="0" fontId="104" fillId="45" borderId="31" xfId="42" applyFont="1" applyFill="1" applyBorder="1" applyAlignment="1">
      <alignment horizontal="center"/>
    </xf>
    <xf numFmtId="167" fontId="3" fillId="45" borderId="31" xfId="42" applyNumberFormat="1" applyFill="1" applyBorder="1"/>
    <xf numFmtId="167" fontId="3" fillId="45" borderId="86" xfId="42" applyNumberFormat="1" applyFill="1" applyBorder="1"/>
    <xf numFmtId="0" fontId="103" fillId="46" borderId="33" xfId="42" applyFont="1" applyFill="1" applyBorder="1" applyAlignment="1">
      <alignment horizontal="center" vertical="center" wrapText="1"/>
    </xf>
    <xf numFmtId="0" fontId="103" fillId="55" borderId="33" xfId="42" applyFont="1" applyFill="1" applyBorder="1" applyAlignment="1">
      <alignment horizontal="center" vertical="center" wrapText="1"/>
    </xf>
    <xf numFmtId="0" fontId="104" fillId="0" borderId="37" xfId="42" applyFont="1" applyBorder="1"/>
    <xf numFmtId="0" fontId="103" fillId="55" borderId="26" xfId="42" applyFont="1" applyFill="1" applyBorder="1" applyAlignment="1">
      <alignment horizontal="center" vertical="center" wrapText="1"/>
    </xf>
    <xf numFmtId="167" fontId="3" fillId="45" borderId="0" xfId="42" applyNumberFormat="1" applyFill="1" applyBorder="1"/>
    <xf numFmtId="167" fontId="3" fillId="45" borderId="40" xfId="42" applyNumberFormat="1" applyFill="1" applyBorder="1"/>
    <xf numFmtId="167" fontId="3" fillId="0" borderId="0" xfId="42" applyNumberFormat="1" applyBorder="1"/>
    <xf numFmtId="167" fontId="3" fillId="0" borderId="40" xfId="42" applyNumberFormat="1" applyBorder="1"/>
    <xf numFmtId="0" fontId="100" fillId="45" borderId="0" xfId="42" applyFont="1" applyFill="1" applyAlignment="1">
      <alignment vertical="top"/>
    </xf>
    <xf numFmtId="167" fontId="4" fillId="45" borderId="0" xfId="42" applyNumberFormat="1" applyFont="1" applyFill="1" applyBorder="1" applyAlignment="1">
      <alignment horizontal="center"/>
    </xf>
    <xf numFmtId="0" fontId="111" fillId="45" borderId="0" xfId="42" applyFont="1" applyFill="1" applyBorder="1" applyAlignment="1">
      <alignment horizontal="center"/>
    </xf>
    <xf numFmtId="17" fontId="112" fillId="45" borderId="0" xfId="42" applyNumberFormat="1" applyFont="1" applyFill="1" applyBorder="1" applyAlignment="1">
      <alignment horizontal="center"/>
    </xf>
    <xf numFmtId="167" fontId="113" fillId="0" borderId="33" xfId="42" applyNumberFormat="1" applyFont="1" applyBorder="1"/>
    <xf numFmtId="0" fontId="113" fillId="0" borderId="35" xfId="42" applyFont="1" applyBorder="1"/>
    <xf numFmtId="0" fontId="4" fillId="45" borderId="0" xfId="42" applyFont="1" applyFill="1" applyBorder="1" applyAlignment="1">
      <alignment horizontal="center" vertical="center"/>
    </xf>
    <xf numFmtId="0" fontId="104" fillId="45" borderId="0" xfId="42" applyFont="1" applyFill="1" applyBorder="1"/>
    <xf numFmtId="0" fontId="104" fillId="45" borderId="0" xfId="42" applyFont="1" applyFill="1" applyBorder="1" applyAlignment="1">
      <alignment horizontal="center"/>
    </xf>
    <xf numFmtId="0" fontId="104" fillId="0" borderId="33" xfId="42" applyFont="1" applyBorder="1" applyAlignment="1">
      <alignment horizontal="center"/>
    </xf>
    <xf numFmtId="0" fontId="13" fillId="45" borderId="0" xfId="0" applyFont="1" applyFill="1" applyBorder="1"/>
    <xf numFmtId="2" fontId="96" fillId="0" borderId="13" xfId="0" applyNumberFormat="1" applyFont="1" applyFill="1" applyBorder="1" applyAlignment="1">
      <alignment horizontal="center"/>
    </xf>
    <xf numFmtId="0" fontId="50" fillId="36" borderId="25" xfId="0" applyFont="1" applyFill="1" applyBorder="1" applyAlignment="1">
      <alignment horizontal="center"/>
    </xf>
    <xf numFmtId="2" fontId="21" fillId="36" borderId="89" xfId="0" applyNumberFormat="1" applyFont="1" applyFill="1" applyBorder="1" applyAlignment="1">
      <alignment horizontal="center"/>
    </xf>
    <xf numFmtId="2" fontId="0" fillId="45" borderId="26" xfId="0" applyNumberFormat="1" applyFill="1" applyBorder="1" applyAlignment="1">
      <alignment horizontal="center" vertical="center"/>
    </xf>
    <xf numFmtId="0" fontId="110" fillId="56" borderId="72" xfId="0" applyFont="1" applyFill="1" applyBorder="1" applyAlignment="1">
      <alignment horizontal="center"/>
    </xf>
    <xf numFmtId="0" fontId="114" fillId="56" borderId="72" xfId="0" applyFont="1" applyFill="1" applyBorder="1" applyAlignment="1">
      <alignment horizontal="center"/>
    </xf>
    <xf numFmtId="0" fontId="115" fillId="56" borderId="72" xfId="0" applyFont="1" applyFill="1" applyBorder="1" applyAlignment="1">
      <alignment horizontal="center"/>
    </xf>
    <xf numFmtId="0" fontId="114" fillId="56" borderId="73" xfId="0" applyFont="1" applyFill="1" applyBorder="1" applyAlignment="1">
      <alignment horizontal="center"/>
    </xf>
    <xf numFmtId="0" fontId="115" fillId="56" borderId="10" xfId="0" applyFont="1" applyFill="1" applyBorder="1" applyAlignment="1">
      <alignment horizontal="center"/>
    </xf>
    <xf numFmtId="0" fontId="115" fillId="56" borderId="25" xfId="0" applyFont="1" applyFill="1" applyBorder="1" applyAlignment="1">
      <alignment horizontal="center"/>
    </xf>
    <xf numFmtId="16" fontId="116" fillId="56" borderId="64" xfId="0" applyNumberFormat="1" applyFont="1" applyFill="1" applyBorder="1" applyAlignment="1">
      <alignment horizontal="center"/>
    </xf>
    <xf numFmtId="2" fontId="110" fillId="56" borderId="29" xfId="0" applyNumberFormat="1" applyFont="1" applyFill="1" applyBorder="1" applyAlignment="1">
      <alignment horizontal="center"/>
    </xf>
    <xf numFmtId="2" fontId="110" fillId="56" borderId="89" xfId="0" applyNumberFormat="1" applyFont="1" applyFill="1" applyBorder="1" applyAlignment="1">
      <alignment horizontal="center"/>
    </xf>
    <xf numFmtId="0" fontId="0" fillId="57" borderId="0" xfId="0" applyFill="1"/>
    <xf numFmtId="2" fontId="0" fillId="45" borderId="78" xfId="0" applyNumberFormat="1" applyFill="1" applyBorder="1" applyAlignment="1">
      <alignment horizontal="center" vertical="center"/>
    </xf>
    <xf numFmtId="2" fontId="0" fillId="45" borderId="83" xfId="0" applyNumberFormat="1" applyFill="1" applyBorder="1" applyAlignment="1">
      <alignment horizontal="center" vertical="center"/>
    </xf>
    <xf numFmtId="0" fontId="3" fillId="45" borderId="34" xfId="42" applyFill="1" applyBorder="1"/>
    <xf numFmtId="0" fontId="3" fillId="0" borderId="42" xfId="42" applyBorder="1"/>
    <xf numFmtId="0" fontId="3" fillId="0" borderId="31" xfId="42" applyBorder="1"/>
    <xf numFmtId="0" fontId="3" fillId="0" borderId="39" xfId="42" applyBorder="1"/>
    <xf numFmtId="0" fontId="3" fillId="45" borderId="31" xfId="42" applyFill="1" applyBorder="1"/>
    <xf numFmtId="167" fontId="113" fillId="0" borderId="35" xfId="42" applyNumberFormat="1" applyFont="1" applyBorder="1"/>
    <xf numFmtId="0" fontId="3" fillId="0" borderId="33" xfId="42" applyBorder="1"/>
    <xf numFmtId="167" fontId="3" fillId="0" borderId="90" xfId="42" applyNumberFormat="1" applyBorder="1"/>
    <xf numFmtId="15" fontId="3" fillId="0" borderId="91" xfId="0" applyNumberFormat="1" applyFont="1" applyBorder="1" applyAlignment="1">
      <alignment horizontal="right"/>
    </xf>
    <xf numFmtId="0" fontId="28" fillId="27" borderId="26" xfId="0" applyFont="1" applyFill="1" applyBorder="1" applyAlignment="1">
      <alignment horizontal="center" vertical="center" wrapText="1"/>
    </xf>
    <xf numFmtId="0" fontId="28" fillId="27" borderId="37" xfId="0" applyFont="1" applyFill="1" applyBorder="1" applyAlignment="1">
      <alignment horizontal="center" vertical="center" wrapText="1"/>
    </xf>
    <xf numFmtId="0" fontId="118" fillId="37" borderId="71" xfId="0" applyFont="1" applyFill="1" applyBorder="1"/>
    <xf numFmtId="2" fontId="0" fillId="0" borderId="72" xfId="0" applyNumberFormat="1" applyFill="1" applyBorder="1" applyAlignment="1">
      <alignment horizontal="center"/>
    </xf>
    <xf numFmtId="2" fontId="0" fillId="0" borderId="73" xfId="0" applyNumberFormat="1" applyFill="1" applyBorder="1" applyAlignment="1">
      <alignment horizontal="center"/>
    </xf>
    <xf numFmtId="0" fontId="118" fillId="24" borderId="74" xfId="0" applyFont="1" applyFill="1" applyBorder="1"/>
    <xf numFmtId="2" fontId="0" fillId="0" borderId="16" xfId="0" applyNumberFormat="1" applyFill="1" applyBorder="1" applyAlignment="1">
      <alignment horizontal="center"/>
    </xf>
    <xf numFmtId="0" fontId="113" fillId="27" borderId="28" xfId="0" applyFont="1" applyFill="1" applyBorder="1"/>
    <xf numFmtId="2" fontId="0" fillId="0" borderId="29" xfId="0" applyNumberFormat="1" applyFill="1" applyBorder="1" applyAlignment="1">
      <alignment horizontal="center"/>
    </xf>
    <xf numFmtId="2" fontId="0" fillId="0" borderId="30" xfId="0" applyNumberFormat="1" applyFill="1" applyBorder="1" applyAlignment="1">
      <alignment horizontal="center"/>
    </xf>
    <xf numFmtId="2" fontId="0" fillId="0" borderId="71" xfId="0" applyNumberFormat="1" applyFill="1" applyBorder="1" applyAlignment="1">
      <alignment horizontal="center"/>
    </xf>
    <xf numFmtId="2" fontId="0" fillId="0" borderId="74" xfId="0" applyNumberFormat="1" applyFill="1" applyBorder="1" applyAlignment="1">
      <alignment horizontal="center"/>
    </xf>
    <xf numFmtId="2" fontId="0" fillId="0" borderId="28" xfId="0" applyNumberFormat="1" applyFill="1" applyBorder="1" applyAlignment="1">
      <alignment horizontal="center"/>
    </xf>
    <xf numFmtId="0" fontId="19" fillId="37" borderId="78" xfId="0" applyFont="1" applyFill="1" applyBorder="1"/>
    <xf numFmtId="0" fontId="19" fillId="24" borderId="83" xfId="0" applyFont="1" applyFill="1" applyBorder="1"/>
    <xf numFmtId="0" fontId="10" fillId="27" borderId="79" xfId="0" applyFont="1" applyFill="1" applyBorder="1"/>
    <xf numFmtId="0" fontId="100" fillId="45" borderId="0" xfId="42" applyFont="1" applyFill="1" applyAlignment="1">
      <alignment horizontal="left" vertical="center"/>
    </xf>
    <xf numFmtId="0" fontId="100" fillId="45" borderId="0" xfId="42" applyFont="1" applyFill="1" applyAlignment="1">
      <alignment horizontal="center" vertical="center"/>
    </xf>
    <xf numFmtId="17" fontId="104" fillId="0" borderId="0" xfId="42" applyNumberFormat="1" applyFont="1" applyBorder="1" applyAlignment="1">
      <alignment horizontal="center" vertical="center"/>
    </xf>
    <xf numFmtId="17" fontId="3" fillId="0" borderId="0" xfId="42" applyNumberFormat="1" applyBorder="1" applyAlignment="1">
      <alignment horizontal="center" vertical="center"/>
    </xf>
    <xf numFmtId="17" fontId="100" fillId="45" borderId="0" xfId="42" applyNumberFormat="1" applyFont="1" applyFill="1" applyBorder="1" applyAlignment="1">
      <alignment horizontal="center" vertical="center"/>
    </xf>
    <xf numFmtId="167" fontId="3" fillId="0" borderId="0" xfId="42" applyNumberFormat="1"/>
    <xf numFmtId="167" fontId="3" fillId="0" borderId="0" xfId="42" applyNumberFormat="1" applyAlignment="1">
      <alignment horizontal="right"/>
    </xf>
    <xf numFmtId="167" fontId="100" fillId="45" borderId="0" xfId="42" applyNumberFormat="1" applyFont="1" applyFill="1" applyAlignment="1">
      <alignment horizontal="right"/>
    </xf>
    <xf numFmtId="2" fontId="0" fillId="0" borderId="11" xfId="0" applyNumberFormat="1" applyFill="1" applyBorder="1" applyAlignment="1">
      <alignment horizontal="center"/>
    </xf>
    <xf numFmtId="2" fontId="0" fillId="45" borderId="0" xfId="0" applyNumberFormat="1" applyFill="1" applyBorder="1" applyAlignment="1">
      <alignment horizontal="center"/>
    </xf>
    <xf numFmtId="16" fontId="116" fillId="45" borderId="0" xfId="0" applyNumberFormat="1" applyFont="1" applyFill="1" applyBorder="1" applyAlignment="1">
      <alignment horizontal="center"/>
    </xf>
    <xf numFmtId="2" fontId="110" fillId="45" borderId="0" xfId="0" applyNumberFormat="1" applyFont="1" applyFill="1" applyBorder="1" applyAlignment="1">
      <alignment horizontal="center"/>
    </xf>
    <xf numFmtId="2" fontId="117" fillId="45" borderId="0" xfId="0" applyNumberFormat="1" applyFont="1" applyFill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121" fillId="31" borderId="0" xfId="0" applyFont="1" applyFill="1" applyBorder="1"/>
    <xf numFmtId="2" fontId="20" fillId="45" borderId="0" xfId="0" applyNumberFormat="1" applyFont="1" applyFill="1" applyBorder="1" applyAlignment="1">
      <alignment horizontal="center"/>
    </xf>
    <xf numFmtId="2" fontId="20" fillId="45" borderId="25" xfId="0" applyNumberFormat="1" applyFont="1" applyFill="1" applyBorder="1" applyAlignment="1">
      <alignment horizontal="center"/>
    </xf>
    <xf numFmtId="0" fontId="102" fillId="45" borderId="34" xfId="42" applyFont="1" applyFill="1" applyBorder="1" applyAlignment="1">
      <alignment horizontal="center" vertical="center" wrapText="1"/>
    </xf>
    <xf numFmtId="0" fontId="115" fillId="56" borderId="15" xfId="0" applyFont="1" applyFill="1" applyBorder="1" applyAlignment="1">
      <alignment horizontal="center"/>
    </xf>
    <xf numFmtId="0" fontId="3" fillId="45" borderId="0" xfId="0" applyFont="1" applyFill="1"/>
    <xf numFmtId="2" fontId="10" fillId="31" borderId="75" xfId="0" applyNumberFormat="1" applyFont="1" applyFill="1" applyBorder="1" applyAlignment="1">
      <alignment horizontal="center"/>
    </xf>
    <xf numFmtId="2" fontId="0" fillId="0" borderId="72" xfId="0" applyNumberFormat="1" applyBorder="1" applyAlignment="1">
      <alignment horizontal="center"/>
    </xf>
    <xf numFmtId="2" fontId="96" fillId="0" borderId="72" xfId="0" applyNumberFormat="1" applyFont="1" applyFill="1" applyBorder="1" applyAlignment="1">
      <alignment horizontal="center"/>
    </xf>
    <xf numFmtId="2" fontId="96" fillId="0" borderId="93" xfId="0" applyNumberFormat="1" applyFont="1" applyFill="1" applyBorder="1" applyAlignment="1">
      <alignment horizontal="center"/>
    </xf>
    <xf numFmtId="2" fontId="10" fillId="31" borderId="46" xfId="0" applyNumberFormat="1" applyFont="1" applyFill="1" applyBorder="1" applyAlignment="1">
      <alignment horizontal="center"/>
    </xf>
    <xf numFmtId="2" fontId="0" fillId="0" borderId="29" xfId="0" applyNumberFormat="1" applyBorder="1" applyAlignment="1">
      <alignment horizontal="center"/>
    </xf>
    <xf numFmtId="2" fontId="96" fillId="0" borderId="29" xfId="0" applyNumberFormat="1" applyFont="1" applyFill="1" applyBorder="1" applyAlignment="1">
      <alignment horizontal="center"/>
    </xf>
    <xf numFmtId="2" fontId="96" fillId="0" borderId="94" xfId="0" applyNumberFormat="1" applyFont="1" applyFill="1" applyBorder="1" applyAlignment="1">
      <alignment horizontal="center"/>
    </xf>
    <xf numFmtId="2" fontId="17" fillId="31" borderId="44" xfId="0" applyNumberFormat="1" applyFont="1" applyFill="1" applyBorder="1" applyAlignment="1">
      <alignment horizontal="center"/>
    </xf>
    <xf numFmtId="2" fontId="98" fillId="45" borderId="10" xfId="0" applyNumberFormat="1" applyFont="1" applyFill="1" applyBorder="1" applyAlignment="1">
      <alignment horizontal="center"/>
    </xf>
    <xf numFmtId="2" fontId="0" fillId="45" borderId="10" xfId="0" applyNumberFormat="1" applyFill="1" applyBorder="1" applyAlignment="1">
      <alignment horizontal="center" vertical="center"/>
    </xf>
    <xf numFmtId="2" fontId="0" fillId="0" borderId="11" xfId="0" applyNumberFormat="1" applyBorder="1" applyAlignment="1">
      <alignment horizontal="center"/>
    </xf>
    <xf numFmtId="0" fontId="19" fillId="29" borderId="33" xfId="0" applyFont="1" applyFill="1" applyBorder="1" applyAlignment="1">
      <alignment horizontal="center" vertical="center"/>
    </xf>
    <xf numFmtId="0" fontId="19" fillId="30" borderId="36" xfId="0" applyFont="1" applyFill="1" applyBorder="1" applyAlignment="1">
      <alignment horizontal="center" vertical="center"/>
    </xf>
    <xf numFmtId="0" fontId="123" fillId="45" borderId="0" xfId="0" applyFont="1" applyFill="1"/>
    <xf numFmtId="0" fontId="125" fillId="0" borderId="0" xfId="0" applyFont="1"/>
    <xf numFmtId="2" fontId="0" fillId="31" borderId="71" xfId="0" applyNumberFormat="1" applyFill="1" applyBorder="1" applyAlignment="1">
      <alignment horizontal="center"/>
    </xf>
    <xf numFmtId="2" fontId="17" fillId="31" borderId="72" xfId="0" applyNumberFormat="1" applyFont="1" applyFill="1" applyBorder="1" applyAlignment="1">
      <alignment horizontal="center"/>
    </xf>
    <xf numFmtId="2" fontId="10" fillId="31" borderId="72" xfId="0" applyNumberFormat="1" applyFont="1" applyFill="1" applyBorder="1" applyAlignment="1">
      <alignment horizontal="center"/>
    </xf>
    <xf numFmtId="2" fontId="98" fillId="45" borderId="72" xfId="0" applyNumberFormat="1" applyFont="1" applyFill="1" applyBorder="1" applyAlignment="1">
      <alignment horizontal="center"/>
    </xf>
    <xf numFmtId="2" fontId="96" fillId="0" borderId="73" xfId="0" applyNumberFormat="1" applyFont="1" applyFill="1" applyBorder="1" applyAlignment="1">
      <alignment horizontal="center"/>
    </xf>
    <xf numFmtId="2" fontId="0" fillId="31" borderId="74" xfId="0" applyNumberFormat="1" applyFill="1" applyBorder="1" applyAlignment="1">
      <alignment horizontal="center"/>
    </xf>
    <xf numFmtId="2" fontId="96" fillId="0" borderId="16" xfId="0" applyNumberFormat="1" applyFont="1" applyFill="1" applyBorder="1" applyAlignment="1">
      <alignment horizontal="center"/>
    </xf>
    <xf numFmtId="0" fontId="110" fillId="57" borderId="72" xfId="0" applyFont="1" applyFill="1" applyBorder="1" applyAlignment="1">
      <alignment horizontal="center"/>
    </xf>
    <xf numFmtId="0" fontId="114" fillId="57" borderId="72" xfId="0" applyFont="1" applyFill="1" applyBorder="1" applyAlignment="1">
      <alignment horizontal="center"/>
    </xf>
    <xf numFmtId="0" fontId="115" fillId="57" borderId="72" xfId="0" applyFont="1" applyFill="1" applyBorder="1" applyAlignment="1">
      <alignment horizontal="center"/>
    </xf>
    <xf numFmtId="0" fontId="114" fillId="57" borderId="73" xfId="0" applyFont="1" applyFill="1" applyBorder="1" applyAlignment="1">
      <alignment horizontal="center"/>
    </xf>
    <xf numFmtId="0" fontId="115" fillId="57" borderId="15" xfId="0" applyFont="1" applyFill="1" applyBorder="1" applyAlignment="1">
      <alignment horizontal="center"/>
    </xf>
    <xf numFmtId="0" fontId="115" fillId="57" borderId="25" xfId="0" applyFont="1" applyFill="1" applyBorder="1" applyAlignment="1">
      <alignment horizontal="center"/>
    </xf>
    <xf numFmtId="16" fontId="116" fillId="60" borderId="64" xfId="0" applyNumberFormat="1" applyFont="1" applyFill="1" applyBorder="1" applyAlignment="1">
      <alignment horizontal="center"/>
    </xf>
    <xf numFmtId="2" fontId="0" fillId="31" borderId="24" xfId="0" applyNumberFormat="1" applyFill="1" applyBorder="1" applyAlignment="1">
      <alignment horizontal="center"/>
    </xf>
    <xf numFmtId="2" fontId="17" fillId="31" borderId="15" xfId="0" applyNumberFormat="1" applyFont="1" applyFill="1" applyBorder="1" applyAlignment="1">
      <alignment horizontal="center"/>
    </xf>
    <xf numFmtId="2" fontId="10" fillId="31" borderId="15" xfId="0" applyNumberFormat="1" applyFont="1" applyFill="1" applyBorder="1" applyAlignment="1">
      <alignment horizontal="center"/>
    </xf>
    <xf numFmtId="2" fontId="0" fillId="0" borderId="15" xfId="0" applyNumberFormat="1" applyBorder="1" applyAlignment="1">
      <alignment horizontal="center"/>
    </xf>
    <xf numFmtId="2" fontId="98" fillId="45" borderId="15" xfId="0" applyNumberFormat="1" applyFont="1" applyFill="1" applyBorder="1" applyAlignment="1">
      <alignment horizontal="center"/>
    </xf>
    <xf numFmtId="2" fontId="96" fillId="0" borderId="15" xfId="0" applyNumberFormat="1" applyFont="1" applyFill="1" applyBorder="1" applyAlignment="1">
      <alignment horizontal="center"/>
    </xf>
    <xf numFmtId="2" fontId="96" fillId="0" borderId="25" xfId="0" applyNumberFormat="1" applyFont="1" applyFill="1" applyBorder="1" applyAlignment="1">
      <alignment horizontal="center"/>
    </xf>
    <xf numFmtId="2" fontId="110" fillId="60" borderId="65" xfId="0" applyNumberFormat="1" applyFont="1" applyFill="1" applyBorder="1" applyAlignment="1">
      <alignment horizontal="center"/>
    </xf>
    <xf numFmtId="2" fontId="110" fillId="60" borderId="66" xfId="0" applyNumberFormat="1" applyFont="1" applyFill="1" applyBorder="1" applyAlignment="1">
      <alignment horizontal="center"/>
    </xf>
    <xf numFmtId="2" fontId="96" fillId="45" borderId="72" xfId="0" applyNumberFormat="1" applyFont="1" applyFill="1" applyBorder="1" applyAlignment="1">
      <alignment horizontal="center"/>
    </xf>
    <xf numFmtId="0" fontId="123" fillId="45" borderId="0" xfId="0" applyFont="1" applyFill="1" applyAlignment="1">
      <alignment horizontal="center" vertical="center"/>
    </xf>
    <xf numFmtId="0" fontId="4" fillId="45" borderId="0" xfId="0" applyFont="1" applyFill="1" applyBorder="1"/>
    <xf numFmtId="0" fontId="4" fillId="45" borderId="31" xfId="0" applyFont="1" applyFill="1" applyBorder="1"/>
    <xf numFmtId="0" fontId="128" fillId="31" borderId="42" xfId="0" applyFont="1" applyFill="1" applyBorder="1"/>
    <xf numFmtId="0" fontId="128" fillId="31" borderId="31" xfId="0" applyFont="1" applyFill="1" applyBorder="1"/>
    <xf numFmtId="0" fontId="129" fillId="45" borderId="0" xfId="0" applyFont="1" applyFill="1" applyBorder="1"/>
    <xf numFmtId="2" fontId="4" fillId="45" borderId="0" xfId="0" applyNumberFormat="1" applyFont="1" applyFill="1" applyBorder="1" applyAlignment="1">
      <alignment horizontal="center"/>
    </xf>
    <xf numFmtId="2" fontId="0" fillId="31" borderId="31" xfId="0" applyNumberFormat="1" applyFill="1" applyBorder="1" applyAlignment="1">
      <alignment horizontal="center"/>
    </xf>
    <xf numFmtId="2" fontId="0" fillId="31" borderId="39" xfId="0" applyNumberFormat="1" applyFill="1" applyBorder="1" applyAlignment="1">
      <alignment horizontal="center"/>
    </xf>
    <xf numFmtId="2" fontId="10" fillId="31" borderId="17" xfId="0" applyNumberFormat="1" applyFont="1" applyFill="1" applyBorder="1" applyAlignment="1">
      <alignment horizontal="center"/>
    </xf>
    <xf numFmtId="2" fontId="110" fillId="60" borderId="89" xfId="0" applyNumberFormat="1" applyFont="1" applyFill="1" applyBorder="1" applyAlignment="1">
      <alignment horizontal="center"/>
    </xf>
    <xf numFmtId="15" fontId="3" fillId="31" borderId="31" xfId="0" applyNumberFormat="1" applyFont="1" applyFill="1" applyBorder="1" applyAlignment="1">
      <alignment horizontal="center"/>
    </xf>
    <xf numFmtId="2" fontId="110" fillId="60" borderId="69" xfId="0" applyNumberFormat="1" applyFont="1" applyFill="1" applyBorder="1" applyAlignment="1">
      <alignment horizontal="center"/>
    </xf>
    <xf numFmtId="2" fontId="96" fillId="45" borderId="10" xfId="0" applyNumberFormat="1" applyFont="1" applyFill="1" applyBorder="1" applyAlignment="1">
      <alignment horizontal="center"/>
    </xf>
    <xf numFmtId="0" fontId="3" fillId="0" borderId="0" xfId="0" applyFont="1"/>
    <xf numFmtId="2" fontId="0" fillId="31" borderId="0" xfId="0" applyNumberFormat="1" applyFill="1" applyBorder="1"/>
    <xf numFmtId="2" fontId="0" fillId="31" borderId="15" xfId="0" applyNumberFormat="1" applyFill="1" applyBorder="1"/>
    <xf numFmtId="2" fontId="0" fillId="31" borderId="48" xfId="0" applyNumberFormat="1" applyFill="1" applyBorder="1"/>
    <xf numFmtId="2" fontId="0" fillId="31" borderId="17" xfId="0" applyNumberFormat="1" applyFill="1" applyBorder="1"/>
    <xf numFmtId="2" fontId="0" fillId="31" borderId="44" xfId="0" applyNumberFormat="1" applyFill="1" applyBorder="1"/>
    <xf numFmtId="2" fontId="0" fillId="31" borderId="11" xfId="0" applyNumberFormat="1" applyFill="1" applyBorder="1"/>
    <xf numFmtId="2" fontId="0" fillId="31" borderId="14" xfId="0" applyNumberFormat="1" applyFill="1" applyBorder="1"/>
    <xf numFmtId="0" fontId="130" fillId="0" borderId="0" xfId="42" applyFont="1"/>
    <xf numFmtId="0" fontId="130" fillId="0" borderId="0" xfId="42" applyFont="1" applyBorder="1"/>
    <xf numFmtId="0" fontId="131" fillId="0" borderId="0" xfId="42" applyFont="1" applyBorder="1" applyAlignment="1">
      <alignment horizontal="left"/>
    </xf>
    <xf numFmtId="0" fontId="131" fillId="0" borderId="0" xfId="42" applyFont="1" applyBorder="1" applyAlignment="1"/>
    <xf numFmtId="0" fontId="131" fillId="0" borderId="0" xfId="42" applyFont="1" applyBorder="1" applyAlignment="1">
      <alignment horizontal="center"/>
    </xf>
    <xf numFmtId="0" fontId="133" fillId="0" borderId="0" xfId="42" applyFont="1" applyFill="1" applyBorder="1"/>
    <xf numFmtId="0" fontId="134" fillId="0" borderId="0" xfId="42" applyFont="1" applyFill="1" applyBorder="1"/>
    <xf numFmtId="0" fontId="136" fillId="0" borderId="0" xfId="42" applyFont="1" applyBorder="1" applyAlignment="1">
      <alignment vertical="center" wrapText="1"/>
    </xf>
    <xf numFmtId="0" fontId="130" fillId="0" borderId="40" xfId="42" applyFont="1" applyBorder="1" applyAlignment="1"/>
    <xf numFmtId="0" fontId="130" fillId="0" borderId="0" xfId="42" applyFont="1" applyBorder="1" applyAlignment="1"/>
    <xf numFmtId="0" fontId="137" fillId="63" borderId="26" xfId="42" applyFont="1" applyFill="1" applyBorder="1" applyAlignment="1">
      <alignment horizontal="center" wrapText="1"/>
    </xf>
    <xf numFmtId="0" fontId="138" fillId="64" borderId="48" xfId="42" applyFont="1" applyFill="1" applyBorder="1" applyAlignment="1">
      <alignment horizontal="center"/>
    </xf>
    <xf numFmtId="0" fontId="130" fillId="0" borderId="0" xfId="42" applyFont="1" applyBorder="1" applyAlignment="1">
      <alignment horizontal="center"/>
    </xf>
    <xf numFmtId="0" fontId="137" fillId="63" borderId="27" xfId="42" applyFont="1" applyFill="1" applyBorder="1" applyAlignment="1">
      <alignment horizontal="center" vertical="center" wrapText="1"/>
    </xf>
    <xf numFmtId="0" fontId="139" fillId="64" borderId="89" xfId="42" applyFont="1" applyFill="1" applyBorder="1" applyAlignment="1">
      <alignment horizontal="center"/>
    </xf>
    <xf numFmtId="0" fontId="140" fillId="0" borderId="0" xfId="42" applyFont="1" applyBorder="1" applyAlignment="1">
      <alignment horizontal="center"/>
    </xf>
    <xf numFmtId="0" fontId="137" fillId="62" borderId="42" xfId="42" applyFont="1" applyFill="1" applyBorder="1"/>
    <xf numFmtId="2" fontId="137" fillId="0" borderId="95" xfId="42" applyNumberFormat="1" applyFont="1" applyBorder="1" applyAlignment="1">
      <alignment horizontal="center"/>
    </xf>
    <xf numFmtId="0" fontId="137" fillId="0" borderId="95" xfId="42" applyFont="1" applyBorder="1" applyAlignment="1">
      <alignment horizontal="center"/>
    </xf>
    <xf numFmtId="2" fontId="137" fillId="0" borderId="95" xfId="42" applyNumberFormat="1" applyFont="1" applyFill="1" applyBorder="1" applyAlignment="1">
      <alignment horizontal="center"/>
    </xf>
    <xf numFmtId="2" fontId="130" fillId="0" borderId="0" xfId="42" applyNumberFormat="1" applyFont="1" applyFill="1" applyBorder="1" applyAlignment="1">
      <alignment horizontal="center"/>
    </xf>
    <xf numFmtId="0" fontId="137" fillId="62" borderId="31" xfId="42" applyFont="1" applyFill="1" applyBorder="1"/>
    <xf numFmtId="2" fontId="137" fillId="0" borderId="48" xfId="42" applyNumberFormat="1" applyFont="1" applyBorder="1" applyAlignment="1">
      <alignment horizontal="center"/>
    </xf>
    <xf numFmtId="0" fontId="137" fillId="0" borderId="48" xfId="42" applyFont="1" applyBorder="1" applyAlignment="1">
      <alignment horizontal="center"/>
    </xf>
    <xf numFmtId="2" fontId="130" fillId="0" borderId="0" xfId="42" applyNumberFormat="1" applyFont="1" applyBorder="1" applyAlignment="1">
      <alignment horizontal="center"/>
    </xf>
    <xf numFmtId="2" fontId="137" fillId="0" borderId="89" xfId="42" applyNumberFormat="1" applyFont="1" applyBorder="1" applyAlignment="1">
      <alignment horizontal="center"/>
    </xf>
    <xf numFmtId="0" fontId="136" fillId="65" borderId="34" xfId="42" applyFont="1" applyFill="1" applyBorder="1"/>
    <xf numFmtId="2" fontId="141" fillId="65" borderId="65" xfId="42" applyNumberFormat="1" applyFont="1" applyFill="1" applyBorder="1" applyAlignment="1">
      <alignment horizontal="center" vertical="center"/>
    </xf>
    <xf numFmtId="2" fontId="141" fillId="65" borderId="66" xfId="42" applyNumberFormat="1" applyFont="1" applyFill="1" applyBorder="1" applyAlignment="1">
      <alignment horizontal="center" vertical="center"/>
    </xf>
    <xf numFmtId="2" fontId="136" fillId="0" borderId="0" xfId="42" applyNumberFormat="1" applyFont="1" applyBorder="1" applyAlignment="1">
      <alignment horizontal="center" vertical="center"/>
    </xf>
    <xf numFmtId="0" fontId="136" fillId="0" borderId="31" xfId="42" applyFont="1" applyBorder="1"/>
    <xf numFmtId="2" fontId="136" fillId="0" borderId="0" xfId="42" applyNumberFormat="1" applyFont="1" applyBorder="1" applyAlignment="1">
      <alignment horizontal="center"/>
    </xf>
    <xf numFmtId="0" fontId="136" fillId="0" borderId="0" xfId="42" applyFont="1" applyBorder="1"/>
    <xf numFmtId="0" fontId="130" fillId="0" borderId="40" xfId="42" applyFont="1" applyBorder="1" applyAlignment="1">
      <alignment horizontal="center"/>
    </xf>
    <xf numFmtId="0" fontId="138" fillId="66" borderId="48" xfId="42" applyFont="1" applyFill="1" applyBorder="1" applyAlignment="1">
      <alignment horizontal="center"/>
    </xf>
    <xf numFmtId="0" fontId="138" fillId="66" borderId="32" xfId="42" applyFont="1" applyFill="1" applyBorder="1" applyAlignment="1">
      <alignment horizontal="center"/>
    </xf>
    <xf numFmtId="0" fontId="139" fillId="66" borderId="89" xfId="42" applyFont="1" applyFill="1" applyBorder="1" applyAlignment="1">
      <alignment horizontal="center"/>
    </xf>
    <xf numFmtId="0" fontId="139" fillId="66" borderId="41" xfId="42" applyFont="1" applyFill="1" applyBorder="1" applyAlignment="1">
      <alignment horizontal="center"/>
    </xf>
    <xf numFmtId="2" fontId="141" fillId="65" borderId="64" xfId="42" applyNumberFormat="1" applyFont="1" applyFill="1" applyBorder="1" applyAlignment="1">
      <alignment horizontal="center" vertical="center"/>
    </xf>
    <xf numFmtId="2" fontId="144" fillId="0" borderId="0" xfId="42" applyNumberFormat="1" applyFont="1" applyBorder="1" applyAlignment="1">
      <alignment horizontal="center"/>
    </xf>
    <xf numFmtId="0" fontId="145" fillId="0" borderId="44" xfId="42" applyFont="1" applyFill="1" applyBorder="1"/>
    <xf numFmtId="0" fontId="146" fillId="0" borderId="0" xfId="42" applyFont="1" applyFill="1" applyBorder="1"/>
    <xf numFmtId="0" fontId="147" fillId="0" borderId="0" xfId="42" applyFont="1" applyAlignment="1">
      <alignment horizontal="center"/>
    </xf>
    <xf numFmtId="0" fontId="140" fillId="0" borderId="21" xfId="42" applyFont="1" applyBorder="1" applyAlignment="1">
      <alignment horizontal="center"/>
    </xf>
    <xf numFmtId="0" fontId="130" fillId="0" borderId="88" xfId="42" applyFont="1" applyBorder="1"/>
    <xf numFmtId="2" fontId="130" fillId="0" borderId="95" xfId="42" applyNumberFormat="1" applyFont="1" applyBorder="1" applyAlignment="1">
      <alignment horizontal="center"/>
    </xf>
    <xf numFmtId="2" fontId="130" fillId="0" borderId="95" xfId="42" applyNumberFormat="1" applyFont="1" applyFill="1" applyBorder="1" applyAlignment="1">
      <alignment horizontal="center"/>
    </xf>
    <xf numFmtId="2" fontId="130" fillId="0" borderId="67" xfId="42" applyNumberFormat="1" applyFont="1" applyFill="1" applyBorder="1" applyAlignment="1">
      <alignment horizontal="center"/>
    </xf>
    <xf numFmtId="1" fontId="130" fillId="0" borderId="0" xfId="42" applyNumberFormat="1" applyFont="1" applyFill="1" applyBorder="1" applyAlignment="1">
      <alignment horizontal="center"/>
    </xf>
    <xf numFmtId="0" fontId="130" fillId="0" borderId="80" xfId="42" applyFont="1" applyBorder="1"/>
    <xf numFmtId="2" fontId="130" fillId="0" borderId="48" xfId="42" applyNumberFormat="1" applyFont="1" applyBorder="1" applyAlignment="1">
      <alignment horizontal="center"/>
    </xf>
    <xf numFmtId="2" fontId="130" fillId="0" borderId="68" xfId="42" applyNumberFormat="1" applyFont="1" applyBorder="1" applyAlignment="1">
      <alignment horizontal="center"/>
    </xf>
    <xf numFmtId="1" fontId="130" fillId="0" borderId="0" xfId="42" applyNumberFormat="1" applyFont="1" applyBorder="1" applyAlignment="1">
      <alignment horizontal="center"/>
    </xf>
    <xf numFmtId="0" fontId="130" fillId="0" borderId="96" xfId="42" applyFont="1" applyBorder="1"/>
    <xf numFmtId="2" fontId="130" fillId="0" borderId="89" xfId="42" applyNumberFormat="1" applyFont="1" applyBorder="1" applyAlignment="1">
      <alignment horizontal="center"/>
    </xf>
    <xf numFmtId="0" fontId="136" fillId="0" borderId="64" xfId="42" applyFont="1" applyBorder="1" applyAlignment="1">
      <alignment vertical="center"/>
    </xf>
    <xf numFmtId="0" fontId="130" fillId="0" borderId="0" xfId="42" applyFont="1" applyAlignment="1">
      <alignment vertical="center"/>
    </xf>
    <xf numFmtId="2" fontId="148" fillId="68" borderId="65" xfId="42" applyNumberFormat="1" applyFont="1" applyFill="1" applyBorder="1" applyAlignment="1">
      <alignment horizontal="center" vertical="center"/>
    </xf>
    <xf numFmtId="2" fontId="148" fillId="68" borderId="66" xfId="42" applyNumberFormat="1" applyFont="1" applyFill="1" applyBorder="1" applyAlignment="1">
      <alignment horizontal="center" vertical="center"/>
    </xf>
    <xf numFmtId="0" fontId="149" fillId="69" borderId="26" xfId="42" applyFont="1" applyFill="1" applyBorder="1" applyAlignment="1">
      <alignment horizontal="center" wrapText="1"/>
    </xf>
    <xf numFmtId="0" fontId="149" fillId="69" borderId="48" xfId="42" applyFont="1" applyFill="1" applyBorder="1" applyAlignment="1">
      <alignment horizontal="center"/>
    </xf>
    <xf numFmtId="0" fontId="149" fillId="69" borderId="32" xfId="42" applyFont="1" applyFill="1" applyBorder="1" applyAlignment="1">
      <alignment horizontal="center"/>
    </xf>
    <xf numFmtId="0" fontId="149" fillId="69" borderId="27" xfId="42" applyFont="1" applyFill="1" applyBorder="1" applyAlignment="1">
      <alignment horizontal="center" vertical="center" wrapText="1"/>
    </xf>
    <xf numFmtId="0" fontId="149" fillId="69" borderId="89" xfId="42" applyFont="1" applyFill="1" applyBorder="1" applyAlignment="1">
      <alignment horizontal="center"/>
    </xf>
    <xf numFmtId="0" fontId="149" fillId="69" borderId="41" xfId="42" applyFont="1" applyFill="1" applyBorder="1" applyAlignment="1">
      <alignment horizontal="center"/>
    </xf>
    <xf numFmtId="0" fontId="150" fillId="67" borderId="48" xfId="42" applyFont="1" applyFill="1" applyBorder="1" applyAlignment="1">
      <alignment horizontal="center"/>
    </xf>
    <xf numFmtId="0" fontId="151" fillId="67" borderId="89" xfId="42" applyFont="1" applyFill="1" applyBorder="1" applyAlignment="1">
      <alignment horizontal="center"/>
    </xf>
    <xf numFmtId="0" fontId="150" fillId="67" borderId="32" xfId="42" applyFont="1" applyFill="1" applyBorder="1" applyAlignment="1">
      <alignment horizontal="center"/>
    </xf>
    <xf numFmtId="0" fontId="151" fillId="67" borderId="41" xfId="42" applyFont="1" applyFill="1" applyBorder="1" applyAlignment="1">
      <alignment horizontal="center"/>
    </xf>
    <xf numFmtId="0" fontId="152" fillId="63" borderId="26" xfId="42" applyFont="1" applyFill="1" applyBorder="1" applyAlignment="1">
      <alignment horizontal="center" wrapText="1"/>
    </xf>
    <xf numFmtId="0" fontId="152" fillId="63" borderId="27" xfId="42" applyFont="1" applyFill="1" applyBorder="1" applyAlignment="1">
      <alignment horizontal="center" vertical="center" wrapText="1"/>
    </xf>
    <xf numFmtId="16" fontId="116" fillId="60" borderId="34" xfId="0" applyNumberFormat="1" applyFont="1" applyFill="1" applyBorder="1" applyAlignment="1">
      <alignment horizontal="center"/>
    </xf>
    <xf numFmtId="2" fontId="96" fillId="45" borderId="15" xfId="0" applyNumberFormat="1" applyFont="1" applyFill="1" applyBorder="1" applyAlignment="1">
      <alignment horizontal="center"/>
    </xf>
    <xf numFmtId="2" fontId="110" fillId="60" borderId="64" xfId="0" applyNumberFormat="1" applyFont="1" applyFill="1" applyBorder="1" applyAlignment="1">
      <alignment horizontal="center"/>
    </xf>
    <xf numFmtId="2" fontId="153" fillId="70" borderId="34" xfId="0" applyNumberFormat="1" applyFont="1" applyFill="1" applyBorder="1" applyAlignment="1">
      <alignment horizontal="center"/>
    </xf>
    <xf numFmtId="0" fontId="2" fillId="45" borderId="0" xfId="43" applyFill="1"/>
    <xf numFmtId="0" fontId="2" fillId="0" borderId="0" xfId="43"/>
    <xf numFmtId="0" fontId="110" fillId="61" borderId="34" xfId="43" applyFont="1" applyFill="1" applyBorder="1" applyAlignment="1">
      <alignment horizontal="center" vertical="center" wrapText="1"/>
    </xf>
    <xf numFmtId="0" fontId="110" fillId="61" borderId="33" xfId="43" applyFont="1" applyFill="1" applyBorder="1" applyAlignment="1">
      <alignment horizontal="center" vertical="center" wrapText="1"/>
    </xf>
    <xf numFmtId="0" fontId="158" fillId="61" borderId="35" xfId="43" applyFont="1" applyFill="1" applyBorder="1" applyAlignment="1">
      <alignment horizontal="center" vertical="center" wrapText="1"/>
    </xf>
    <xf numFmtId="0" fontId="158" fillId="61" borderId="33" xfId="43" applyFont="1" applyFill="1" applyBorder="1" applyAlignment="1">
      <alignment horizontal="center" vertical="center" wrapText="1"/>
    </xf>
    <xf numFmtId="0" fontId="158" fillId="61" borderId="36" xfId="43" applyFont="1" applyFill="1" applyBorder="1" applyAlignment="1">
      <alignment horizontal="center" vertical="center" wrapText="1"/>
    </xf>
    <xf numFmtId="15" fontId="4" fillId="53" borderId="0" xfId="43" applyNumberFormat="1" applyFont="1" applyFill="1" applyBorder="1" applyAlignment="1">
      <alignment horizontal="center" vertical="center" wrapText="1"/>
    </xf>
    <xf numFmtId="0" fontId="3" fillId="53" borderId="0" xfId="43" applyFont="1" applyFill="1" applyBorder="1"/>
    <xf numFmtId="2" fontId="2" fillId="53" borderId="0" xfId="43" applyNumberFormat="1" applyFill="1" applyBorder="1" applyAlignment="1">
      <alignment horizontal="center"/>
    </xf>
    <xf numFmtId="0" fontId="19" fillId="68" borderId="26" xfId="43" applyFont="1" applyFill="1" applyBorder="1"/>
    <xf numFmtId="2" fontId="2" fillId="0" borderId="75" xfId="43" applyNumberFormat="1" applyFill="1" applyBorder="1" applyAlignment="1">
      <alignment horizontal="center"/>
    </xf>
    <xf numFmtId="2" fontId="2" fillId="0" borderId="72" xfId="43" applyNumberFormat="1" applyFill="1" applyBorder="1" applyAlignment="1">
      <alignment horizontal="center"/>
    </xf>
    <xf numFmtId="2" fontId="2" fillId="0" borderId="73" xfId="43" applyNumberFormat="1" applyFill="1" applyBorder="1" applyAlignment="1">
      <alignment horizontal="center"/>
    </xf>
    <xf numFmtId="0" fontId="159" fillId="0" borderId="0" xfId="43" applyFont="1"/>
    <xf numFmtId="0" fontId="19" fillId="24" borderId="33" xfId="43" applyFont="1" applyFill="1" applyBorder="1"/>
    <xf numFmtId="2" fontId="2" fillId="0" borderId="12" xfId="43" applyNumberFormat="1" applyFill="1" applyBorder="1" applyAlignment="1">
      <alignment horizontal="center"/>
    </xf>
    <xf numFmtId="2" fontId="2" fillId="0" borderId="10" xfId="43" applyNumberFormat="1" applyFill="1" applyBorder="1" applyAlignment="1">
      <alignment horizontal="center"/>
    </xf>
    <xf numFmtId="2" fontId="2" fillId="0" borderId="16" xfId="43" applyNumberFormat="1" applyFill="1" applyBorder="1" applyAlignment="1">
      <alignment horizontal="center"/>
    </xf>
    <xf numFmtId="0" fontId="4" fillId="27" borderId="27" xfId="43" applyFont="1" applyFill="1" applyBorder="1"/>
    <xf numFmtId="2" fontId="2" fillId="0" borderId="46" xfId="43" applyNumberFormat="1" applyFill="1" applyBorder="1" applyAlignment="1">
      <alignment horizontal="center"/>
    </xf>
    <xf numFmtId="2" fontId="2" fillId="0" borderId="29" xfId="43" applyNumberFormat="1" applyFill="1" applyBorder="1" applyAlignment="1">
      <alignment horizontal="center"/>
    </xf>
    <xf numFmtId="2" fontId="2" fillId="0" borderId="30" xfId="43" applyNumberFormat="1" applyFill="1" applyBorder="1" applyAlignment="1">
      <alignment horizontal="center"/>
    </xf>
    <xf numFmtId="0" fontId="160" fillId="53" borderId="0" xfId="43" applyFont="1" applyFill="1" applyBorder="1"/>
    <xf numFmtId="0" fontId="2" fillId="53" borderId="0" xfId="43" applyFill="1"/>
    <xf numFmtId="0" fontId="158" fillId="61" borderId="34" xfId="43" applyFont="1" applyFill="1" applyBorder="1" applyAlignment="1">
      <alignment horizontal="center" vertical="center" wrapText="1"/>
    </xf>
    <xf numFmtId="0" fontId="4" fillId="27" borderId="23" xfId="43" applyFont="1" applyFill="1" applyBorder="1"/>
    <xf numFmtId="2" fontId="2" fillId="0" borderId="17" xfId="43" applyNumberFormat="1" applyFill="1" applyBorder="1" applyAlignment="1">
      <alignment horizontal="center"/>
    </xf>
    <xf numFmtId="2" fontId="2" fillId="0" borderId="15" xfId="43" applyNumberFormat="1" applyFill="1" applyBorder="1" applyAlignment="1">
      <alignment horizontal="center"/>
    </xf>
    <xf numFmtId="2" fontId="2" fillId="0" borderId="25" xfId="43" applyNumberFormat="1" applyFill="1" applyBorder="1" applyAlignment="1">
      <alignment horizontal="center"/>
    </xf>
    <xf numFmtId="0" fontId="19" fillId="68" borderId="23" xfId="43" applyFont="1" applyFill="1" applyBorder="1"/>
    <xf numFmtId="2" fontId="2" fillId="0" borderId="14" xfId="43" applyNumberFormat="1" applyFill="1" applyBorder="1" applyAlignment="1">
      <alignment horizontal="center"/>
    </xf>
    <xf numFmtId="2" fontId="2" fillId="0" borderId="11" xfId="43" applyNumberFormat="1" applyFill="1" applyBorder="1" applyAlignment="1">
      <alignment horizontal="center"/>
    </xf>
    <xf numFmtId="2" fontId="2" fillId="0" borderId="92" xfId="43" applyNumberFormat="1" applyFill="1" applyBorder="1" applyAlignment="1">
      <alignment horizontal="center"/>
    </xf>
    <xf numFmtId="15" fontId="110" fillId="48" borderId="90" xfId="43" applyNumberFormat="1" applyFont="1" applyFill="1" applyBorder="1" applyAlignment="1">
      <alignment horizontal="center" vertical="center" wrapText="1"/>
    </xf>
    <xf numFmtId="0" fontId="4" fillId="48" borderId="90" xfId="43" applyFont="1" applyFill="1" applyBorder="1"/>
    <xf numFmtId="2" fontId="2" fillId="48" borderId="90" xfId="43" applyNumberFormat="1" applyFill="1" applyBorder="1" applyAlignment="1">
      <alignment horizontal="center"/>
    </xf>
    <xf numFmtId="0" fontId="0" fillId="45" borderId="40" xfId="0" applyFill="1" applyBorder="1"/>
    <xf numFmtId="2" fontId="19" fillId="45" borderId="0" xfId="0" applyNumberFormat="1" applyFont="1" applyFill="1" applyBorder="1" applyAlignment="1">
      <alignment horizontal="center"/>
    </xf>
    <xf numFmtId="17" fontId="20" fillId="45" borderId="31" xfId="0" applyNumberFormat="1" applyFont="1" applyFill="1" applyBorder="1"/>
    <xf numFmtId="2" fontId="17" fillId="31" borderId="11" xfId="0" applyNumberFormat="1" applyFont="1" applyFill="1" applyBorder="1" applyAlignment="1">
      <alignment horizontal="center"/>
    </xf>
    <xf numFmtId="2" fontId="10" fillId="31" borderId="14" xfId="0" applyNumberFormat="1" applyFont="1" applyFill="1" applyBorder="1" applyAlignment="1">
      <alignment horizontal="center"/>
    </xf>
    <xf numFmtId="2" fontId="96" fillId="45" borderId="11" xfId="0" applyNumberFormat="1" applyFont="1" applyFill="1" applyBorder="1" applyAlignment="1">
      <alignment horizontal="center"/>
    </xf>
    <xf numFmtId="2" fontId="96" fillId="0" borderId="11" xfId="0" applyNumberFormat="1" applyFont="1" applyFill="1" applyBorder="1" applyAlignment="1">
      <alignment horizontal="center"/>
    </xf>
    <xf numFmtId="2" fontId="96" fillId="0" borderId="92" xfId="0" applyNumberFormat="1" applyFont="1" applyFill="1" applyBorder="1" applyAlignment="1">
      <alignment horizontal="center"/>
    </xf>
    <xf numFmtId="0" fontId="20" fillId="45" borderId="0" xfId="0" applyFont="1" applyFill="1" applyBorder="1"/>
    <xf numFmtId="0" fontId="122" fillId="45" borderId="0" xfId="0" applyFont="1" applyFill="1" applyBorder="1"/>
    <xf numFmtId="2" fontId="20" fillId="45" borderId="23" xfId="0" applyNumberFormat="1" applyFont="1" applyFill="1" applyBorder="1" applyAlignment="1">
      <alignment horizontal="center"/>
    </xf>
    <xf numFmtId="0" fontId="14" fillId="45" borderId="0" xfId="0" applyFont="1" applyFill="1" applyBorder="1"/>
    <xf numFmtId="0" fontId="5" fillId="45" borderId="0" xfId="0" applyFont="1" applyFill="1" applyBorder="1" applyAlignment="1">
      <alignment horizontal="center"/>
    </xf>
    <xf numFmtId="2" fontId="84" fillId="36" borderId="35" xfId="0" applyNumberFormat="1" applyFont="1" applyFill="1" applyBorder="1"/>
    <xf numFmtId="0" fontId="19" fillId="37" borderId="75" xfId="0" applyFont="1" applyFill="1" applyBorder="1"/>
    <xf numFmtId="0" fontId="19" fillId="24" borderId="12" xfId="0" applyFont="1" applyFill="1" applyBorder="1"/>
    <xf numFmtId="0" fontId="4" fillId="27" borderId="46" xfId="0" applyFont="1" applyFill="1" applyBorder="1"/>
    <xf numFmtId="0" fontId="19" fillId="26" borderId="35" xfId="0" applyFont="1" applyFill="1" applyBorder="1" applyAlignment="1">
      <alignment horizontal="center" vertical="center"/>
    </xf>
    <xf numFmtId="15" fontId="10" fillId="0" borderId="78" xfId="0" applyNumberFormat="1" applyFont="1" applyBorder="1" applyAlignment="1">
      <alignment horizontal="center"/>
    </xf>
    <xf numFmtId="15" fontId="10" fillId="0" borderId="83" xfId="0" applyNumberFormat="1" applyFont="1" applyBorder="1" applyAlignment="1">
      <alignment horizontal="center"/>
    </xf>
    <xf numFmtId="15" fontId="10" fillId="0" borderId="79" xfId="0" applyNumberFormat="1" applyFont="1" applyBorder="1" applyAlignment="1">
      <alignment horizontal="center"/>
    </xf>
    <xf numFmtId="2" fontId="96" fillId="0" borderId="71" xfId="0" applyNumberFormat="1" applyFont="1" applyBorder="1" applyAlignment="1">
      <alignment horizontal="center"/>
    </xf>
    <xf numFmtId="2" fontId="96" fillId="0" borderId="72" xfId="0" applyNumberFormat="1" applyFont="1" applyBorder="1" applyAlignment="1">
      <alignment horizontal="center"/>
    </xf>
    <xf numFmtId="2" fontId="96" fillId="0" borderId="73" xfId="0" applyNumberFormat="1" applyFont="1" applyBorder="1" applyAlignment="1">
      <alignment horizontal="center"/>
    </xf>
    <xf numFmtId="2" fontId="96" fillId="0" borderId="74" xfId="0" applyNumberFormat="1" applyFont="1" applyBorder="1" applyAlignment="1">
      <alignment horizontal="center"/>
    </xf>
    <xf numFmtId="2" fontId="96" fillId="0" borderId="10" xfId="0" applyNumberFormat="1" applyFont="1" applyBorder="1" applyAlignment="1">
      <alignment horizontal="center"/>
    </xf>
    <xf numFmtId="2" fontId="96" fillId="0" borderId="16" xfId="0" applyNumberFormat="1" applyFont="1" applyBorder="1" applyAlignment="1">
      <alignment horizontal="center"/>
    </xf>
    <xf numFmtId="2" fontId="96" fillId="0" borderId="28" xfId="0" applyNumberFormat="1" applyFont="1" applyBorder="1" applyAlignment="1">
      <alignment horizontal="center"/>
    </xf>
    <xf numFmtId="2" fontId="96" fillId="0" borderId="29" xfId="0" applyNumberFormat="1" applyFont="1" applyBorder="1" applyAlignment="1">
      <alignment horizontal="center"/>
    </xf>
    <xf numFmtId="2" fontId="96" fillId="0" borderId="30" xfId="0" applyNumberFormat="1" applyFont="1" applyBorder="1" applyAlignment="1">
      <alignment horizontal="center"/>
    </xf>
    <xf numFmtId="16" fontId="4" fillId="27" borderId="33" xfId="0" applyNumberFormat="1" applyFont="1" applyFill="1" applyBorder="1" applyAlignment="1">
      <alignment horizontal="center"/>
    </xf>
    <xf numFmtId="2" fontId="166" fillId="27" borderId="97" xfId="0" applyNumberFormat="1" applyFont="1" applyFill="1" applyBorder="1" applyAlignment="1">
      <alignment horizontal="center"/>
    </xf>
    <xf numFmtId="2" fontId="166" fillId="27" borderId="65" xfId="0" applyNumberFormat="1" applyFont="1" applyFill="1" applyBorder="1" applyAlignment="1">
      <alignment horizontal="center"/>
    </xf>
    <xf numFmtId="2" fontId="166" fillId="27" borderId="66" xfId="0" applyNumberFormat="1" applyFont="1" applyFill="1" applyBorder="1" applyAlignment="1">
      <alignment horizontal="center"/>
    </xf>
    <xf numFmtId="0" fontId="19" fillId="26" borderId="33" xfId="0" applyFont="1" applyFill="1" applyBorder="1" applyAlignment="1">
      <alignment horizontal="center" vertical="center"/>
    </xf>
    <xf numFmtId="0" fontId="19" fillId="24" borderId="33" xfId="0" applyFont="1" applyFill="1" applyBorder="1" applyAlignment="1">
      <alignment horizontal="center" vertical="center"/>
    </xf>
    <xf numFmtId="0" fontId="19" fillId="25" borderId="33" xfId="0" applyFont="1" applyFill="1" applyBorder="1" applyAlignment="1">
      <alignment horizontal="center" vertical="center"/>
    </xf>
    <xf numFmtId="0" fontId="10" fillId="45" borderId="0" xfId="0" applyFont="1" applyFill="1" applyBorder="1" applyAlignment="1">
      <alignment horizontal="center"/>
    </xf>
    <xf numFmtId="2" fontId="8" fillId="45" borderId="0" xfId="0" applyNumberFormat="1" applyFont="1" applyFill="1" applyBorder="1" applyAlignment="1">
      <alignment horizontal="center"/>
    </xf>
    <xf numFmtId="2" fontId="11" fillId="45" borderId="0" xfId="0" applyNumberFormat="1" applyFont="1" applyFill="1" applyBorder="1" applyAlignment="1">
      <alignment horizontal="center"/>
    </xf>
    <xf numFmtId="2" fontId="9" fillId="45" borderId="0" xfId="0" applyNumberFormat="1" applyFont="1" applyFill="1" applyBorder="1" applyAlignment="1">
      <alignment horizontal="center"/>
    </xf>
    <xf numFmtId="2" fontId="7" fillId="45" borderId="0" xfId="0" applyNumberFormat="1" applyFont="1" applyFill="1" applyBorder="1" applyAlignment="1">
      <alignment horizontal="center"/>
    </xf>
    <xf numFmtId="2" fontId="6" fillId="45" borderId="0" xfId="0" applyNumberFormat="1" applyFont="1" applyFill="1" applyBorder="1" applyAlignment="1">
      <alignment horizontal="center"/>
    </xf>
    <xf numFmtId="2" fontId="3" fillId="31" borderId="12" xfId="0" applyNumberFormat="1" applyFont="1" applyFill="1" applyBorder="1" applyAlignment="1">
      <alignment horizontal="center"/>
    </xf>
    <xf numFmtId="2" fontId="3" fillId="0" borderId="72" xfId="0" applyNumberFormat="1" applyFont="1" applyFill="1" applyBorder="1" applyAlignment="1">
      <alignment horizontal="center"/>
    </xf>
    <xf numFmtId="2" fontId="3" fillId="0" borderId="73" xfId="0" applyNumberFormat="1" applyFont="1" applyFill="1" applyBorder="1" applyAlignment="1">
      <alignment horizontal="center"/>
    </xf>
    <xf numFmtId="2" fontId="3" fillId="0" borderId="10" xfId="0" applyNumberFormat="1" applyFont="1" applyFill="1" applyBorder="1" applyAlignment="1">
      <alignment horizontal="center"/>
    </xf>
    <xf numFmtId="2" fontId="3" fillId="0" borderId="16" xfId="0" applyNumberFormat="1" applyFont="1" applyFill="1" applyBorder="1" applyAlignment="1">
      <alignment horizontal="center"/>
    </xf>
    <xf numFmtId="2" fontId="3" fillId="0" borderId="29" xfId="0" applyNumberFormat="1" applyFont="1" applyFill="1" applyBorder="1" applyAlignment="1">
      <alignment horizontal="center"/>
    </xf>
    <xf numFmtId="2" fontId="3" fillId="0" borderId="30" xfId="0" applyNumberFormat="1" applyFont="1" applyFill="1" applyBorder="1" applyAlignment="1">
      <alignment horizontal="center"/>
    </xf>
    <xf numFmtId="2" fontId="3" fillId="53" borderId="0" xfId="0" applyNumberFormat="1" applyFont="1" applyFill="1" applyBorder="1" applyAlignment="1">
      <alignment horizontal="center"/>
    </xf>
    <xf numFmtId="2" fontId="3" fillId="31" borderId="17" xfId="0" applyNumberFormat="1" applyFont="1" applyFill="1" applyBorder="1" applyAlignment="1">
      <alignment horizontal="center"/>
    </xf>
    <xf numFmtId="2" fontId="96" fillId="45" borderId="48" xfId="0" applyNumberFormat="1" applyFont="1" applyFill="1" applyBorder="1" applyAlignment="1">
      <alignment horizontal="center"/>
    </xf>
    <xf numFmtId="2" fontId="10" fillId="31" borderId="44" xfId="0" applyNumberFormat="1" applyFont="1" applyFill="1" applyBorder="1" applyAlignment="1">
      <alignment horizontal="center"/>
    </xf>
    <xf numFmtId="0" fontId="79" fillId="27" borderId="33" xfId="0" applyFont="1" applyFill="1" applyBorder="1" applyAlignment="1">
      <alignment horizontal="center" vertical="center" wrapText="1"/>
    </xf>
    <xf numFmtId="0" fontId="79" fillId="27" borderId="35" xfId="0" applyFont="1" applyFill="1" applyBorder="1" applyAlignment="1">
      <alignment horizontal="center" vertical="center" wrapText="1"/>
    </xf>
    <xf numFmtId="0" fontId="121" fillId="45" borderId="0" xfId="0" applyFont="1" applyFill="1" applyBorder="1"/>
    <xf numFmtId="2" fontId="78" fillId="0" borderId="0" xfId="0" applyNumberFormat="1" applyFont="1" applyBorder="1" applyAlignment="1">
      <alignment horizontal="right"/>
    </xf>
    <xf numFmtId="2" fontId="20" fillId="0" borderId="0" xfId="0" applyNumberFormat="1" applyFont="1" applyBorder="1" applyAlignment="1">
      <alignment horizontal="right"/>
    </xf>
    <xf numFmtId="0" fontId="78" fillId="0" borderId="0" xfId="0" applyFont="1" applyBorder="1" applyAlignment="1">
      <alignment horizontal="right"/>
    </xf>
    <xf numFmtId="0" fontId="20" fillId="0" borderId="0" xfId="0" applyFont="1" applyBorder="1" applyAlignment="1">
      <alignment horizontal="right"/>
    </xf>
    <xf numFmtId="0" fontId="22" fillId="45" borderId="0" xfId="0" applyFont="1" applyFill="1" applyBorder="1"/>
    <xf numFmtId="0" fontId="15" fillId="45" borderId="0" xfId="0" applyFont="1" applyFill="1" applyBorder="1"/>
    <xf numFmtId="0" fontId="13" fillId="45" borderId="0" xfId="0" applyFont="1" applyFill="1"/>
    <xf numFmtId="2" fontId="20" fillId="45" borderId="26" xfId="0" applyNumberFormat="1" applyFont="1" applyFill="1" applyBorder="1" applyAlignment="1">
      <alignment horizontal="center"/>
    </xf>
    <xf numFmtId="0" fontId="4" fillId="36" borderId="34" xfId="0" applyFont="1" applyFill="1" applyBorder="1"/>
    <xf numFmtId="2" fontId="4" fillId="36" borderId="35" xfId="0" applyNumberFormat="1" applyFont="1" applyFill="1" applyBorder="1" applyAlignment="1">
      <alignment horizontal="center"/>
    </xf>
    <xf numFmtId="2" fontId="20" fillId="71" borderId="0" xfId="0" applyNumberFormat="1" applyFont="1" applyFill="1" applyBorder="1" applyAlignment="1">
      <alignment horizontal="center"/>
    </xf>
    <xf numFmtId="0" fontId="14" fillId="31" borderId="0" xfId="0" applyFont="1" applyFill="1" applyBorder="1"/>
    <xf numFmtId="0" fontId="20" fillId="0" borderId="0" xfId="0" applyFont="1" applyFill="1" applyBorder="1"/>
    <xf numFmtId="2" fontId="20" fillId="71" borderId="32" xfId="0" applyNumberFormat="1" applyFont="1" applyFill="1" applyBorder="1" applyAlignment="1">
      <alignment horizontal="center"/>
    </xf>
    <xf numFmtId="0" fontId="19" fillId="59" borderId="34" xfId="0" applyFont="1" applyFill="1" applyBorder="1"/>
    <xf numFmtId="0" fontId="0" fillId="45" borderId="35" xfId="0" applyFill="1" applyBorder="1"/>
    <xf numFmtId="2" fontId="19" fillId="59" borderId="35" xfId="0" applyNumberFormat="1" applyFont="1" applyFill="1" applyBorder="1" applyAlignment="1">
      <alignment horizontal="center"/>
    </xf>
    <xf numFmtId="2" fontId="19" fillId="59" borderId="36" xfId="0" applyNumberFormat="1" applyFont="1" applyFill="1" applyBorder="1" applyAlignment="1">
      <alignment horizontal="center"/>
    </xf>
    <xf numFmtId="2" fontId="20" fillId="71" borderId="26" xfId="0" applyNumberFormat="1" applyFont="1" applyFill="1" applyBorder="1" applyAlignment="1">
      <alignment horizontal="center"/>
    </xf>
    <xf numFmtId="2" fontId="20" fillId="71" borderId="23" xfId="0" applyNumberFormat="1" applyFont="1" applyFill="1" applyBorder="1" applyAlignment="1">
      <alignment horizontal="center"/>
    </xf>
    <xf numFmtId="2" fontId="20" fillId="71" borderId="27" xfId="0" applyNumberFormat="1" applyFont="1" applyFill="1" applyBorder="1" applyAlignment="1">
      <alignment horizontal="center"/>
    </xf>
    <xf numFmtId="0" fontId="110" fillId="72" borderId="72" xfId="0" applyFont="1" applyFill="1" applyBorder="1" applyAlignment="1">
      <alignment horizontal="center"/>
    </xf>
    <xf numFmtId="0" fontId="114" fillId="72" borderId="72" xfId="0" applyFont="1" applyFill="1" applyBorder="1" applyAlignment="1">
      <alignment horizontal="center"/>
    </xf>
    <xf numFmtId="0" fontId="115" fillId="72" borderId="93" xfId="0" applyFont="1" applyFill="1" applyBorder="1" applyAlignment="1">
      <alignment horizontal="center"/>
    </xf>
    <xf numFmtId="0" fontId="114" fillId="72" borderId="78" xfId="0" applyFont="1" applyFill="1" applyBorder="1" applyAlignment="1">
      <alignment horizontal="center"/>
    </xf>
    <xf numFmtId="0" fontId="115" fillId="72" borderId="78" xfId="0" applyFont="1" applyFill="1" applyBorder="1" applyAlignment="1">
      <alignment horizontal="center"/>
    </xf>
    <xf numFmtId="0" fontId="115" fillId="72" borderId="15" xfId="0" applyFont="1" applyFill="1" applyBorder="1" applyAlignment="1">
      <alignment horizontal="center"/>
    </xf>
    <xf numFmtId="0" fontId="115" fillId="72" borderId="29" xfId="0" applyFont="1" applyFill="1" applyBorder="1" applyAlignment="1">
      <alignment horizontal="center"/>
    </xf>
    <xf numFmtId="0" fontId="115" fillId="72" borderId="94" xfId="0" applyFont="1" applyFill="1" applyBorder="1" applyAlignment="1">
      <alignment horizontal="center"/>
    </xf>
    <xf numFmtId="0" fontId="115" fillId="72" borderId="79" xfId="0" applyFont="1" applyFill="1" applyBorder="1" applyAlignment="1">
      <alignment horizontal="center"/>
    </xf>
    <xf numFmtId="16" fontId="116" fillId="72" borderId="34" xfId="0" applyNumberFormat="1" applyFont="1" applyFill="1" applyBorder="1" applyAlignment="1">
      <alignment horizontal="center"/>
    </xf>
    <xf numFmtId="2" fontId="110" fillId="72" borderId="96" xfId="0" applyNumberFormat="1" applyFont="1" applyFill="1" applyBorder="1" applyAlignment="1">
      <alignment horizontal="center"/>
    </xf>
    <xf numFmtId="0" fontId="110" fillId="73" borderId="72" xfId="0" applyFont="1" applyFill="1" applyBorder="1" applyAlignment="1">
      <alignment horizontal="center"/>
    </xf>
    <xf numFmtId="0" fontId="114" fillId="73" borderId="72" xfId="0" applyFont="1" applyFill="1" applyBorder="1" applyAlignment="1">
      <alignment horizontal="center"/>
    </xf>
    <xf numFmtId="0" fontId="115" fillId="73" borderId="93" xfId="0" applyFont="1" applyFill="1" applyBorder="1" applyAlignment="1">
      <alignment horizontal="center"/>
    </xf>
    <xf numFmtId="0" fontId="114" fillId="73" borderId="78" xfId="0" applyFont="1" applyFill="1" applyBorder="1" applyAlignment="1">
      <alignment horizontal="center"/>
    </xf>
    <xf numFmtId="0" fontId="115" fillId="73" borderId="78" xfId="0" applyFont="1" applyFill="1" applyBorder="1" applyAlignment="1">
      <alignment horizontal="center"/>
    </xf>
    <xf numFmtId="0" fontId="115" fillId="73" borderId="15" xfId="0" applyFont="1" applyFill="1" applyBorder="1" applyAlignment="1">
      <alignment horizontal="center"/>
    </xf>
    <xf numFmtId="0" fontId="115" fillId="73" borderId="29" xfId="0" applyFont="1" applyFill="1" applyBorder="1" applyAlignment="1">
      <alignment horizontal="center"/>
    </xf>
    <xf numFmtId="0" fontId="115" fillId="73" borderId="94" xfId="0" applyFont="1" applyFill="1" applyBorder="1" applyAlignment="1">
      <alignment horizontal="center"/>
    </xf>
    <xf numFmtId="0" fontId="115" fillId="73" borderId="79" xfId="0" applyFont="1" applyFill="1" applyBorder="1" applyAlignment="1">
      <alignment horizontal="center"/>
    </xf>
    <xf numFmtId="16" fontId="116" fillId="73" borderId="34" xfId="0" applyNumberFormat="1" applyFont="1" applyFill="1" applyBorder="1" applyAlignment="1">
      <alignment horizontal="center"/>
    </xf>
    <xf numFmtId="2" fontId="110" fillId="73" borderId="96" xfId="0" applyNumberFormat="1" applyFont="1" applyFill="1" applyBorder="1" applyAlignment="1">
      <alignment horizontal="center"/>
    </xf>
    <xf numFmtId="2" fontId="110" fillId="73" borderId="64" xfId="0" applyNumberFormat="1" applyFont="1" applyFill="1" applyBorder="1" applyAlignment="1">
      <alignment horizontal="center"/>
    </xf>
    <xf numFmtId="2" fontId="110" fillId="73" borderId="65" xfId="0" applyNumberFormat="1" applyFont="1" applyFill="1" applyBorder="1" applyAlignment="1">
      <alignment horizontal="center"/>
    </xf>
    <xf numFmtId="2" fontId="110" fillId="73" borderId="66" xfId="0" applyNumberFormat="1" applyFont="1" applyFill="1" applyBorder="1" applyAlignment="1">
      <alignment horizontal="center"/>
    </xf>
    <xf numFmtId="2" fontId="3" fillId="0" borderId="10" xfId="0" applyNumberFormat="1" applyFont="1" applyBorder="1" applyAlignment="1">
      <alignment horizontal="center"/>
    </xf>
    <xf numFmtId="0" fontId="115" fillId="73" borderId="72" xfId="0" applyFont="1" applyFill="1" applyBorder="1" applyAlignment="1">
      <alignment horizontal="center"/>
    </xf>
    <xf numFmtId="0" fontId="114" fillId="73" borderId="73" xfId="0" applyFont="1" applyFill="1" applyBorder="1" applyAlignment="1">
      <alignment horizontal="center"/>
    </xf>
    <xf numFmtId="0" fontId="115" fillId="73" borderId="25" xfId="0" applyFont="1" applyFill="1" applyBorder="1" applyAlignment="1">
      <alignment horizontal="center"/>
    </xf>
    <xf numFmtId="0" fontId="27" fillId="31" borderId="0" xfId="0" applyFont="1" applyFill="1" applyBorder="1" applyAlignment="1">
      <alignment horizontal="center"/>
    </xf>
    <xf numFmtId="0" fontId="0" fillId="35" borderId="31" xfId="0" applyFill="1" applyBorder="1"/>
    <xf numFmtId="0" fontId="0" fillId="35" borderId="32" xfId="0" applyFill="1" applyBorder="1"/>
    <xf numFmtId="15" fontId="4" fillId="53" borderId="31" xfId="0" applyNumberFormat="1" applyFont="1" applyFill="1" applyBorder="1" applyAlignment="1">
      <alignment horizontal="center" vertical="center" wrapText="1"/>
    </xf>
    <xf numFmtId="2" fontId="0" fillId="53" borderId="32" xfId="0" applyNumberFormat="1" applyFill="1" applyBorder="1" applyAlignment="1">
      <alignment horizontal="center"/>
    </xf>
    <xf numFmtId="15" fontId="4" fillId="48" borderId="31" xfId="0" applyNumberFormat="1" applyFont="1" applyFill="1" applyBorder="1" applyAlignment="1">
      <alignment horizontal="center" vertical="center" wrapText="1"/>
    </xf>
    <xf numFmtId="2" fontId="3" fillId="53" borderId="32" xfId="0" applyNumberFormat="1" applyFont="1" applyFill="1" applyBorder="1" applyAlignment="1">
      <alignment horizontal="center"/>
    </xf>
    <xf numFmtId="0" fontId="179" fillId="45" borderId="0" xfId="0" applyFont="1" applyFill="1" applyBorder="1"/>
    <xf numFmtId="0" fontId="180" fillId="31" borderId="0" xfId="0" applyFont="1" applyFill="1" applyBorder="1" applyAlignment="1">
      <alignment horizontal="center"/>
    </xf>
    <xf numFmtId="0" fontId="178" fillId="45" borderId="0" xfId="0" applyFont="1" applyFill="1" applyBorder="1"/>
    <xf numFmtId="0" fontId="182" fillId="45" borderId="0" xfId="0" applyFont="1" applyFill="1" applyBorder="1"/>
    <xf numFmtId="0" fontId="110" fillId="61" borderId="34" xfId="0" applyFont="1" applyFill="1" applyBorder="1" applyAlignment="1">
      <alignment horizontal="center" vertical="center" wrapText="1"/>
    </xf>
    <xf numFmtId="0" fontId="158" fillId="61" borderId="35" xfId="0" applyFont="1" applyFill="1" applyBorder="1" applyAlignment="1">
      <alignment horizontal="center" vertical="center" wrapText="1"/>
    </xf>
    <xf numFmtId="0" fontId="158" fillId="61" borderId="33" xfId="0" applyFont="1" applyFill="1" applyBorder="1" applyAlignment="1">
      <alignment horizontal="center" vertical="center" wrapText="1"/>
    </xf>
    <xf numFmtId="0" fontId="158" fillId="61" borderId="36" xfId="0" applyFont="1" applyFill="1" applyBorder="1" applyAlignment="1">
      <alignment horizontal="center" vertical="center" wrapText="1"/>
    </xf>
    <xf numFmtId="15" fontId="10" fillId="31" borderId="42" xfId="0" applyNumberFormat="1" applyFont="1" applyFill="1" applyBorder="1" applyAlignment="1">
      <alignment horizontal="center"/>
    </xf>
    <xf numFmtId="0" fontId="115" fillId="72" borderId="20" xfId="0" applyFont="1" applyFill="1" applyBorder="1" applyAlignment="1">
      <alignment horizontal="center"/>
    </xf>
    <xf numFmtId="0" fontId="115" fillId="72" borderId="85" xfId="0" applyFont="1" applyFill="1" applyBorder="1" applyAlignment="1">
      <alignment horizontal="center"/>
    </xf>
    <xf numFmtId="2" fontId="3" fillId="48" borderId="0" xfId="0" applyNumberFormat="1" applyFont="1" applyFill="1" applyBorder="1" applyAlignment="1">
      <alignment horizontal="center"/>
    </xf>
    <xf numFmtId="2" fontId="3" fillId="48" borderId="32" xfId="0" applyNumberFormat="1" applyFont="1" applyFill="1" applyBorder="1" applyAlignment="1">
      <alignment horizontal="center"/>
    </xf>
    <xf numFmtId="0" fontId="19" fillId="58" borderId="41" xfId="0" applyFont="1" applyFill="1" applyBorder="1" applyAlignment="1">
      <alignment horizontal="center" vertical="center"/>
    </xf>
    <xf numFmtId="2" fontId="17" fillId="31" borderId="71" xfId="0" applyNumberFormat="1" applyFont="1" applyFill="1" applyBorder="1" applyAlignment="1">
      <alignment horizontal="center"/>
    </xf>
    <xf numFmtId="2" fontId="17" fillId="31" borderId="74" xfId="0" applyNumberFormat="1" applyFont="1" applyFill="1" applyBorder="1" applyAlignment="1">
      <alignment horizontal="center"/>
    </xf>
    <xf numFmtId="2" fontId="17" fillId="31" borderId="28" xfId="0" applyNumberFormat="1" applyFont="1" applyFill="1" applyBorder="1" applyAlignment="1">
      <alignment horizontal="center"/>
    </xf>
    <xf numFmtId="2" fontId="17" fillId="31" borderId="29" xfId="0" applyNumberFormat="1" applyFont="1" applyFill="1" applyBorder="1" applyAlignment="1">
      <alignment horizontal="center"/>
    </xf>
    <xf numFmtId="2" fontId="10" fillId="31" borderId="29" xfId="0" applyNumberFormat="1" applyFont="1" applyFill="1" applyBorder="1" applyAlignment="1">
      <alignment horizontal="center"/>
    </xf>
    <xf numFmtId="2" fontId="96" fillId="0" borderId="30" xfId="0" applyNumberFormat="1" applyFont="1" applyFill="1" applyBorder="1" applyAlignment="1">
      <alignment horizontal="center"/>
    </xf>
    <xf numFmtId="2" fontId="3" fillId="0" borderId="0" xfId="0" applyNumberFormat="1" applyFont="1" applyFill="1" applyBorder="1" applyAlignment="1">
      <alignment horizontal="center"/>
    </xf>
    <xf numFmtId="15" fontId="3" fillId="31" borderId="39" xfId="0" applyNumberFormat="1" applyFont="1" applyFill="1" applyBorder="1" applyAlignment="1">
      <alignment horizontal="center"/>
    </xf>
    <xf numFmtId="2" fontId="96" fillId="45" borderId="29" xfId="0" applyNumberFormat="1" applyFont="1" applyFill="1" applyBorder="1" applyAlignment="1">
      <alignment horizontal="center"/>
    </xf>
    <xf numFmtId="0" fontId="189" fillId="61" borderId="33" xfId="0" applyFont="1" applyFill="1" applyBorder="1" applyAlignment="1">
      <alignment horizontal="center" vertical="center" wrapText="1"/>
    </xf>
    <xf numFmtId="15" fontId="4" fillId="48" borderId="0" xfId="0" applyNumberFormat="1" applyFont="1" applyFill="1" applyBorder="1" applyAlignment="1">
      <alignment horizontal="center" vertical="center" wrapText="1"/>
    </xf>
    <xf numFmtId="2" fontId="3" fillId="45" borderId="0" xfId="0" applyNumberFormat="1" applyFont="1" applyFill="1" applyBorder="1" applyAlignment="1">
      <alignment horizontal="center"/>
    </xf>
    <xf numFmtId="0" fontId="3" fillId="53" borderId="0" xfId="0" applyFont="1" applyFill="1" applyBorder="1"/>
    <xf numFmtId="0" fontId="158" fillId="57" borderId="0" xfId="0" applyFont="1" applyFill="1" applyBorder="1" applyAlignment="1">
      <alignment horizontal="center" vertical="center" wrapText="1"/>
    </xf>
    <xf numFmtId="0" fontId="158" fillId="0" borderId="0" xfId="0" applyFont="1" applyBorder="1" applyAlignment="1">
      <alignment horizontal="center" vertical="center" wrapText="1"/>
    </xf>
    <xf numFmtId="0" fontId="109" fillId="45" borderId="0" xfId="0" applyFont="1" applyFill="1" applyBorder="1" applyAlignment="1">
      <alignment horizontal="center" vertical="center" wrapText="1"/>
    </xf>
    <xf numFmtId="0" fontId="175" fillId="45" borderId="0" xfId="0" applyFont="1" applyFill="1" applyBorder="1" applyAlignment="1">
      <alignment horizontal="center" vertical="center" wrapText="1"/>
    </xf>
    <xf numFmtId="2" fontId="0" fillId="45" borderId="42" xfId="0" applyNumberFormat="1" applyFill="1" applyBorder="1" applyAlignment="1">
      <alignment horizontal="center" vertical="center"/>
    </xf>
    <xf numFmtId="0" fontId="0" fillId="45" borderId="37" xfId="0" applyFill="1" applyBorder="1" applyAlignment="1">
      <alignment horizontal="center" vertical="center"/>
    </xf>
    <xf numFmtId="0" fontId="0" fillId="45" borderId="38" xfId="0" applyFill="1" applyBorder="1" applyAlignment="1">
      <alignment horizontal="center" vertical="center"/>
    </xf>
    <xf numFmtId="0" fontId="0" fillId="45" borderId="0" xfId="0" applyFill="1" applyBorder="1" applyAlignment="1">
      <alignment horizontal="center" vertical="center"/>
    </xf>
    <xf numFmtId="2" fontId="0" fillId="45" borderId="0" xfId="0" applyNumberFormat="1" applyFill="1" applyBorder="1" applyAlignment="1">
      <alignment horizontal="center" vertical="center"/>
    </xf>
    <xf numFmtId="2" fontId="17" fillId="45" borderId="32" xfId="0" applyNumberFormat="1" applyFont="1" applyFill="1" applyBorder="1" applyAlignment="1">
      <alignment horizontal="center"/>
    </xf>
    <xf numFmtId="2" fontId="0" fillId="45" borderId="31" xfId="0" applyNumberFormat="1" applyFill="1" applyBorder="1" applyAlignment="1">
      <alignment horizontal="center"/>
    </xf>
    <xf numFmtId="2" fontId="17" fillId="45" borderId="0" xfId="0" applyNumberFormat="1" applyFont="1" applyFill="1" applyBorder="1" applyAlignment="1">
      <alignment horizontal="center"/>
    </xf>
    <xf numFmtId="0" fontId="110" fillId="74" borderId="72" xfId="0" applyFont="1" applyFill="1" applyBorder="1" applyAlignment="1">
      <alignment horizontal="center"/>
    </xf>
    <xf numFmtId="0" fontId="114" fillId="74" borderId="72" xfId="0" applyFont="1" applyFill="1" applyBorder="1" applyAlignment="1">
      <alignment horizontal="center"/>
    </xf>
    <xf numFmtId="0" fontId="115" fillId="74" borderId="93" xfId="0" applyFont="1" applyFill="1" applyBorder="1" applyAlignment="1">
      <alignment horizontal="center"/>
    </xf>
    <xf numFmtId="0" fontId="114" fillId="74" borderId="78" xfId="0" applyFont="1" applyFill="1" applyBorder="1" applyAlignment="1">
      <alignment horizontal="center"/>
    </xf>
    <xf numFmtId="0" fontId="115" fillId="74" borderId="78" xfId="0" applyFont="1" applyFill="1" applyBorder="1" applyAlignment="1">
      <alignment horizontal="center"/>
    </xf>
    <xf numFmtId="0" fontId="115" fillId="74" borderId="15" xfId="0" applyFont="1" applyFill="1" applyBorder="1" applyAlignment="1">
      <alignment horizontal="center"/>
    </xf>
    <xf numFmtId="0" fontId="115" fillId="74" borderId="20" xfId="0" applyFont="1" applyFill="1" applyBorder="1" applyAlignment="1">
      <alignment horizontal="center"/>
    </xf>
    <xf numFmtId="0" fontId="115" fillId="74" borderId="85" xfId="0" applyFont="1" applyFill="1" applyBorder="1" applyAlignment="1">
      <alignment horizontal="center"/>
    </xf>
    <xf numFmtId="16" fontId="116" fillId="74" borderId="34" xfId="0" applyNumberFormat="1" applyFont="1" applyFill="1" applyBorder="1" applyAlignment="1">
      <alignment horizontal="center"/>
    </xf>
    <xf numFmtId="2" fontId="110" fillId="74" borderId="96" xfId="0" applyNumberFormat="1" applyFont="1" applyFill="1" applyBorder="1" applyAlignment="1">
      <alignment horizontal="center"/>
    </xf>
    <xf numFmtId="2" fontId="96" fillId="0" borderId="44" xfId="0" applyNumberFormat="1" applyFont="1" applyFill="1" applyBorder="1" applyAlignment="1">
      <alignment horizontal="center"/>
    </xf>
    <xf numFmtId="0" fontId="79" fillId="75" borderId="33" xfId="0" applyFont="1" applyFill="1" applyBorder="1" applyAlignment="1">
      <alignment horizontal="center" vertical="center" wrapText="1"/>
    </xf>
    <xf numFmtId="0" fontId="79" fillId="75" borderId="35" xfId="0" applyFont="1" applyFill="1" applyBorder="1" applyAlignment="1">
      <alignment horizontal="center" vertical="center" wrapText="1"/>
    </xf>
    <xf numFmtId="0" fontId="79" fillId="27" borderId="27" xfId="0" applyFont="1" applyFill="1" applyBorder="1" applyAlignment="1">
      <alignment horizontal="center" vertical="center" wrapText="1"/>
    </xf>
    <xf numFmtId="0" fontId="79" fillId="27" borderId="40" xfId="0" applyFont="1" applyFill="1" applyBorder="1" applyAlignment="1">
      <alignment horizontal="center" vertical="center" wrapText="1"/>
    </xf>
    <xf numFmtId="0" fontId="110" fillId="76" borderId="34" xfId="0" applyFont="1" applyFill="1" applyBorder="1" applyAlignment="1">
      <alignment horizontal="center" vertical="center" wrapText="1"/>
    </xf>
    <xf numFmtId="0" fontId="189" fillId="76" borderId="33" xfId="0" applyFont="1" applyFill="1" applyBorder="1" applyAlignment="1">
      <alignment horizontal="center" vertical="center" wrapText="1"/>
    </xf>
    <xf numFmtId="0" fontId="158" fillId="76" borderId="35" xfId="0" applyFont="1" applyFill="1" applyBorder="1" applyAlignment="1">
      <alignment horizontal="center" vertical="center" wrapText="1"/>
    </xf>
    <xf numFmtId="0" fontId="158" fillId="76" borderId="33" xfId="0" applyFont="1" applyFill="1" applyBorder="1" applyAlignment="1">
      <alignment horizontal="center" vertical="center" wrapText="1"/>
    </xf>
    <xf numFmtId="0" fontId="158" fillId="76" borderId="36" xfId="0" applyFont="1" applyFill="1" applyBorder="1" applyAlignment="1">
      <alignment horizontal="center" vertical="center" wrapText="1"/>
    </xf>
    <xf numFmtId="0" fontId="175" fillId="45" borderId="0" xfId="0" applyFont="1" applyFill="1" applyBorder="1" applyAlignment="1">
      <alignment horizontal="center" vertical="center" wrapText="1"/>
    </xf>
    <xf numFmtId="15" fontId="4" fillId="27" borderId="0" xfId="0" applyNumberFormat="1" applyFont="1" applyFill="1" applyBorder="1" applyAlignment="1">
      <alignment horizontal="center" vertical="center" wrapText="1"/>
    </xf>
    <xf numFmtId="0" fontId="4" fillId="27" borderId="0" xfId="0" applyFont="1" applyFill="1" applyBorder="1"/>
    <xf numFmtId="2" fontId="10" fillId="31" borderId="13" xfId="0" applyNumberFormat="1" applyFont="1" applyFill="1" applyBorder="1" applyAlignment="1">
      <alignment horizontal="center"/>
    </xf>
    <xf numFmtId="2" fontId="110" fillId="74" borderId="39" xfId="0" applyNumberFormat="1" applyFont="1" applyFill="1" applyBorder="1" applyAlignment="1">
      <alignment horizontal="center"/>
    </xf>
    <xf numFmtId="2" fontId="17" fillId="31" borderId="75" xfId="0" applyNumberFormat="1" applyFont="1" applyFill="1" applyBorder="1" applyAlignment="1">
      <alignment horizontal="center"/>
    </xf>
    <xf numFmtId="2" fontId="110" fillId="74" borderId="45" xfId="0" applyNumberFormat="1" applyFont="1" applyFill="1" applyBorder="1" applyAlignment="1">
      <alignment horizontal="center"/>
    </xf>
    <xf numFmtId="2" fontId="17" fillId="31" borderId="78" xfId="0" applyNumberFormat="1" applyFont="1" applyFill="1" applyBorder="1" applyAlignment="1">
      <alignment horizontal="center"/>
    </xf>
    <xf numFmtId="2" fontId="0" fillId="0" borderId="83" xfId="0" applyNumberFormat="1" applyBorder="1" applyAlignment="1">
      <alignment horizontal="center"/>
    </xf>
    <xf numFmtId="2" fontId="110" fillId="74" borderId="27" xfId="0" applyNumberFormat="1" applyFont="1" applyFill="1" applyBorder="1" applyAlignment="1">
      <alignment horizontal="center"/>
    </xf>
    <xf numFmtId="0" fontId="115" fillId="74" borderId="48" xfId="0" applyFont="1" applyFill="1" applyBorder="1" applyAlignment="1">
      <alignment horizontal="center"/>
    </xf>
    <xf numFmtId="0" fontId="115" fillId="74" borderId="47" xfId="0" applyFont="1" applyFill="1" applyBorder="1" applyAlignment="1">
      <alignment horizontal="center"/>
    </xf>
    <xf numFmtId="0" fontId="115" fillId="74" borderId="23" xfId="0" applyFont="1" applyFill="1" applyBorder="1" applyAlignment="1">
      <alignment horizontal="center"/>
    </xf>
    <xf numFmtId="0" fontId="115" fillId="74" borderId="32" xfId="0" applyFont="1" applyFill="1" applyBorder="1" applyAlignment="1">
      <alignment horizontal="center"/>
    </xf>
    <xf numFmtId="0" fontId="110" fillId="74" borderId="64" xfId="0" applyFont="1" applyFill="1" applyBorder="1" applyAlignment="1">
      <alignment horizontal="center"/>
    </xf>
    <xf numFmtId="0" fontId="110" fillId="74" borderId="65" xfId="0" applyFont="1" applyFill="1" applyBorder="1" applyAlignment="1">
      <alignment horizontal="center"/>
    </xf>
    <xf numFmtId="0" fontId="114" fillId="74" borderId="98" xfId="0" applyFont="1" applyFill="1" applyBorder="1" applyAlignment="1">
      <alignment horizontal="center"/>
    </xf>
    <xf numFmtId="0" fontId="115" fillId="74" borderId="33" xfId="0" applyFont="1" applyFill="1" applyBorder="1" applyAlignment="1">
      <alignment horizontal="center"/>
    </xf>
    <xf numFmtId="0" fontId="114" fillId="74" borderId="36" xfId="0" applyFont="1" applyFill="1" applyBorder="1" applyAlignment="1">
      <alignment horizontal="center"/>
    </xf>
    <xf numFmtId="0" fontId="114" fillId="74" borderId="33" xfId="0" applyFont="1" applyFill="1" applyBorder="1" applyAlignment="1">
      <alignment horizontal="center"/>
    </xf>
    <xf numFmtId="0" fontId="115" fillId="74" borderId="44" xfId="0" applyFont="1" applyFill="1" applyBorder="1" applyAlignment="1">
      <alignment horizontal="center"/>
    </xf>
    <xf numFmtId="0" fontId="110" fillId="74" borderId="98" xfId="0" applyFont="1" applyFill="1" applyBorder="1" applyAlignment="1">
      <alignment horizontal="center"/>
    </xf>
    <xf numFmtId="2" fontId="3" fillId="31" borderId="13" xfId="0" applyNumberFormat="1" applyFont="1" applyFill="1" applyBorder="1" applyAlignment="1">
      <alignment horizontal="center"/>
    </xf>
    <xf numFmtId="2" fontId="3" fillId="31" borderId="10" xfId="0" applyNumberFormat="1" applyFont="1" applyFill="1" applyBorder="1" applyAlignment="1">
      <alignment horizontal="center"/>
    </xf>
    <xf numFmtId="2" fontId="17" fillId="31" borderId="80" xfId="0" applyNumberFormat="1" applyFont="1" applyFill="1" applyBorder="1" applyAlignment="1">
      <alignment horizontal="center"/>
    </xf>
    <xf numFmtId="2" fontId="3" fillId="31" borderId="0" xfId="0" applyNumberFormat="1" applyFont="1" applyFill="1" applyBorder="1" applyAlignment="1">
      <alignment horizontal="center"/>
    </xf>
    <xf numFmtId="2" fontId="0" fillId="0" borderId="23" xfId="0" applyNumberFormat="1" applyBorder="1" applyAlignment="1">
      <alignment horizontal="center"/>
    </xf>
    <xf numFmtId="0" fontId="201" fillId="45" borderId="0" xfId="0" applyFont="1" applyFill="1" applyBorder="1"/>
    <xf numFmtId="0" fontId="171" fillId="45" borderId="0" xfId="0" applyFont="1" applyFill="1" applyBorder="1"/>
    <xf numFmtId="0" fontId="171" fillId="0" borderId="0" xfId="0" applyFont="1"/>
    <xf numFmtId="2" fontId="17" fillId="31" borderId="81" xfId="0" applyNumberFormat="1" applyFont="1" applyFill="1" applyBorder="1" applyAlignment="1">
      <alignment horizontal="center"/>
    </xf>
    <xf numFmtId="2" fontId="17" fillId="31" borderId="99" xfId="0" applyNumberFormat="1" applyFont="1" applyFill="1" applyBorder="1" applyAlignment="1">
      <alignment horizontal="center"/>
    </xf>
    <xf numFmtId="0" fontId="0" fillId="45" borderId="26" xfId="0" applyFill="1" applyBorder="1"/>
    <xf numFmtId="0" fontId="0" fillId="45" borderId="23" xfId="0" applyFill="1" applyBorder="1"/>
    <xf numFmtId="0" fontId="0" fillId="45" borderId="27" xfId="0" applyFill="1" applyBorder="1"/>
    <xf numFmtId="2" fontId="19" fillId="59" borderId="40" xfId="0" applyNumberFormat="1" applyFont="1" applyFill="1" applyBorder="1" applyAlignment="1">
      <alignment horizontal="center"/>
    </xf>
    <xf numFmtId="2" fontId="20" fillId="45" borderId="27" xfId="0" applyNumberFormat="1" applyFont="1" applyFill="1" applyBorder="1" applyAlignment="1">
      <alignment horizontal="center"/>
    </xf>
    <xf numFmtId="2" fontId="20" fillId="45" borderId="42" xfId="0" applyNumberFormat="1" applyFont="1" applyFill="1" applyBorder="1" applyAlignment="1">
      <alignment horizontal="center"/>
    </xf>
    <xf numFmtId="2" fontId="20" fillId="45" borderId="31" xfId="0" applyNumberFormat="1" applyFont="1" applyFill="1" applyBorder="1" applyAlignment="1">
      <alignment horizontal="center"/>
    </xf>
    <xf numFmtId="2" fontId="20" fillId="71" borderId="31" xfId="0" applyNumberFormat="1" applyFont="1" applyFill="1" applyBorder="1" applyAlignment="1">
      <alignment horizontal="center"/>
    </xf>
    <xf numFmtId="2" fontId="20" fillId="71" borderId="39" xfId="0" applyNumberFormat="1" applyFont="1" applyFill="1" applyBorder="1" applyAlignment="1">
      <alignment horizontal="center"/>
    </xf>
    <xf numFmtId="2" fontId="20" fillId="45" borderId="38" xfId="0" applyNumberFormat="1" applyFont="1" applyFill="1" applyBorder="1" applyAlignment="1">
      <alignment horizontal="center"/>
    </xf>
    <xf numFmtId="2" fontId="20" fillId="45" borderId="32" xfId="0" applyNumberFormat="1" applyFont="1" applyFill="1" applyBorder="1" applyAlignment="1">
      <alignment horizontal="center"/>
    </xf>
    <xf numFmtId="2" fontId="20" fillId="71" borderId="41" xfId="0" applyNumberFormat="1" applyFont="1" applyFill="1" applyBorder="1" applyAlignment="1">
      <alignment horizontal="center"/>
    </xf>
    <xf numFmtId="2" fontId="20" fillId="71" borderId="42" xfId="0" applyNumberFormat="1" applyFont="1" applyFill="1" applyBorder="1" applyAlignment="1">
      <alignment horizontal="center"/>
    </xf>
    <xf numFmtId="2" fontId="20" fillId="71" borderId="38" xfId="0" applyNumberFormat="1" applyFont="1" applyFill="1" applyBorder="1" applyAlignment="1">
      <alignment horizontal="center"/>
    </xf>
    <xf numFmtId="2" fontId="4" fillId="36" borderId="40" xfId="0" applyNumberFormat="1" applyFont="1" applyFill="1" applyBorder="1" applyAlignment="1">
      <alignment horizontal="center"/>
    </xf>
    <xf numFmtId="2" fontId="0" fillId="31" borderId="0" xfId="0" applyNumberFormat="1" applyFill="1" applyBorder="1" applyAlignment="1">
      <alignment horizontal="center"/>
    </xf>
    <xf numFmtId="2" fontId="17" fillId="31" borderId="0" xfId="0" applyNumberFormat="1" applyFont="1" applyFill="1" applyBorder="1" applyAlignment="1">
      <alignment horizontal="center"/>
    </xf>
    <xf numFmtId="2" fontId="17" fillId="31" borderId="32" xfId="0" applyNumberFormat="1" applyFont="1" applyFill="1" applyBorder="1" applyAlignment="1">
      <alignment horizontal="center"/>
    </xf>
    <xf numFmtId="15" fontId="3" fillId="31" borderId="23" xfId="0" applyNumberFormat="1" applyFont="1" applyFill="1" applyBorder="1" applyAlignment="1">
      <alignment horizontal="center"/>
    </xf>
    <xf numFmtId="2" fontId="0" fillId="31" borderId="42" xfId="0" applyNumberFormat="1" applyFill="1" applyBorder="1" applyAlignment="1">
      <alignment horizontal="center"/>
    </xf>
    <xf numFmtId="2" fontId="17" fillId="31" borderId="37" xfId="0" applyNumberFormat="1" applyFont="1" applyFill="1" applyBorder="1" applyAlignment="1">
      <alignment horizontal="center"/>
    </xf>
    <xf numFmtId="2" fontId="17" fillId="31" borderId="38" xfId="0" applyNumberFormat="1" applyFont="1" applyFill="1" applyBorder="1" applyAlignment="1">
      <alignment horizontal="center"/>
    </xf>
    <xf numFmtId="2" fontId="0" fillId="31" borderId="31" xfId="0" applyNumberFormat="1" applyFill="1" applyBorder="1" applyAlignment="1">
      <alignment horizontal="center"/>
    </xf>
    <xf numFmtId="2" fontId="0" fillId="31" borderId="39" xfId="0" applyNumberFormat="1" applyFill="1" applyBorder="1" applyAlignment="1">
      <alignment horizontal="center"/>
    </xf>
    <xf numFmtId="2" fontId="0" fillId="31" borderId="40" xfId="0" applyNumberFormat="1" applyFill="1" applyBorder="1" applyAlignment="1">
      <alignment horizontal="center"/>
    </xf>
    <xf numFmtId="2" fontId="17" fillId="31" borderId="40" xfId="0" applyNumberFormat="1" applyFont="1" applyFill="1" applyBorder="1" applyAlignment="1">
      <alignment horizontal="center"/>
    </xf>
    <xf numFmtId="2" fontId="17" fillId="31" borderId="41" xfId="0" applyNumberFormat="1" applyFont="1" applyFill="1" applyBorder="1" applyAlignment="1">
      <alignment horizontal="center"/>
    </xf>
    <xf numFmtId="2" fontId="0" fillId="0" borderId="31" xfId="0" applyNumberFormat="1" applyBorder="1" applyAlignment="1">
      <alignment horizontal="center"/>
    </xf>
    <xf numFmtId="2" fontId="0" fillId="0" borderId="0" xfId="0" applyNumberFormat="1" applyBorder="1"/>
    <xf numFmtId="2" fontId="19" fillId="59" borderId="27" xfId="0" applyNumberFormat="1" applyFont="1" applyFill="1" applyBorder="1" applyAlignment="1">
      <alignment horizontal="center"/>
    </xf>
    <xf numFmtId="2" fontId="17" fillId="31" borderId="24" xfId="0" applyNumberFormat="1" applyFont="1" applyFill="1" applyBorder="1" applyAlignment="1">
      <alignment horizontal="center"/>
    </xf>
    <xf numFmtId="2" fontId="3" fillId="31" borderId="20" xfId="0" applyNumberFormat="1" applyFont="1" applyFill="1" applyBorder="1" applyAlignment="1">
      <alignment horizontal="center"/>
    </xf>
    <xf numFmtId="0" fontId="204" fillId="80" borderId="64" xfId="0" applyFont="1" applyFill="1" applyBorder="1" applyAlignment="1">
      <alignment horizontal="center"/>
    </xf>
    <xf numFmtId="0" fontId="204" fillId="80" borderId="98" xfId="0" applyFont="1" applyFill="1" applyBorder="1" applyAlignment="1">
      <alignment horizontal="center"/>
    </xf>
    <xf numFmtId="0" fontId="204" fillId="80" borderId="65" xfId="0" applyFont="1" applyFill="1" applyBorder="1" applyAlignment="1">
      <alignment horizontal="center"/>
    </xf>
    <xf numFmtId="0" fontId="203" fillId="80" borderId="98" xfId="0" applyFont="1" applyFill="1" applyBorder="1" applyAlignment="1">
      <alignment horizontal="center"/>
    </xf>
    <xf numFmtId="0" fontId="203" fillId="80" borderId="33" xfId="0" applyFont="1" applyFill="1" applyBorder="1" applyAlignment="1">
      <alignment horizontal="center"/>
    </xf>
    <xf numFmtId="0" fontId="203" fillId="80" borderId="36" xfId="0" applyFont="1" applyFill="1" applyBorder="1" applyAlignment="1">
      <alignment horizontal="center"/>
    </xf>
    <xf numFmtId="0" fontId="205" fillId="80" borderId="33" xfId="0" applyFont="1" applyFill="1" applyBorder="1" applyAlignment="1">
      <alignment horizontal="center"/>
    </xf>
    <xf numFmtId="0" fontId="205" fillId="80" borderId="44" xfId="0" applyFont="1" applyFill="1" applyBorder="1" applyAlignment="1">
      <alignment horizontal="center"/>
    </xf>
    <xf numFmtId="0" fontId="205" fillId="80" borderId="48" xfId="0" applyFont="1" applyFill="1" applyBorder="1" applyAlignment="1">
      <alignment horizontal="center"/>
    </xf>
    <xf numFmtId="0" fontId="205" fillId="80" borderId="47" xfId="0" applyFont="1" applyFill="1" applyBorder="1" applyAlignment="1">
      <alignment horizontal="center"/>
    </xf>
    <xf numFmtId="0" fontId="205" fillId="80" borderId="23" xfId="0" applyFont="1" applyFill="1" applyBorder="1" applyAlignment="1">
      <alignment horizontal="center"/>
    </xf>
    <xf numFmtId="0" fontId="205" fillId="80" borderId="32" xfId="0" applyFont="1" applyFill="1" applyBorder="1" applyAlignment="1">
      <alignment horizontal="center"/>
    </xf>
    <xf numFmtId="16" fontId="206" fillId="80" borderId="34" xfId="0" applyNumberFormat="1" applyFont="1" applyFill="1" applyBorder="1" applyAlignment="1">
      <alignment horizontal="center"/>
    </xf>
    <xf numFmtId="2" fontId="204" fillId="80" borderId="64" xfId="0" applyNumberFormat="1" applyFont="1" applyFill="1" applyBorder="1" applyAlignment="1">
      <alignment horizontal="center"/>
    </xf>
    <xf numFmtId="2" fontId="204" fillId="80" borderId="34" xfId="0" applyNumberFormat="1" applyFont="1" applyFill="1" applyBorder="1" applyAlignment="1">
      <alignment horizontal="center"/>
    </xf>
    <xf numFmtId="2" fontId="204" fillId="80" borderId="33" xfId="0" applyNumberFormat="1" applyFont="1" applyFill="1" applyBorder="1" applyAlignment="1">
      <alignment horizontal="center"/>
    </xf>
    <xf numFmtId="17" fontId="20" fillId="45" borderId="0" xfId="0" applyNumberFormat="1" applyFont="1" applyFill="1" applyBorder="1"/>
    <xf numFmtId="0" fontId="67" fillId="31" borderId="0" xfId="0" applyFont="1" applyFill="1" applyBorder="1"/>
    <xf numFmtId="0" fontId="53" fillId="31" borderId="0" xfId="0" applyFont="1" applyFill="1" applyBorder="1"/>
    <xf numFmtId="0" fontId="19" fillId="46" borderId="0" xfId="0" applyFont="1" applyFill="1" applyBorder="1" applyAlignment="1">
      <alignment horizontal="center"/>
    </xf>
    <xf numFmtId="0" fontId="19" fillId="47" borderId="0" xfId="0" applyFont="1" applyFill="1" applyBorder="1" applyAlignment="1">
      <alignment horizontal="left" vertical="center"/>
    </xf>
    <xf numFmtId="2" fontId="19" fillId="47" borderId="0" xfId="0" applyNumberFormat="1" applyFont="1" applyFill="1" applyBorder="1" applyAlignment="1">
      <alignment horizontal="center" vertical="center"/>
    </xf>
    <xf numFmtId="0" fontId="19" fillId="47" borderId="0" xfId="0" applyFont="1" applyFill="1" applyBorder="1"/>
    <xf numFmtId="2" fontId="19" fillId="47" borderId="0" xfId="0" applyNumberFormat="1" applyFont="1" applyFill="1" applyBorder="1" applyAlignment="1">
      <alignment horizontal="center"/>
    </xf>
    <xf numFmtId="0" fontId="26" fillId="46" borderId="0" xfId="0" applyFont="1" applyFill="1" applyBorder="1" applyAlignment="1">
      <alignment horizontal="center"/>
    </xf>
    <xf numFmtId="0" fontId="210" fillId="45" borderId="0" xfId="0" applyFont="1" applyFill="1" applyBorder="1"/>
    <xf numFmtId="0" fontId="209" fillId="45" borderId="0" xfId="0" applyFont="1" applyFill="1" applyBorder="1"/>
    <xf numFmtId="2" fontId="213" fillId="45" borderId="0" xfId="0" applyNumberFormat="1" applyFont="1" applyFill="1" applyBorder="1" applyAlignment="1">
      <alignment horizontal="center"/>
    </xf>
    <xf numFmtId="4" fontId="208" fillId="79" borderId="0" xfId="42" applyNumberFormat="1" applyFont="1" applyFill="1" applyBorder="1" applyAlignment="1">
      <alignment horizontal="center" vertical="center" wrapText="1"/>
    </xf>
    <xf numFmtId="0" fontId="214" fillId="31" borderId="0" xfId="0" applyFont="1" applyFill="1" applyBorder="1"/>
    <xf numFmtId="2" fontId="214" fillId="31" borderId="0" xfId="0" applyNumberFormat="1" applyFont="1" applyFill="1" applyBorder="1" applyAlignment="1">
      <alignment horizontal="center"/>
    </xf>
    <xf numFmtId="2" fontId="215" fillId="31" borderId="0" xfId="0" applyNumberFormat="1" applyFont="1" applyFill="1" applyBorder="1" applyAlignment="1">
      <alignment horizontal="center"/>
    </xf>
    <xf numFmtId="2" fontId="216" fillId="31" borderId="0" xfId="0" applyNumberFormat="1" applyFont="1" applyFill="1" applyBorder="1" applyAlignment="1">
      <alignment horizontal="center"/>
    </xf>
    <xf numFmtId="2" fontId="212" fillId="31" borderId="0" xfId="0" applyNumberFormat="1" applyFont="1" applyFill="1" applyBorder="1" applyAlignment="1">
      <alignment horizontal="center"/>
    </xf>
    <xf numFmtId="0" fontId="217" fillId="31" borderId="0" xfId="0" applyFont="1" applyFill="1" applyBorder="1"/>
    <xf numFmtId="0" fontId="218" fillId="77" borderId="0" xfId="0" applyFont="1" applyFill="1" applyBorder="1" applyAlignment="1">
      <alignment horizontal="center"/>
    </xf>
    <xf numFmtId="4" fontId="219" fillId="79" borderId="0" xfId="42" applyNumberFormat="1" applyFont="1" applyFill="1" applyBorder="1" applyAlignment="1">
      <alignment horizontal="center" vertical="center" wrapText="1"/>
    </xf>
    <xf numFmtId="17" fontId="220" fillId="45" borderId="0" xfId="0" applyNumberFormat="1" applyFont="1" applyFill="1" applyBorder="1"/>
    <xf numFmtId="2" fontId="220" fillId="45" borderId="0" xfId="0" applyNumberFormat="1" applyFont="1" applyFill="1" applyBorder="1" applyAlignment="1">
      <alignment horizontal="center"/>
    </xf>
    <xf numFmtId="2" fontId="220" fillId="78" borderId="0" xfId="42" applyNumberFormat="1" applyFont="1" applyFill="1" applyBorder="1" applyAlignment="1">
      <alignment horizontal="left"/>
    </xf>
    <xf numFmtId="2" fontId="220" fillId="78" borderId="0" xfId="42" applyNumberFormat="1" applyFont="1" applyFill="1" applyBorder="1" applyAlignment="1">
      <alignment horizontal="center"/>
    </xf>
    <xf numFmtId="0" fontId="220" fillId="45" borderId="0" xfId="0" applyFont="1" applyFill="1" applyBorder="1"/>
    <xf numFmtId="2" fontId="213" fillId="82" borderId="0" xfId="0" applyNumberFormat="1" applyFont="1" applyFill="1" applyBorder="1" applyAlignment="1">
      <alignment horizontal="center"/>
    </xf>
    <xf numFmtId="17" fontId="207" fillId="45" borderId="0" xfId="0" applyNumberFormat="1" applyFont="1" applyFill="1" applyBorder="1"/>
    <xf numFmtId="2" fontId="207" fillId="78" borderId="0" xfId="42" applyNumberFormat="1" applyFont="1" applyFill="1" applyBorder="1" applyAlignment="1">
      <alignment horizontal="left"/>
    </xf>
    <xf numFmtId="0" fontId="207" fillId="45" borderId="0" xfId="0" applyFont="1" applyFill="1" applyBorder="1"/>
    <xf numFmtId="0" fontId="110" fillId="83" borderId="64" xfId="0" applyFont="1" applyFill="1" applyBorder="1" applyAlignment="1">
      <alignment horizontal="center"/>
    </xf>
    <xf numFmtId="0" fontId="110" fillId="83" borderId="98" xfId="0" applyFont="1" applyFill="1" applyBorder="1" applyAlignment="1">
      <alignment horizontal="center"/>
    </xf>
    <xf numFmtId="0" fontId="110" fillId="83" borderId="65" xfId="0" applyFont="1" applyFill="1" applyBorder="1" applyAlignment="1">
      <alignment horizontal="center"/>
    </xf>
    <xf numFmtId="0" fontId="114" fillId="83" borderId="98" xfId="0" applyFont="1" applyFill="1" applyBorder="1" applyAlignment="1">
      <alignment horizontal="center"/>
    </xf>
    <xf numFmtId="0" fontId="114" fillId="83" borderId="33" xfId="0" applyFont="1" applyFill="1" applyBorder="1" applyAlignment="1">
      <alignment horizontal="center"/>
    </xf>
    <xf numFmtId="0" fontId="114" fillId="83" borderId="36" xfId="0" applyFont="1" applyFill="1" applyBorder="1" applyAlignment="1">
      <alignment horizontal="center"/>
    </xf>
    <xf numFmtId="0" fontId="115" fillId="83" borderId="33" xfId="0" applyFont="1" applyFill="1" applyBorder="1" applyAlignment="1">
      <alignment horizontal="center"/>
    </xf>
    <xf numFmtId="0" fontId="115" fillId="83" borderId="44" xfId="0" applyFont="1" applyFill="1" applyBorder="1" applyAlignment="1">
      <alignment horizontal="center"/>
    </xf>
    <xf numFmtId="0" fontId="115" fillId="83" borderId="48" xfId="0" applyFont="1" applyFill="1" applyBorder="1" applyAlignment="1">
      <alignment horizontal="center"/>
    </xf>
    <xf numFmtId="0" fontId="115" fillId="83" borderId="47" xfId="0" applyFont="1" applyFill="1" applyBorder="1" applyAlignment="1">
      <alignment horizontal="center"/>
    </xf>
    <xf numFmtId="0" fontId="115" fillId="83" borderId="23" xfId="0" applyFont="1" applyFill="1" applyBorder="1" applyAlignment="1">
      <alignment horizontal="center"/>
    </xf>
    <xf numFmtId="0" fontId="115" fillId="83" borderId="32" xfId="0" applyFont="1" applyFill="1" applyBorder="1" applyAlignment="1">
      <alignment horizontal="center"/>
    </xf>
    <xf numFmtId="16" fontId="116" fillId="83" borderId="34" xfId="0" applyNumberFormat="1" applyFont="1" applyFill="1" applyBorder="1" applyAlignment="1">
      <alignment horizontal="center"/>
    </xf>
    <xf numFmtId="2" fontId="110" fillId="83" borderId="64" xfId="0" applyNumberFormat="1" applyFont="1" applyFill="1" applyBorder="1" applyAlignment="1">
      <alignment horizontal="center"/>
    </xf>
    <xf numFmtId="15" fontId="110" fillId="27" borderId="33" xfId="0" applyNumberFormat="1" applyFont="1" applyFill="1" applyBorder="1" applyAlignment="1">
      <alignment horizontal="center"/>
    </xf>
    <xf numFmtId="2" fontId="110" fillId="27" borderId="35" xfId="0" applyNumberFormat="1" applyFont="1" applyFill="1" applyBorder="1" applyAlignment="1">
      <alignment horizontal="center"/>
    </xf>
    <xf numFmtId="15" fontId="105" fillId="31" borderId="23" xfId="0" applyNumberFormat="1" applyFont="1" applyFill="1" applyBorder="1" applyAlignment="1">
      <alignment horizontal="center"/>
    </xf>
    <xf numFmtId="2" fontId="105" fillId="31" borderId="42" xfId="0" applyNumberFormat="1" applyFont="1" applyFill="1" applyBorder="1" applyAlignment="1">
      <alignment horizontal="center"/>
    </xf>
    <xf numFmtId="2" fontId="105" fillId="31" borderId="37" xfId="0" applyNumberFormat="1" applyFont="1" applyFill="1" applyBorder="1" applyAlignment="1">
      <alignment horizontal="center"/>
    </xf>
    <xf numFmtId="2" fontId="105" fillId="31" borderId="38" xfId="0" applyNumberFormat="1" applyFont="1" applyFill="1" applyBorder="1" applyAlignment="1">
      <alignment horizontal="center"/>
    </xf>
    <xf numFmtId="2" fontId="105" fillId="31" borderId="31" xfId="0" applyNumberFormat="1" applyFont="1" applyFill="1" applyBorder="1" applyAlignment="1">
      <alignment horizontal="center"/>
    </xf>
    <xf numFmtId="2" fontId="105" fillId="31" borderId="0" xfId="0" applyNumberFormat="1" applyFont="1" applyFill="1" applyBorder="1" applyAlignment="1">
      <alignment horizontal="center"/>
    </xf>
    <xf numFmtId="2" fontId="105" fillId="31" borderId="32" xfId="0" applyNumberFormat="1" applyFont="1" applyFill="1" applyBorder="1" applyAlignment="1">
      <alignment horizontal="center"/>
    </xf>
    <xf numFmtId="15" fontId="110" fillId="27" borderId="34" xfId="0" applyNumberFormat="1" applyFont="1" applyFill="1" applyBorder="1" applyAlignment="1">
      <alignment horizontal="center"/>
    </xf>
    <xf numFmtId="2" fontId="110" fillId="27" borderId="34" xfId="0" applyNumberFormat="1" applyFont="1" applyFill="1" applyBorder="1" applyAlignment="1">
      <alignment horizontal="center"/>
    </xf>
    <xf numFmtId="2" fontId="110" fillId="27" borderId="36" xfId="0" applyNumberFormat="1" applyFont="1" applyFill="1" applyBorder="1" applyAlignment="1">
      <alignment horizontal="center"/>
    </xf>
    <xf numFmtId="2" fontId="105" fillId="45" borderId="0" xfId="0" applyNumberFormat="1" applyFont="1" applyFill="1" applyBorder="1" applyAlignment="1">
      <alignment horizontal="center"/>
    </xf>
    <xf numFmtId="2" fontId="105" fillId="45" borderId="32" xfId="0" applyNumberFormat="1" applyFont="1" applyFill="1" applyBorder="1" applyAlignment="1">
      <alignment horizontal="center"/>
    </xf>
    <xf numFmtId="15" fontId="105" fillId="31" borderId="26" xfId="0" applyNumberFormat="1" applyFont="1" applyFill="1" applyBorder="1" applyAlignment="1">
      <alignment horizontal="center"/>
    </xf>
    <xf numFmtId="0" fontId="202" fillId="68" borderId="26" xfId="0" applyFont="1" applyFill="1" applyBorder="1" applyAlignment="1">
      <alignment horizontal="center" vertical="center"/>
    </xf>
    <xf numFmtId="0" fontId="202" fillId="68" borderId="27" xfId="0" applyFont="1" applyFill="1" applyBorder="1" applyAlignment="1">
      <alignment horizontal="center" vertical="center"/>
    </xf>
    <xf numFmtId="0" fontId="19" fillId="61" borderId="34" xfId="0" applyFont="1" applyFill="1" applyBorder="1" applyAlignment="1">
      <alignment horizontal="center" vertical="center"/>
    </xf>
    <xf numFmtId="0" fontId="19" fillId="61" borderId="33" xfId="0" applyFont="1" applyFill="1" applyBorder="1" applyAlignment="1">
      <alignment horizontal="center" vertical="center"/>
    </xf>
    <xf numFmtId="0" fontId="19" fillId="61" borderId="36" xfId="0" applyFont="1" applyFill="1" applyBorder="1" applyAlignment="1">
      <alignment horizontal="center" vertical="center"/>
    </xf>
    <xf numFmtId="0" fontId="19" fillId="54" borderId="34" xfId="0" applyFont="1" applyFill="1" applyBorder="1" applyAlignment="1">
      <alignment horizontal="center" vertical="center"/>
    </xf>
    <xf numFmtId="0" fontId="19" fillId="54" borderId="33" xfId="0" applyFont="1" applyFill="1" applyBorder="1" applyAlignment="1">
      <alignment horizontal="center" vertical="center"/>
    </xf>
    <xf numFmtId="0" fontId="19" fillId="54" borderId="36" xfId="0" applyFont="1" applyFill="1" applyBorder="1" applyAlignment="1">
      <alignment horizontal="center" vertical="center"/>
    </xf>
    <xf numFmtId="15" fontId="10" fillId="51" borderId="23" xfId="0" applyNumberFormat="1" applyFont="1" applyFill="1" applyBorder="1" applyAlignment="1">
      <alignment horizontal="center"/>
    </xf>
    <xf numFmtId="2" fontId="0" fillId="51" borderId="31" xfId="0" applyNumberFormat="1" applyFill="1" applyBorder="1" applyAlignment="1">
      <alignment horizontal="center"/>
    </xf>
    <xf numFmtId="2" fontId="17" fillId="51" borderId="0" xfId="0" applyNumberFormat="1" applyFont="1" applyFill="1" applyBorder="1" applyAlignment="1">
      <alignment horizontal="center"/>
    </xf>
    <xf numFmtId="2" fontId="17" fillId="51" borderId="32" xfId="0" applyNumberFormat="1" applyFont="1" applyFill="1" applyBorder="1" applyAlignment="1">
      <alignment horizontal="center"/>
    </xf>
    <xf numFmtId="2" fontId="0" fillId="51" borderId="0" xfId="0" applyNumberFormat="1" applyFill="1" applyBorder="1" applyAlignment="1">
      <alignment horizontal="center"/>
    </xf>
    <xf numFmtId="15" fontId="110" fillId="76" borderId="33" xfId="0" applyNumberFormat="1" applyFont="1" applyFill="1" applyBorder="1" applyAlignment="1">
      <alignment horizontal="center"/>
    </xf>
    <xf numFmtId="2" fontId="110" fillId="76" borderId="35" xfId="0" applyNumberFormat="1" applyFont="1" applyFill="1" applyBorder="1" applyAlignment="1">
      <alignment horizontal="center"/>
    </xf>
    <xf numFmtId="2" fontId="110" fillId="76" borderId="36" xfId="0" applyNumberFormat="1" applyFont="1" applyFill="1" applyBorder="1" applyAlignment="1">
      <alignment horizontal="center"/>
    </xf>
    <xf numFmtId="15" fontId="3" fillId="51" borderId="23" xfId="0" applyNumberFormat="1" applyFont="1" applyFill="1" applyBorder="1" applyAlignment="1">
      <alignment horizontal="center"/>
    </xf>
    <xf numFmtId="2" fontId="0" fillId="45" borderId="38" xfId="0" applyNumberFormat="1" applyFill="1" applyBorder="1" applyAlignment="1">
      <alignment horizontal="center" vertical="center"/>
    </xf>
    <xf numFmtId="15" fontId="0" fillId="51" borderId="23" xfId="0" applyNumberFormat="1" applyFill="1" applyBorder="1" applyAlignment="1">
      <alignment horizontal="center"/>
    </xf>
    <xf numFmtId="0" fontId="202" fillId="68" borderId="42" xfId="0" applyFont="1" applyFill="1" applyBorder="1" applyAlignment="1">
      <alignment horizontal="center" vertical="center"/>
    </xf>
    <xf numFmtId="0" fontId="19" fillId="61" borderId="39" xfId="0" applyFont="1" applyFill="1" applyBorder="1" applyAlignment="1">
      <alignment horizontal="center" vertical="center"/>
    </xf>
    <xf numFmtId="0" fontId="19" fillId="61" borderId="27" xfId="0" applyFont="1" applyFill="1" applyBorder="1" applyAlignment="1">
      <alignment horizontal="center" vertical="center"/>
    </xf>
    <xf numFmtId="0" fontId="19" fillId="54" borderId="0" xfId="0" applyFont="1" applyFill="1" applyBorder="1" applyAlignment="1">
      <alignment horizontal="center" vertical="center"/>
    </xf>
    <xf numFmtId="0" fontId="19" fillId="54" borderId="31" xfId="0" applyFont="1" applyFill="1" applyBorder="1" applyAlignment="1">
      <alignment horizontal="center" vertical="center"/>
    </xf>
    <xf numFmtId="2" fontId="110" fillId="76" borderId="40" xfId="0" applyNumberFormat="1" applyFont="1" applyFill="1" applyBorder="1" applyAlignment="1">
      <alignment horizontal="center"/>
    </xf>
    <xf numFmtId="2" fontId="0" fillId="31" borderId="37" xfId="0" applyNumberFormat="1" applyFill="1" applyBorder="1" applyAlignment="1">
      <alignment horizontal="center"/>
    </xf>
    <xf numFmtId="2" fontId="17" fillId="51" borderId="31" xfId="0" applyNumberFormat="1" applyFont="1" applyFill="1" applyBorder="1" applyAlignment="1">
      <alignment horizontal="center"/>
    </xf>
    <xf numFmtId="15" fontId="221" fillId="68" borderId="23" xfId="0" applyNumberFormat="1" applyFont="1" applyFill="1" applyBorder="1" applyAlignment="1">
      <alignment horizontal="center"/>
    </xf>
    <xf numFmtId="2" fontId="221" fillId="68" borderId="39" xfId="0" applyNumberFormat="1" applyFont="1" applyFill="1" applyBorder="1" applyAlignment="1">
      <alignment horizontal="center"/>
    </xf>
    <xf numFmtId="2" fontId="221" fillId="68" borderId="40" xfId="0" applyNumberFormat="1" applyFont="1" applyFill="1" applyBorder="1" applyAlignment="1">
      <alignment horizontal="center"/>
    </xf>
    <xf numFmtId="2" fontId="221" fillId="68" borderId="41" xfId="0" applyNumberFormat="1" applyFont="1" applyFill="1" applyBorder="1" applyAlignment="1">
      <alignment horizontal="center"/>
    </xf>
    <xf numFmtId="2" fontId="221" fillId="68" borderId="31" xfId="0" applyNumberFormat="1" applyFont="1" applyFill="1" applyBorder="1" applyAlignment="1">
      <alignment horizontal="center"/>
    </xf>
    <xf numFmtId="2" fontId="221" fillId="68" borderId="0" xfId="0" applyNumberFormat="1" applyFont="1" applyFill="1" applyBorder="1" applyAlignment="1">
      <alignment horizontal="center"/>
    </xf>
    <xf numFmtId="2" fontId="221" fillId="68" borderId="32" xfId="0" applyNumberFormat="1" applyFont="1" applyFill="1" applyBorder="1" applyAlignment="1">
      <alignment horizontal="center"/>
    </xf>
    <xf numFmtId="0" fontId="10" fillId="45" borderId="0" xfId="0" applyFont="1" applyFill="1"/>
    <xf numFmtId="15" fontId="10" fillId="84" borderId="83" xfId="0" applyNumberFormat="1" applyFont="1" applyFill="1" applyBorder="1" applyAlignment="1">
      <alignment horizontal="center"/>
    </xf>
    <xf numFmtId="2" fontId="96" fillId="84" borderId="74" xfId="0" applyNumberFormat="1" applyFont="1" applyFill="1" applyBorder="1" applyAlignment="1">
      <alignment horizontal="center"/>
    </xf>
    <xf numFmtId="2" fontId="96" fillId="84" borderId="10" xfId="0" applyNumberFormat="1" applyFont="1" applyFill="1" applyBorder="1" applyAlignment="1">
      <alignment horizontal="center"/>
    </xf>
    <xf numFmtId="2" fontId="96" fillId="84" borderId="16" xfId="0" applyNumberFormat="1" applyFont="1" applyFill="1" applyBorder="1" applyAlignment="1">
      <alignment horizontal="center"/>
    </xf>
    <xf numFmtId="16" fontId="110" fillId="68" borderId="33" xfId="0" applyNumberFormat="1" applyFont="1" applyFill="1" applyBorder="1" applyAlignment="1">
      <alignment horizontal="center"/>
    </xf>
    <xf numFmtId="2" fontId="110" fillId="68" borderId="97" xfId="0" applyNumberFormat="1" applyFont="1" applyFill="1" applyBorder="1" applyAlignment="1">
      <alignment horizontal="center"/>
    </xf>
    <xf numFmtId="2" fontId="110" fillId="68" borderId="65" xfId="0" applyNumberFormat="1" applyFont="1" applyFill="1" applyBorder="1" applyAlignment="1">
      <alignment horizontal="center"/>
    </xf>
    <xf numFmtId="2" fontId="110" fillId="68" borderId="66" xfId="0" applyNumberFormat="1" applyFont="1" applyFill="1" applyBorder="1" applyAlignment="1">
      <alignment horizontal="center"/>
    </xf>
    <xf numFmtId="15" fontId="10" fillId="51" borderId="83" xfId="0" applyNumberFormat="1" applyFont="1" applyFill="1" applyBorder="1" applyAlignment="1">
      <alignment horizontal="center"/>
    </xf>
    <xf numFmtId="2" fontId="96" fillId="51" borderId="74" xfId="0" applyNumberFormat="1" applyFont="1" applyFill="1" applyBorder="1" applyAlignment="1">
      <alignment horizontal="center"/>
    </xf>
    <xf numFmtId="2" fontId="96" fillId="51" borderId="10" xfId="0" applyNumberFormat="1" applyFont="1" applyFill="1" applyBorder="1" applyAlignment="1">
      <alignment horizontal="center"/>
    </xf>
    <xf numFmtId="2" fontId="96" fillId="51" borderId="16" xfId="0" applyNumberFormat="1" applyFont="1" applyFill="1" applyBorder="1" applyAlignment="1">
      <alignment horizontal="center"/>
    </xf>
    <xf numFmtId="15" fontId="10" fillId="51" borderId="78" xfId="0" applyNumberFormat="1" applyFont="1" applyFill="1" applyBorder="1" applyAlignment="1">
      <alignment horizontal="center"/>
    </xf>
    <xf numFmtId="2" fontId="96" fillId="51" borderId="71" xfId="0" applyNumberFormat="1" applyFont="1" applyFill="1" applyBorder="1" applyAlignment="1">
      <alignment horizontal="center"/>
    </xf>
    <xf numFmtId="2" fontId="96" fillId="51" borderId="72" xfId="0" applyNumberFormat="1" applyFont="1" applyFill="1" applyBorder="1" applyAlignment="1">
      <alignment horizontal="center"/>
    </xf>
    <xf numFmtId="2" fontId="96" fillId="51" borderId="73" xfId="0" applyNumberFormat="1" applyFont="1" applyFill="1" applyBorder="1" applyAlignment="1">
      <alignment horizontal="center"/>
    </xf>
    <xf numFmtId="15" fontId="110" fillId="76" borderId="26" xfId="0" applyNumberFormat="1" applyFont="1" applyFill="1" applyBorder="1" applyAlignment="1">
      <alignment horizontal="center"/>
    </xf>
    <xf numFmtId="2" fontId="110" fillId="76" borderId="37" xfId="0" applyNumberFormat="1" applyFont="1" applyFill="1" applyBorder="1" applyAlignment="1">
      <alignment horizontal="center"/>
    </xf>
    <xf numFmtId="2" fontId="110" fillId="76" borderId="38" xfId="0" applyNumberFormat="1" applyFont="1" applyFill="1" applyBorder="1" applyAlignment="1">
      <alignment horizontal="center"/>
    </xf>
    <xf numFmtId="15" fontId="110" fillId="76" borderId="27" xfId="0" applyNumberFormat="1" applyFont="1" applyFill="1" applyBorder="1" applyAlignment="1">
      <alignment horizontal="center"/>
    </xf>
    <xf numFmtId="2" fontId="110" fillId="76" borderId="41" xfId="0" applyNumberFormat="1" applyFont="1" applyFill="1" applyBorder="1" applyAlignment="1">
      <alignment horizontal="center"/>
    </xf>
    <xf numFmtId="15" fontId="3" fillId="31" borderId="42" xfId="0" applyNumberFormat="1" applyFont="1" applyFill="1" applyBorder="1" applyAlignment="1">
      <alignment horizontal="center"/>
    </xf>
    <xf numFmtId="2" fontId="0" fillId="45" borderId="37" xfId="0" applyNumberFormat="1" applyFill="1" applyBorder="1" applyAlignment="1">
      <alignment horizontal="center" vertical="center"/>
    </xf>
    <xf numFmtId="2" fontId="17" fillId="45" borderId="38" xfId="0" applyNumberFormat="1" applyFont="1" applyFill="1" applyBorder="1" applyAlignment="1">
      <alignment horizontal="center"/>
    </xf>
    <xf numFmtId="15" fontId="10" fillId="51" borderId="31" xfId="0" applyNumberFormat="1" applyFont="1" applyFill="1" applyBorder="1" applyAlignment="1">
      <alignment horizontal="center"/>
    </xf>
    <xf numFmtId="15" fontId="10" fillId="51" borderId="39" xfId="0" applyNumberFormat="1" applyFont="1" applyFill="1" applyBorder="1" applyAlignment="1">
      <alignment horizontal="center"/>
    </xf>
    <xf numFmtId="2" fontId="0" fillId="51" borderId="40" xfId="0" applyNumberFormat="1" applyFill="1" applyBorder="1" applyAlignment="1">
      <alignment horizontal="center"/>
    </xf>
    <xf numFmtId="2" fontId="17" fillId="51" borderId="40" xfId="0" applyNumberFormat="1" applyFont="1" applyFill="1" applyBorder="1" applyAlignment="1">
      <alignment horizontal="center"/>
    </xf>
    <xf numFmtId="2" fontId="17" fillId="51" borderId="41" xfId="0" applyNumberFormat="1" applyFont="1" applyFill="1" applyBorder="1" applyAlignment="1">
      <alignment horizontal="center"/>
    </xf>
    <xf numFmtId="2" fontId="0" fillId="45" borderId="31" xfId="0" applyNumberFormat="1" applyFill="1" applyBorder="1" applyAlignment="1">
      <alignment horizontal="center" vertical="center"/>
    </xf>
    <xf numFmtId="0" fontId="0" fillId="45" borderId="32" xfId="0" applyFill="1" applyBorder="1" applyAlignment="1">
      <alignment horizontal="center" vertical="center"/>
    </xf>
    <xf numFmtId="2" fontId="0" fillId="51" borderId="39" xfId="0" applyNumberFormat="1" applyFill="1" applyBorder="1" applyAlignment="1">
      <alignment horizontal="center"/>
    </xf>
    <xf numFmtId="0" fontId="226" fillId="45" borderId="0" xfId="42" applyFont="1" applyFill="1"/>
    <xf numFmtId="0" fontId="227" fillId="0" borderId="0" xfId="42" applyFont="1"/>
    <xf numFmtId="0" fontId="227" fillId="0" borderId="0" xfId="42" applyFont="1" applyBorder="1"/>
    <xf numFmtId="0" fontId="233" fillId="31" borderId="0" xfId="42" applyFont="1" applyFill="1" applyBorder="1"/>
    <xf numFmtId="0" fontId="233" fillId="45" borderId="0" xfId="42" applyFont="1" applyFill="1" applyBorder="1"/>
    <xf numFmtId="0" fontId="234" fillId="45" borderId="0" xfId="42" applyFont="1" applyFill="1" applyBorder="1"/>
    <xf numFmtId="0" fontId="226" fillId="45" borderId="0" xfId="42" applyFont="1" applyFill="1" applyBorder="1"/>
    <xf numFmtId="17" fontId="237" fillId="45" borderId="0" xfId="42" applyNumberFormat="1" applyFont="1" applyFill="1" applyBorder="1"/>
    <xf numFmtId="2" fontId="238" fillId="0" borderId="0" xfId="42" applyNumberFormat="1" applyFont="1" applyBorder="1" applyAlignment="1">
      <alignment horizontal="right"/>
    </xf>
    <xf numFmtId="2" fontId="238" fillId="45" borderId="0" xfId="42" applyNumberFormat="1" applyFont="1" applyFill="1" applyBorder="1" applyAlignment="1">
      <alignment horizontal="center"/>
    </xf>
    <xf numFmtId="2" fontId="237" fillId="45" borderId="0" xfId="42" applyNumberFormat="1" applyFont="1" applyFill="1" applyBorder="1" applyAlignment="1">
      <alignment horizontal="center"/>
    </xf>
    <xf numFmtId="0" fontId="237" fillId="78" borderId="0" xfId="42" applyFont="1" applyFill="1" applyBorder="1"/>
    <xf numFmtId="2" fontId="238" fillId="78" borderId="0" xfId="42" applyNumberFormat="1" applyFont="1" applyFill="1" applyBorder="1" applyAlignment="1">
      <alignment horizontal="right"/>
    </xf>
    <xf numFmtId="2" fontId="238" fillId="78" borderId="0" xfId="42" applyNumberFormat="1" applyFont="1" applyFill="1" applyBorder="1" applyAlignment="1">
      <alignment horizontal="center"/>
    </xf>
    <xf numFmtId="2" fontId="237" fillId="78" borderId="0" xfId="42" applyNumberFormat="1" applyFont="1" applyFill="1" applyBorder="1" applyAlignment="1">
      <alignment horizontal="center"/>
    </xf>
    <xf numFmtId="0" fontId="237" fillId="86" borderId="0" xfId="42" applyFont="1" applyFill="1" applyBorder="1"/>
    <xf numFmtId="2" fontId="238" fillId="86" borderId="0" xfId="42" applyNumberFormat="1" applyFont="1" applyFill="1" applyBorder="1" applyAlignment="1">
      <alignment horizontal="right"/>
    </xf>
    <xf numFmtId="2" fontId="238" fillId="86" borderId="0" xfId="42" applyNumberFormat="1" applyFont="1" applyFill="1" applyBorder="1" applyAlignment="1">
      <alignment horizontal="center"/>
    </xf>
    <xf numFmtId="2" fontId="237" fillId="86" borderId="0" xfId="42" applyNumberFormat="1" applyFont="1" applyFill="1" applyBorder="1" applyAlignment="1">
      <alignment horizontal="center"/>
    </xf>
    <xf numFmtId="2" fontId="239" fillId="86" borderId="0" xfId="42" applyNumberFormat="1" applyFont="1" applyFill="1" applyBorder="1" applyAlignment="1">
      <alignment horizontal="right"/>
    </xf>
    <xf numFmtId="2" fontId="239" fillId="86" borderId="0" xfId="42" applyNumberFormat="1" applyFont="1" applyFill="1" applyBorder="1" applyAlignment="1">
      <alignment horizontal="center"/>
    </xf>
    <xf numFmtId="2" fontId="240" fillId="86" borderId="0" xfId="42" applyNumberFormat="1" applyFont="1" applyFill="1" applyBorder="1" applyAlignment="1">
      <alignment horizontal="center"/>
    </xf>
    <xf numFmtId="4" fontId="235" fillId="79" borderId="0" xfId="42" applyNumberFormat="1" applyFont="1" applyFill="1" applyBorder="1" applyAlignment="1">
      <alignment horizontal="center" vertical="center"/>
    </xf>
    <xf numFmtId="4" fontId="236" fillId="79" borderId="0" xfId="42" applyNumberFormat="1" applyFont="1" applyFill="1" applyBorder="1" applyAlignment="1">
      <alignment horizontal="center" vertical="center" wrapText="1"/>
    </xf>
    <xf numFmtId="4" fontId="241" fillId="79" borderId="0" xfId="42" applyNumberFormat="1" applyFont="1" applyFill="1" applyBorder="1" applyAlignment="1">
      <alignment horizontal="center" vertical="center" wrapText="1"/>
    </xf>
    <xf numFmtId="0" fontId="242" fillId="45" borderId="0" xfId="42" applyFont="1" applyFill="1" applyBorder="1"/>
    <xf numFmtId="0" fontId="243" fillId="45" borderId="0" xfId="42" applyFont="1" applyFill="1" applyBorder="1"/>
    <xf numFmtId="4" fontId="227" fillId="0" borderId="0" xfId="42" applyNumberFormat="1" applyFont="1"/>
    <xf numFmtId="0" fontId="244" fillId="45" borderId="0" xfId="42" applyFont="1" applyFill="1" applyBorder="1"/>
    <xf numFmtId="2" fontId="235" fillId="45" borderId="0" xfId="42" applyNumberFormat="1" applyFont="1" applyFill="1" applyBorder="1" applyAlignment="1">
      <alignment horizontal="center"/>
    </xf>
    <xf numFmtId="0" fontId="245" fillId="45" borderId="0" xfId="42" applyFont="1" applyFill="1" applyBorder="1"/>
    <xf numFmtId="0" fontId="245" fillId="45" borderId="0" xfId="42" applyFont="1" applyFill="1"/>
    <xf numFmtId="0" fontId="246" fillId="45" borderId="0" xfId="42" applyFont="1" applyFill="1" applyBorder="1"/>
    <xf numFmtId="0" fontId="247" fillId="45" borderId="0" xfId="42" applyFont="1" applyFill="1" applyBorder="1"/>
    <xf numFmtId="0" fontId="248" fillId="0" borderId="0" xfId="42" applyFont="1" applyBorder="1" applyAlignment="1">
      <alignment horizontal="center"/>
    </xf>
    <xf numFmtId="2" fontId="227" fillId="0" borderId="0" xfId="42" applyNumberFormat="1" applyFont="1"/>
    <xf numFmtId="0" fontId="249" fillId="45" borderId="0" xfId="42" applyFont="1" applyFill="1" applyBorder="1"/>
    <xf numFmtId="0" fontId="252" fillId="45" borderId="0" xfId="42" applyFont="1" applyFill="1" applyBorder="1" applyAlignment="1">
      <alignment horizontal="center"/>
    </xf>
    <xf numFmtId="0" fontId="226" fillId="0" borderId="0" xfId="42" applyFont="1" applyBorder="1"/>
    <xf numFmtId="0" fontId="227" fillId="45" borderId="0" xfId="42" applyFont="1" applyFill="1"/>
    <xf numFmtId="0" fontId="250" fillId="77" borderId="0" xfId="42" applyFont="1" applyFill="1" applyBorder="1" applyAlignment="1">
      <alignment horizontal="center" vertical="center" wrapText="1"/>
    </xf>
    <xf numFmtId="0" fontId="251" fillId="77" borderId="0" xfId="42" applyFont="1" applyFill="1" applyBorder="1" applyAlignment="1">
      <alignment horizontal="center" vertical="center"/>
    </xf>
    <xf numFmtId="0" fontId="3" fillId="0" borderId="0" xfId="42" applyBorder="1"/>
    <xf numFmtId="0" fontId="253" fillId="45" borderId="0" xfId="42" applyFont="1" applyFill="1" applyBorder="1"/>
    <xf numFmtId="0" fontId="232" fillId="45" borderId="0" xfId="42" applyFont="1" applyFill="1" applyBorder="1"/>
    <xf numFmtId="0" fontId="171" fillId="45" borderId="0" xfId="42" applyFont="1" applyFill="1" applyBorder="1"/>
    <xf numFmtId="0" fontId="171" fillId="0" borderId="0" xfId="42" applyFont="1"/>
    <xf numFmtId="2" fontId="3" fillId="0" borderId="0" xfId="42" applyNumberFormat="1" applyBorder="1"/>
    <xf numFmtId="0" fontId="235" fillId="31" borderId="0" xfId="42" applyFont="1" applyFill="1" applyBorder="1"/>
    <xf numFmtId="2" fontId="235" fillId="31" borderId="0" xfId="42" applyNumberFormat="1" applyFont="1" applyFill="1" applyBorder="1" applyAlignment="1">
      <alignment horizontal="center"/>
    </xf>
    <xf numFmtId="2" fontId="19" fillId="31" borderId="0" xfId="42" applyNumberFormat="1" applyFont="1" applyFill="1" applyBorder="1" applyAlignment="1">
      <alignment horizontal="center"/>
    </xf>
    <xf numFmtId="2" fontId="87" fillId="31" borderId="0" xfId="42" applyNumberFormat="1" applyFont="1" applyFill="1" applyBorder="1" applyAlignment="1">
      <alignment horizontal="center"/>
    </xf>
    <xf numFmtId="0" fontId="12" fillId="45" borderId="0" xfId="42" applyFont="1" applyFill="1" applyBorder="1"/>
    <xf numFmtId="0" fontId="12" fillId="0" borderId="0" xfId="42" applyFont="1" applyBorder="1"/>
    <xf numFmtId="0" fontId="12" fillId="0" borderId="0" xfId="42" applyFont="1"/>
    <xf numFmtId="0" fontId="255" fillId="31" borderId="0" xfId="42" applyFont="1" applyFill="1" applyBorder="1"/>
    <xf numFmtId="0" fontId="256" fillId="57" borderId="0" xfId="42" applyFont="1" applyFill="1" applyBorder="1" applyAlignment="1">
      <alignment horizontal="center" vertical="center" wrapText="1"/>
    </xf>
    <xf numFmtId="0" fontId="256" fillId="0" borderId="0" xfId="42" applyFont="1" applyBorder="1" applyAlignment="1">
      <alignment horizontal="center" vertical="center" wrapText="1"/>
    </xf>
    <xf numFmtId="0" fontId="257" fillId="45" borderId="0" xfId="42" applyFont="1" applyFill="1" applyBorder="1" applyAlignment="1">
      <alignment horizontal="center" vertical="center" wrapText="1"/>
    </xf>
    <xf numFmtId="0" fontId="258" fillId="45" borderId="0" xfId="42" applyFont="1" applyFill="1" applyBorder="1" applyAlignment="1">
      <alignment horizontal="center" vertical="center" wrapText="1"/>
    </xf>
    <xf numFmtId="0" fontId="175" fillId="45" borderId="0" xfId="42" applyFont="1" applyFill="1" applyBorder="1" applyAlignment="1">
      <alignment horizontal="center" vertical="center" wrapText="1"/>
    </xf>
    <xf numFmtId="0" fontId="20" fillId="45" borderId="0" xfId="42" applyFont="1" applyFill="1" applyBorder="1"/>
    <xf numFmtId="0" fontId="19" fillId="58" borderId="41" xfId="42" applyFont="1" applyFill="1" applyBorder="1" applyAlignment="1">
      <alignment horizontal="center" vertical="center"/>
    </xf>
    <xf numFmtId="2" fontId="20" fillId="71" borderId="32" xfId="42" applyNumberFormat="1" applyFont="1" applyFill="1" applyBorder="1" applyAlignment="1">
      <alignment horizontal="center"/>
    </xf>
    <xf numFmtId="0" fontId="5" fillId="0" borderId="0" xfId="42" applyFont="1" applyBorder="1" applyAlignment="1">
      <alignment horizontal="center"/>
    </xf>
    <xf numFmtId="0" fontId="246" fillId="0" borderId="0" xfId="42" applyFont="1" applyFill="1" applyBorder="1"/>
    <xf numFmtId="0" fontId="5" fillId="45" borderId="0" xfId="42" applyFont="1" applyFill="1" applyBorder="1" applyAlignment="1">
      <alignment horizontal="center"/>
    </xf>
    <xf numFmtId="2" fontId="3" fillId="0" borderId="0" xfId="42" applyNumberFormat="1"/>
    <xf numFmtId="0" fontId="212" fillId="81" borderId="0" xfId="0" applyFont="1" applyFill="1" applyBorder="1" applyAlignment="1">
      <alignment horizontal="center" vertical="center"/>
    </xf>
    <xf numFmtId="17" fontId="220" fillId="87" borderId="31" xfId="0" applyNumberFormat="1" applyFont="1" applyFill="1" applyBorder="1"/>
    <xf numFmtId="2" fontId="220" fillId="78" borderId="32" xfId="42" applyNumberFormat="1" applyFont="1" applyFill="1" applyBorder="1" applyAlignment="1">
      <alignment horizontal="center"/>
    </xf>
    <xf numFmtId="17" fontId="220" fillId="45" borderId="31" xfId="0" applyNumberFormat="1" applyFont="1" applyFill="1" applyBorder="1"/>
    <xf numFmtId="2" fontId="220" fillId="45" borderId="32" xfId="0" applyNumberFormat="1" applyFont="1" applyFill="1" applyBorder="1" applyAlignment="1">
      <alignment horizontal="center"/>
    </xf>
    <xf numFmtId="17" fontId="220" fillId="87" borderId="39" xfId="0" applyNumberFormat="1" applyFont="1" applyFill="1" applyBorder="1"/>
    <xf numFmtId="2" fontId="220" fillId="78" borderId="40" xfId="42" applyNumberFormat="1" applyFont="1" applyFill="1" applyBorder="1" applyAlignment="1">
      <alignment horizontal="center"/>
    </xf>
    <xf numFmtId="2" fontId="220" fillId="78" borderId="41" xfId="42" applyNumberFormat="1" applyFont="1" applyFill="1" applyBorder="1" applyAlignment="1">
      <alignment horizontal="center"/>
    </xf>
    <xf numFmtId="0" fontId="3" fillId="31" borderId="0" xfId="42" applyFill="1"/>
    <xf numFmtId="17" fontId="220" fillId="45" borderId="42" xfId="0" applyNumberFormat="1" applyFont="1" applyFill="1" applyBorder="1"/>
    <xf numFmtId="2" fontId="220" fillId="45" borderId="37" xfId="0" applyNumberFormat="1" applyFont="1" applyFill="1" applyBorder="1" applyAlignment="1">
      <alignment horizontal="center"/>
    </xf>
    <xf numFmtId="2" fontId="220" fillId="45" borderId="38" xfId="0" applyNumberFormat="1" applyFont="1" applyFill="1" applyBorder="1" applyAlignment="1">
      <alignment horizontal="center"/>
    </xf>
    <xf numFmtId="0" fontId="3" fillId="0" borderId="22" xfId="42" applyBorder="1"/>
    <xf numFmtId="17" fontId="220" fillId="87" borderId="0" xfId="0" applyNumberFormat="1" applyFont="1" applyFill="1" applyBorder="1"/>
    <xf numFmtId="0" fontId="212" fillId="81" borderId="34" xfId="0" applyFont="1" applyFill="1" applyBorder="1" applyAlignment="1">
      <alignment horizontal="center" vertical="center"/>
    </xf>
    <xf numFmtId="0" fontId="218" fillId="77" borderId="35" xfId="0" applyFont="1" applyFill="1" applyBorder="1" applyAlignment="1">
      <alignment horizontal="center"/>
    </xf>
    <xf numFmtId="0" fontId="218" fillId="77" borderId="36" xfId="0" applyFont="1" applyFill="1" applyBorder="1" applyAlignment="1">
      <alignment horizontal="center"/>
    </xf>
    <xf numFmtId="2" fontId="220" fillId="45" borderId="0" xfId="42" applyNumberFormat="1" applyFont="1" applyFill="1" applyBorder="1" applyAlignment="1">
      <alignment horizontal="center"/>
    </xf>
    <xf numFmtId="2" fontId="220" fillId="45" borderId="32" xfId="42" applyNumberFormat="1" applyFont="1" applyFill="1" applyBorder="1" applyAlignment="1">
      <alignment horizontal="center"/>
    </xf>
    <xf numFmtId="2" fontId="153" fillId="70" borderId="0" xfId="0" applyNumberFormat="1" applyFont="1" applyFill="1" applyBorder="1" applyAlignment="1">
      <alignment horizontal="center"/>
    </xf>
    <xf numFmtId="2" fontId="0" fillId="45" borderId="0" xfId="0" applyNumberFormat="1" applyFill="1" applyBorder="1"/>
    <xf numFmtId="15" fontId="97" fillId="45" borderId="0" xfId="0" applyNumberFormat="1" applyFont="1" applyFill="1" applyBorder="1" applyAlignment="1">
      <alignment horizontal="center"/>
    </xf>
    <xf numFmtId="2" fontId="153" fillId="45" borderId="0" xfId="0" applyNumberFormat="1" applyFont="1" applyFill="1" applyBorder="1" applyAlignment="1">
      <alignment horizontal="center"/>
    </xf>
    <xf numFmtId="15" fontId="110" fillId="76" borderId="26" xfId="0" applyNumberFormat="1" applyFont="1" applyFill="1" applyBorder="1" applyAlignment="1">
      <alignment horizontal="center" vertical="center"/>
    </xf>
    <xf numFmtId="2" fontId="110" fillId="76" borderId="37" xfId="0" applyNumberFormat="1" applyFont="1" applyFill="1" applyBorder="1" applyAlignment="1">
      <alignment horizontal="center" vertical="center"/>
    </xf>
    <xf numFmtId="2" fontId="110" fillId="76" borderId="38" xfId="0" applyNumberFormat="1" applyFont="1" applyFill="1" applyBorder="1" applyAlignment="1">
      <alignment horizontal="center" vertical="center"/>
    </xf>
    <xf numFmtId="2" fontId="0" fillId="31" borderId="0" xfId="0" applyNumberFormat="1" applyFill="1" applyAlignment="1">
      <alignment horizontal="center"/>
    </xf>
    <xf numFmtId="2" fontId="17" fillId="31" borderId="0" xfId="0" applyNumberFormat="1" applyFont="1" applyFill="1" applyAlignment="1">
      <alignment horizontal="center"/>
    </xf>
    <xf numFmtId="2" fontId="17" fillId="51" borderId="0" xfId="0" applyNumberFormat="1" applyFont="1" applyFill="1" applyAlignment="1">
      <alignment horizontal="center"/>
    </xf>
    <xf numFmtId="2" fontId="0" fillId="45" borderId="0" xfId="0" applyNumberFormat="1" applyFill="1" applyAlignment="1">
      <alignment horizontal="center"/>
    </xf>
    <xf numFmtId="2" fontId="17" fillId="45" borderId="0" xfId="0" applyNumberFormat="1" applyFont="1" applyFill="1" applyAlignment="1">
      <alignment horizontal="center"/>
    </xf>
    <xf numFmtId="2" fontId="0" fillId="51" borderId="0" xfId="0" applyNumberFormat="1" applyFill="1" applyAlignment="1">
      <alignment horizontal="center"/>
    </xf>
    <xf numFmtId="2" fontId="267" fillId="0" borderId="0" xfId="42" applyNumberFormat="1" applyFont="1"/>
    <xf numFmtId="2" fontId="3" fillId="31" borderId="19" xfId="0" applyNumberFormat="1" applyFont="1" applyFill="1" applyBorder="1" applyAlignment="1">
      <alignment horizontal="center"/>
    </xf>
    <xf numFmtId="2" fontId="3" fillId="31" borderId="11" xfId="0" applyNumberFormat="1" applyFont="1" applyFill="1" applyBorder="1" applyAlignment="1">
      <alignment horizontal="center"/>
    </xf>
    <xf numFmtId="0" fontId="115" fillId="45" borderId="10" xfId="0" applyFont="1" applyFill="1" applyBorder="1" applyAlignment="1">
      <alignment horizontal="center"/>
    </xf>
    <xf numFmtId="0" fontId="1" fillId="0" borderId="0" xfId="45"/>
    <xf numFmtId="0" fontId="1" fillId="45" borderId="0" xfId="45" applyFill="1"/>
    <xf numFmtId="2" fontId="189" fillId="76" borderId="41" xfId="45" applyNumberFormat="1" applyFont="1" applyFill="1" applyBorder="1" applyAlignment="1">
      <alignment horizontal="center" vertical="center"/>
    </xf>
    <xf numFmtId="2" fontId="189" fillId="76" borderId="40" xfId="45" applyNumberFormat="1" applyFont="1" applyFill="1" applyBorder="1" applyAlignment="1">
      <alignment horizontal="center" vertical="center"/>
    </xf>
    <xf numFmtId="2" fontId="268" fillId="31" borderId="32" xfId="45" applyNumberFormat="1" applyFont="1" applyFill="1" applyBorder="1" applyAlignment="1">
      <alignment horizontal="center"/>
    </xf>
    <xf numFmtId="15" fontId="12" fillId="31" borderId="31" xfId="45" applyNumberFormat="1" applyFont="1" applyFill="1" applyBorder="1" applyAlignment="1">
      <alignment horizontal="center"/>
    </xf>
    <xf numFmtId="2" fontId="268" fillId="45" borderId="32" xfId="45" applyNumberFormat="1" applyFont="1" applyFill="1" applyBorder="1" applyAlignment="1">
      <alignment horizontal="center"/>
    </xf>
    <xf numFmtId="15" fontId="12" fillId="45" borderId="31" xfId="45" applyNumberFormat="1" applyFont="1" applyFill="1" applyBorder="1" applyAlignment="1">
      <alignment horizontal="center"/>
    </xf>
    <xf numFmtId="0" fontId="269" fillId="88" borderId="32" xfId="45" applyFont="1" applyFill="1" applyBorder="1" applyAlignment="1">
      <alignment horizontal="center" vertical="center" wrapText="1"/>
    </xf>
    <xf numFmtId="0" fontId="202" fillId="68" borderId="31" xfId="45" applyFont="1" applyFill="1" applyBorder="1" applyAlignment="1">
      <alignment horizontal="center" vertical="center"/>
    </xf>
    <xf numFmtId="0" fontId="1" fillId="45" borderId="0" xfId="45" applyFill="1" applyAlignment="1">
      <alignment horizontal="center" vertical="center"/>
    </xf>
    <xf numFmtId="0" fontId="202" fillId="68" borderId="42" xfId="45" applyFont="1" applyFill="1" applyBorder="1" applyAlignment="1">
      <alignment horizontal="center" vertical="center"/>
    </xf>
    <xf numFmtId="0" fontId="202" fillId="68" borderId="39" xfId="45" applyFont="1" applyFill="1" applyBorder="1" applyAlignment="1">
      <alignment horizontal="center" vertical="center" wrapText="1"/>
    </xf>
    <xf numFmtId="15" fontId="12" fillId="89" borderId="31" xfId="45" applyNumberFormat="1" applyFont="1" applyFill="1" applyBorder="1" applyAlignment="1">
      <alignment horizontal="center"/>
    </xf>
    <xf numFmtId="2" fontId="268" fillId="89" borderId="32" xfId="45" applyNumberFormat="1" applyFont="1" applyFill="1" applyBorder="1" applyAlignment="1">
      <alignment horizontal="center"/>
    </xf>
    <xf numFmtId="16" fontId="116" fillId="83" borderId="0" xfId="0" applyNumberFormat="1" applyFont="1" applyFill="1" applyBorder="1" applyAlignment="1">
      <alignment horizontal="center"/>
    </xf>
    <xf numFmtId="2" fontId="110" fillId="83" borderId="0" xfId="0" applyNumberFormat="1" applyFont="1" applyFill="1" applyBorder="1" applyAlignment="1">
      <alignment horizontal="center"/>
    </xf>
    <xf numFmtId="0" fontId="110" fillId="58" borderId="64" xfId="0" applyFont="1" applyFill="1" applyBorder="1" applyAlignment="1">
      <alignment horizontal="center"/>
    </xf>
    <xf numFmtId="0" fontId="110" fillId="58" borderId="98" xfId="0" applyFont="1" applyFill="1" applyBorder="1" applyAlignment="1">
      <alignment horizontal="center"/>
    </xf>
    <xf numFmtId="0" fontId="110" fillId="58" borderId="65" xfId="0" applyFont="1" applyFill="1" applyBorder="1" applyAlignment="1">
      <alignment horizontal="center"/>
    </xf>
    <xf numFmtId="0" fontId="114" fillId="58" borderId="98" xfId="0" applyFont="1" applyFill="1" applyBorder="1" applyAlignment="1">
      <alignment horizontal="center"/>
    </xf>
    <xf numFmtId="0" fontId="114" fillId="58" borderId="33" xfId="0" applyFont="1" applyFill="1" applyBorder="1" applyAlignment="1">
      <alignment horizontal="center"/>
    </xf>
    <xf numFmtId="0" fontId="114" fillId="58" borderId="36" xfId="0" applyFont="1" applyFill="1" applyBorder="1" applyAlignment="1">
      <alignment horizontal="center"/>
    </xf>
    <xf numFmtId="0" fontId="115" fillId="58" borderId="33" xfId="0" applyFont="1" applyFill="1" applyBorder="1" applyAlignment="1">
      <alignment horizontal="center"/>
    </xf>
    <xf numFmtId="0" fontId="115" fillId="58" borderId="44" xfId="0" applyFont="1" applyFill="1" applyBorder="1" applyAlignment="1">
      <alignment horizontal="center"/>
    </xf>
    <xf numFmtId="0" fontId="115" fillId="58" borderId="48" xfId="0" applyFont="1" applyFill="1" applyBorder="1" applyAlignment="1">
      <alignment horizontal="center"/>
    </xf>
    <xf numFmtId="0" fontId="115" fillId="58" borderId="47" xfId="0" applyFont="1" applyFill="1" applyBorder="1" applyAlignment="1">
      <alignment horizontal="center"/>
    </xf>
    <xf numFmtId="0" fontId="115" fillId="58" borderId="23" xfId="0" applyFont="1" applyFill="1" applyBorder="1" applyAlignment="1">
      <alignment horizontal="center"/>
    </xf>
    <xf numFmtId="0" fontId="115" fillId="58" borderId="32" xfId="0" applyFont="1" applyFill="1" applyBorder="1" applyAlignment="1">
      <alignment horizontal="center"/>
    </xf>
    <xf numFmtId="16" fontId="116" fillId="58" borderId="34" xfId="0" applyNumberFormat="1" applyFont="1" applyFill="1" applyBorder="1" applyAlignment="1">
      <alignment horizontal="center"/>
    </xf>
    <xf numFmtId="2" fontId="110" fillId="58" borderId="64" xfId="0" applyNumberFormat="1" applyFont="1" applyFill="1" applyBorder="1" applyAlignment="1">
      <alignment horizontal="center"/>
    </xf>
    <xf numFmtId="0" fontId="19" fillId="45" borderId="0" xfId="0" applyFont="1" applyFill="1" applyBorder="1"/>
    <xf numFmtId="0" fontId="25" fillId="45" borderId="0" xfId="0" applyFont="1" applyFill="1" applyBorder="1"/>
    <xf numFmtId="2" fontId="268" fillId="45" borderId="0" xfId="45" applyNumberFormat="1" applyFont="1" applyFill="1" applyBorder="1" applyAlignment="1">
      <alignment horizontal="center"/>
    </xf>
    <xf numFmtId="0" fontId="87" fillId="54" borderId="0" xfId="45" applyFont="1" applyFill="1" applyBorder="1" applyAlignment="1">
      <alignment horizontal="center" vertical="center"/>
    </xf>
    <xf numFmtId="0" fontId="269" fillId="88" borderId="0" xfId="45" applyFont="1" applyFill="1" applyBorder="1" applyAlignment="1">
      <alignment horizontal="center" vertical="center" wrapText="1"/>
    </xf>
    <xf numFmtId="2" fontId="268" fillId="89" borderId="0" xfId="45" applyNumberFormat="1" applyFont="1" applyFill="1" applyBorder="1" applyAlignment="1">
      <alignment horizontal="center"/>
    </xf>
    <xf numFmtId="2" fontId="268" fillId="31" borderId="0" xfId="45" applyNumberFormat="1" applyFont="1" applyFill="1" applyBorder="1" applyAlignment="1">
      <alignment horizontal="center"/>
    </xf>
    <xf numFmtId="0" fontId="0" fillId="51" borderId="42" xfId="0" applyFill="1" applyBorder="1" applyAlignment="1">
      <alignment horizontal="center" vertical="center"/>
    </xf>
    <xf numFmtId="0" fontId="0" fillId="51" borderId="37" xfId="0" applyFill="1" applyBorder="1" applyAlignment="1">
      <alignment horizontal="center" vertical="center"/>
    </xf>
    <xf numFmtId="0" fontId="0" fillId="51" borderId="38" xfId="0" applyFill="1" applyBorder="1" applyAlignment="1">
      <alignment horizontal="center" vertical="center"/>
    </xf>
    <xf numFmtId="0" fontId="0" fillId="51" borderId="0" xfId="0" applyFill="1" applyAlignment="1">
      <alignment horizontal="center" vertical="center"/>
    </xf>
    <xf numFmtId="0" fontId="0" fillId="51" borderId="0" xfId="0" applyFill="1" applyBorder="1" applyAlignment="1">
      <alignment horizontal="center" vertical="center"/>
    </xf>
    <xf numFmtId="2" fontId="0" fillId="51" borderId="41" xfId="0" applyNumberFormat="1" applyFill="1" applyBorder="1" applyAlignment="1">
      <alignment horizontal="center"/>
    </xf>
    <xf numFmtId="2" fontId="0" fillId="45" borderId="32" xfId="0" applyNumberFormat="1" applyFill="1" applyBorder="1" applyAlignment="1">
      <alignment horizontal="center" vertical="center"/>
    </xf>
    <xf numFmtId="2" fontId="110" fillId="76" borderId="34" xfId="0" applyNumberFormat="1" applyFont="1" applyFill="1" applyBorder="1" applyAlignment="1">
      <alignment horizontal="center" vertical="center"/>
    </xf>
    <xf numFmtId="2" fontId="110" fillId="76" borderId="35" xfId="0" applyNumberFormat="1" applyFont="1" applyFill="1" applyBorder="1" applyAlignment="1">
      <alignment horizontal="center" vertical="center"/>
    </xf>
    <xf numFmtId="2" fontId="110" fillId="76" borderId="36" xfId="0" applyNumberFormat="1" applyFont="1" applyFill="1" applyBorder="1" applyAlignment="1">
      <alignment horizontal="center" vertical="center"/>
    </xf>
    <xf numFmtId="15" fontId="3" fillId="51" borderId="31" xfId="0" applyNumberFormat="1" applyFont="1" applyFill="1" applyBorder="1" applyAlignment="1">
      <alignment horizontal="center"/>
    </xf>
    <xf numFmtId="2" fontId="110" fillId="58" borderId="33" xfId="0" applyNumberFormat="1" applyFont="1" applyFill="1" applyBorder="1" applyAlignment="1">
      <alignment horizontal="center"/>
    </xf>
    <xf numFmtId="2" fontId="0" fillId="45" borderId="0" xfId="0" applyNumberFormat="1" applyFill="1" applyAlignment="1">
      <alignment horizontal="center" vertical="center"/>
    </xf>
    <xf numFmtId="0" fontId="0" fillId="45" borderId="0" xfId="0" applyFill="1" applyAlignment="1">
      <alignment horizontal="center" vertical="center"/>
    </xf>
    <xf numFmtId="15" fontId="3" fillId="51" borderId="39" xfId="0" applyNumberFormat="1" applyFont="1" applyFill="1" applyBorder="1" applyAlignment="1">
      <alignment horizontal="center"/>
    </xf>
    <xf numFmtId="15" fontId="97" fillId="45" borderId="0" xfId="0" applyNumberFormat="1" applyFont="1" applyFill="1" applyAlignment="1">
      <alignment horizontal="center"/>
    </xf>
    <xf numFmtId="2" fontId="153" fillId="45" borderId="0" xfId="0" applyNumberFormat="1" applyFont="1" applyFill="1" applyAlignment="1">
      <alignment horizontal="center"/>
    </xf>
    <xf numFmtId="0" fontId="13" fillId="31" borderId="0" xfId="0" applyFont="1" applyFill="1"/>
    <xf numFmtId="2" fontId="3" fillId="51" borderId="31" xfId="0" applyNumberFormat="1" applyFont="1" applyFill="1" applyBorder="1" applyAlignment="1">
      <alignment horizontal="center"/>
    </xf>
    <xf numFmtId="16" fontId="116" fillId="45" borderId="42" xfId="0" applyNumberFormat="1" applyFont="1" applyFill="1" applyBorder="1" applyAlignment="1">
      <alignment horizontal="center"/>
    </xf>
    <xf numFmtId="2" fontId="110" fillId="45" borderId="64" xfId="0" applyNumberFormat="1" applyFont="1" applyFill="1" applyBorder="1" applyAlignment="1">
      <alignment horizontal="center"/>
    </xf>
    <xf numFmtId="2" fontId="110" fillId="45" borderId="35" xfId="0" applyNumberFormat="1" applyFont="1" applyFill="1" applyBorder="1" applyAlignment="1">
      <alignment horizontal="center"/>
    </xf>
    <xf numFmtId="2" fontId="110" fillId="45" borderId="97" xfId="0" applyNumberFormat="1" applyFont="1" applyFill="1" applyBorder="1" applyAlignment="1">
      <alignment horizontal="center"/>
    </xf>
    <xf numFmtId="2" fontId="110" fillId="45" borderId="34" xfId="0" applyNumberFormat="1" applyFont="1" applyFill="1" applyBorder="1" applyAlignment="1">
      <alignment horizontal="center"/>
    </xf>
    <xf numFmtId="2" fontId="110" fillId="45" borderId="33" xfId="0" applyNumberFormat="1" applyFont="1" applyFill="1" applyBorder="1" applyAlignment="1">
      <alignment horizontal="center"/>
    </xf>
    <xf numFmtId="0" fontId="281" fillId="45" borderId="0" xfId="0" applyFont="1" applyFill="1" applyBorder="1"/>
    <xf numFmtId="0" fontId="282" fillId="45" borderId="0" xfId="0" applyFont="1" applyFill="1" applyBorder="1"/>
    <xf numFmtId="2" fontId="174" fillId="45" borderId="0" xfId="0" applyNumberFormat="1" applyFont="1" applyFill="1" applyBorder="1" applyAlignment="1">
      <alignment horizontal="center"/>
    </xf>
    <xf numFmtId="0" fontId="282" fillId="31" borderId="0" xfId="0" applyFont="1" applyFill="1" applyBorder="1"/>
    <xf numFmtId="15" fontId="283" fillId="31" borderId="42" xfId="0" applyNumberFormat="1" applyFont="1" applyFill="1" applyBorder="1" applyAlignment="1">
      <alignment horizontal="center"/>
    </xf>
    <xf numFmtId="2" fontId="283" fillId="45" borderId="42" xfId="0" applyNumberFormat="1" applyFont="1" applyFill="1" applyBorder="1" applyAlignment="1">
      <alignment horizontal="center" vertical="center"/>
    </xf>
    <xf numFmtId="0" fontId="283" fillId="45" borderId="37" xfId="0" applyFont="1" applyFill="1" applyBorder="1" applyAlignment="1">
      <alignment horizontal="center" vertical="center"/>
    </xf>
    <xf numFmtId="0" fontId="283" fillId="45" borderId="38" xfId="0" applyFont="1" applyFill="1" applyBorder="1" applyAlignment="1">
      <alignment horizontal="center" vertical="center"/>
    </xf>
    <xf numFmtId="2" fontId="283" fillId="45" borderId="37" xfId="0" applyNumberFormat="1" applyFont="1" applyFill="1" applyBorder="1" applyAlignment="1">
      <alignment horizontal="center" vertical="center"/>
    </xf>
    <xf numFmtId="2" fontId="283" fillId="45" borderId="38" xfId="0" applyNumberFormat="1" applyFont="1" applyFill="1" applyBorder="1" applyAlignment="1">
      <alignment horizontal="center"/>
    </xf>
    <xf numFmtId="15" fontId="283" fillId="51" borderId="31" xfId="0" applyNumberFormat="1" applyFont="1" applyFill="1" applyBorder="1" applyAlignment="1">
      <alignment horizontal="center"/>
    </xf>
    <xf numFmtId="2" fontId="283" fillId="51" borderId="31" xfId="0" applyNumberFormat="1" applyFont="1" applyFill="1" applyBorder="1" applyAlignment="1">
      <alignment horizontal="center"/>
    </xf>
    <xf numFmtId="2" fontId="283" fillId="51" borderId="0" xfId="0" applyNumberFormat="1" applyFont="1" applyFill="1" applyBorder="1" applyAlignment="1">
      <alignment horizontal="center"/>
    </xf>
    <xf numFmtId="2" fontId="283" fillId="51" borderId="32" xfId="0" applyNumberFormat="1" applyFont="1" applyFill="1" applyBorder="1" applyAlignment="1">
      <alignment horizontal="center"/>
    </xf>
    <xf numFmtId="15" fontId="283" fillId="31" borderId="31" xfId="0" applyNumberFormat="1" applyFont="1" applyFill="1" applyBorder="1" applyAlignment="1">
      <alignment horizontal="center"/>
    </xf>
    <xf numFmtId="2" fontId="283" fillId="45" borderId="32" xfId="0" applyNumberFormat="1" applyFont="1" applyFill="1" applyBorder="1" applyAlignment="1">
      <alignment horizontal="center"/>
    </xf>
    <xf numFmtId="2" fontId="283" fillId="51" borderId="39" xfId="0" applyNumberFormat="1" applyFont="1" applyFill="1" applyBorder="1" applyAlignment="1">
      <alignment horizontal="center"/>
    </xf>
    <xf numFmtId="2" fontId="283" fillId="51" borderId="40" xfId="0" applyNumberFormat="1" applyFont="1" applyFill="1" applyBorder="1" applyAlignment="1">
      <alignment horizontal="center"/>
    </xf>
    <xf numFmtId="2" fontId="283" fillId="51" borderId="41" xfId="0" applyNumberFormat="1" applyFont="1" applyFill="1" applyBorder="1" applyAlignment="1">
      <alignment horizontal="center"/>
    </xf>
    <xf numFmtId="15" fontId="283" fillId="31" borderId="23" xfId="0" applyNumberFormat="1" applyFont="1" applyFill="1" applyBorder="1" applyAlignment="1">
      <alignment horizontal="center"/>
    </xf>
    <xf numFmtId="2" fontId="283" fillId="31" borderId="0" xfId="0" applyNumberFormat="1" applyFont="1" applyFill="1" applyBorder="1" applyAlignment="1">
      <alignment horizontal="center"/>
    </xf>
    <xf numFmtId="2" fontId="283" fillId="31" borderId="32" xfId="0" applyNumberFormat="1" applyFont="1" applyFill="1" applyBorder="1" applyAlignment="1">
      <alignment horizontal="center"/>
    </xf>
    <xf numFmtId="2" fontId="283" fillId="31" borderId="42" xfId="0" applyNumberFormat="1" applyFont="1" applyFill="1" applyBorder="1" applyAlignment="1">
      <alignment horizontal="center"/>
    </xf>
    <xf numFmtId="2" fontId="283" fillId="31" borderId="37" xfId="0" applyNumberFormat="1" applyFont="1" applyFill="1" applyBorder="1" applyAlignment="1">
      <alignment horizontal="center"/>
    </xf>
    <xf numFmtId="2" fontId="283" fillId="31" borderId="38" xfId="0" applyNumberFormat="1" applyFont="1" applyFill="1" applyBorder="1" applyAlignment="1">
      <alignment horizontal="center"/>
    </xf>
    <xf numFmtId="15" fontId="283" fillId="51" borderId="23" xfId="0" applyNumberFormat="1" applyFont="1" applyFill="1" applyBorder="1" applyAlignment="1">
      <alignment horizontal="center"/>
    </xf>
    <xf numFmtId="2" fontId="283" fillId="31" borderId="31" xfId="0" applyNumberFormat="1" applyFont="1" applyFill="1" applyBorder="1" applyAlignment="1">
      <alignment horizontal="center"/>
    </xf>
    <xf numFmtId="2" fontId="283" fillId="31" borderId="39" xfId="0" applyNumberFormat="1" applyFont="1" applyFill="1" applyBorder="1" applyAlignment="1">
      <alignment horizontal="center"/>
    </xf>
    <xf numFmtId="2" fontId="283" fillId="31" borderId="40" xfId="0" applyNumberFormat="1" applyFont="1" applyFill="1" applyBorder="1" applyAlignment="1">
      <alignment horizontal="center"/>
    </xf>
    <xf numFmtId="2" fontId="283" fillId="31" borderId="41" xfId="0" applyNumberFormat="1" applyFont="1" applyFill="1" applyBorder="1" applyAlignment="1">
      <alignment horizontal="center"/>
    </xf>
    <xf numFmtId="15" fontId="204" fillId="76" borderId="33" xfId="0" applyNumberFormat="1" applyFont="1" applyFill="1" applyBorder="1" applyAlignment="1">
      <alignment horizontal="center"/>
    </xf>
    <xf numFmtId="2" fontId="204" fillId="76" borderId="35" xfId="0" applyNumberFormat="1" applyFont="1" applyFill="1" applyBorder="1" applyAlignment="1">
      <alignment horizontal="center"/>
    </xf>
    <xf numFmtId="2" fontId="283" fillId="45" borderId="31" xfId="0" applyNumberFormat="1" applyFont="1" applyFill="1" applyBorder="1" applyAlignment="1">
      <alignment horizontal="center"/>
    </xf>
    <xf numFmtId="2" fontId="204" fillId="76" borderId="36" xfId="0" applyNumberFormat="1" applyFont="1" applyFill="1" applyBorder="1" applyAlignment="1">
      <alignment horizontal="center"/>
    </xf>
    <xf numFmtId="2" fontId="283" fillId="45" borderId="0" xfId="0" applyNumberFormat="1" applyFont="1" applyFill="1" applyBorder="1" applyAlignment="1">
      <alignment horizontal="center"/>
    </xf>
    <xf numFmtId="0" fontId="227" fillId="45" borderId="0" xfId="42" applyFont="1" applyFill="1" applyBorder="1"/>
    <xf numFmtId="0" fontId="110" fillId="57" borderId="64" xfId="0" applyFont="1" applyFill="1" applyBorder="1" applyAlignment="1">
      <alignment horizontal="center"/>
    </xf>
    <xf numFmtId="0" fontId="110" fillId="57" borderId="98" xfId="0" applyFont="1" applyFill="1" applyBorder="1" applyAlignment="1">
      <alignment horizontal="center"/>
    </xf>
    <xf numFmtId="0" fontId="110" fillId="57" borderId="65" xfId="0" applyFont="1" applyFill="1" applyBorder="1" applyAlignment="1">
      <alignment horizontal="center"/>
    </xf>
    <xf numFmtId="0" fontId="114" fillId="57" borderId="98" xfId="0" applyFont="1" applyFill="1" applyBorder="1" applyAlignment="1">
      <alignment horizontal="center"/>
    </xf>
    <xf numFmtId="0" fontId="114" fillId="57" borderId="33" xfId="0" applyFont="1" applyFill="1" applyBorder="1" applyAlignment="1">
      <alignment horizontal="center"/>
    </xf>
    <xf numFmtId="0" fontId="114" fillId="57" borderId="36" xfId="0" applyFont="1" applyFill="1" applyBorder="1" applyAlignment="1">
      <alignment horizontal="center"/>
    </xf>
    <xf numFmtId="0" fontId="115" fillId="57" borderId="33" xfId="0" applyFont="1" applyFill="1" applyBorder="1" applyAlignment="1">
      <alignment horizontal="center"/>
    </xf>
    <xf numFmtId="0" fontId="115" fillId="57" borderId="44" xfId="0" applyFont="1" applyFill="1" applyBorder="1" applyAlignment="1">
      <alignment horizontal="center"/>
    </xf>
    <xf numFmtId="0" fontId="115" fillId="57" borderId="48" xfId="0" applyFont="1" applyFill="1" applyBorder="1" applyAlignment="1">
      <alignment horizontal="center"/>
    </xf>
    <xf numFmtId="0" fontId="115" fillId="57" borderId="47" xfId="0" applyFont="1" applyFill="1" applyBorder="1" applyAlignment="1">
      <alignment horizontal="center"/>
    </xf>
    <xf numFmtId="0" fontId="115" fillId="57" borderId="23" xfId="0" applyFont="1" applyFill="1" applyBorder="1" applyAlignment="1">
      <alignment horizontal="center"/>
    </xf>
    <xf numFmtId="16" fontId="116" fillId="57" borderId="34" xfId="0" applyNumberFormat="1" applyFont="1" applyFill="1" applyBorder="1" applyAlignment="1">
      <alignment horizontal="center"/>
    </xf>
    <xf numFmtId="2" fontId="110" fillId="57" borderId="64" xfId="0" applyNumberFormat="1" applyFont="1" applyFill="1" applyBorder="1" applyAlignment="1">
      <alignment horizontal="center"/>
    </xf>
    <xf numFmtId="2" fontId="110" fillId="57" borderId="33" xfId="0" applyNumberFormat="1" applyFont="1" applyFill="1" applyBorder="1" applyAlignment="1">
      <alignment horizontal="center"/>
    </xf>
    <xf numFmtId="17" fontId="220" fillId="45" borderId="39" xfId="0" applyNumberFormat="1" applyFont="1" applyFill="1" applyBorder="1"/>
    <xf numFmtId="16" fontId="116" fillId="57" borderId="0" xfId="0" applyNumberFormat="1" applyFont="1" applyFill="1" applyBorder="1" applyAlignment="1">
      <alignment horizontal="center"/>
    </xf>
    <xf numFmtId="2" fontId="110" fillId="57" borderId="0" xfId="0" applyNumberFormat="1" applyFont="1" applyFill="1" applyBorder="1" applyAlignment="1">
      <alignment horizontal="center"/>
    </xf>
    <xf numFmtId="2" fontId="110" fillId="76" borderId="33" xfId="0" applyNumberFormat="1" applyFont="1" applyFill="1" applyBorder="1" applyAlignment="1">
      <alignment horizontal="center"/>
    </xf>
    <xf numFmtId="2" fontId="3" fillId="31" borderId="44" xfId="0" applyNumberFormat="1" applyFont="1" applyFill="1" applyBorder="1" applyAlignment="1">
      <alignment horizontal="center"/>
    </xf>
    <xf numFmtId="0" fontId="105" fillId="0" borderId="0" xfId="0" applyFont="1"/>
    <xf numFmtId="0" fontId="4" fillId="0" borderId="26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167" fillId="0" borderId="34" xfId="0" applyFont="1" applyBorder="1" applyAlignment="1">
      <alignment horizontal="center"/>
    </xf>
    <xf numFmtId="0" fontId="167" fillId="0" borderId="35" xfId="0" applyFont="1" applyBorder="1" applyAlignment="1">
      <alignment horizontal="center"/>
    </xf>
    <xf numFmtId="0" fontId="167" fillId="0" borderId="36" xfId="0" applyFont="1" applyBorder="1" applyAlignment="1">
      <alignment horizontal="center"/>
    </xf>
    <xf numFmtId="0" fontId="166" fillId="0" borderId="34" xfId="0" applyFont="1" applyBorder="1" applyAlignment="1">
      <alignment horizontal="center"/>
    </xf>
    <xf numFmtId="0" fontId="166" fillId="0" borderId="35" xfId="0" applyFont="1" applyBorder="1" applyAlignment="1">
      <alignment horizontal="center"/>
    </xf>
    <xf numFmtId="0" fontId="166" fillId="0" borderId="36" xfId="0" applyFont="1" applyBorder="1" applyAlignment="1">
      <alignment horizontal="center"/>
    </xf>
    <xf numFmtId="0" fontId="172" fillId="45" borderId="42" xfId="0" applyFont="1" applyFill="1" applyBorder="1" applyAlignment="1">
      <alignment horizontal="center" vertical="center" wrapText="1"/>
    </xf>
    <xf numFmtId="0" fontId="18" fillId="0" borderId="37" xfId="0" applyFont="1" applyBorder="1" applyAlignment="1">
      <alignment horizontal="center" vertical="center" wrapText="1"/>
    </xf>
    <xf numFmtId="0" fontId="18" fillId="0" borderId="38" xfId="0" applyFont="1" applyBorder="1" applyAlignment="1">
      <alignment horizontal="center" vertical="center" wrapText="1"/>
    </xf>
    <xf numFmtId="0" fontId="170" fillId="45" borderId="31" xfId="0" applyFont="1" applyFill="1" applyBorder="1" applyAlignment="1">
      <alignment horizontal="center" vertical="center" wrapText="1"/>
    </xf>
    <xf numFmtId="0" fontId="171" fillId="0" borderId="0" xfId="0" applyFont="1" applyBorder="1" applyAlignment="1">
      <alignment horizontal="center" vertical="center" wrapText="1"/>
    </xf>
    <xf numFmtId="0" fontId="171" fillId="0" borderId="32" xfId="0" applyFont="1" applyBorder="1" applyAlignment="1">
      <alignment horizontal="center" vertical="center" wrapText="1"/>
    </xf>
    <xf numFmtId="0" fontId="12" fillId="45" borderId="39" xfId="0" applyFont="1" applyFill="1" applyBorder="1" applyAlignment="1">
      <alignment horizontal="center"/>
    </xf>
    <xf numFmtId="0" fontId="12" fillId="45" borderId="40" xfId="0" applyFont="1" applyFill="1" applyBorder="1" applyAlignment="1">
      <alignment horizontal="center"/>
    </xf>
    <xf numFmtId="0" fontId="12" fillId="45" borderId="41" xfId="0" applyFont="1" applyFill="1" applyBorder="1" applyAlignment="1">
      <alignment horizontal="center"/>
    </xf>
    <xf numFmtId="0" fontId="127" fillId="45" borderId="31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168" fillId="45" borderId="31" xfId="0" applyFont="1" applyFill="1" applyBorder="1" applyAlignment="1">
      <alignment horizontal="center" vertical="center" wrapText="1"/>
    </xf>
    <xf numFmtId="0" fontId="169" fillId="0" borderId="0" xfId="0" applyFont="1" applyBorder="1" applyAlignment="1">
      <alignment horizontal="center" vertical="center" wrapText="1"/>
    </xf>
    <xf numFmtId="0" fontId="169" fillId="0" borderId="32" xfId="0" applyFont="1" applyBorder="1" applyAlignment="1">
      <alignment horizontal="center" vertical="center" wrapText="1"/>
    </xf>
    <xf numFmtId="0" fontId="173" fillId="0" borderId="34" xfId="0" applyFont="1" applyBorder="1" applyAlignment="1">
      <alignment horizontal="center"/>
    </xf>
    <xf numFmtId="0" fontId="173" fillId="0" borderId="35" xfId="0" applyFont="1" applyBorder="1" applyAlignment="1">
      <alignment horizontal="center"/>
    </xf>
    <xf numFmtId="0" fontId="173" fillId="0" borderId="36" xfId="0" applyFont="1" applyBorder="1" applyAlignment="1">
      <alignment horizontal="center"/>
    </xf>
    <xf numFmtId="0" fontId="174" fillId="0" borderId="34" xfId="0" applyFont="1" applyBorder="1" applyAlignment="1">
      <alignment horizontal="center"/>
    </xf>
    <xf numFmtId="0" fontId="174" fillId="0" borderId="35" xfId="0" applyFont="1" applyBorder="1" applyAlignment="1">
      <alignment horizontal="center"/>
    </xf>
    <xf numFmtId="0" fontId="174" fillId="0" borderId="36" xfId="0" applyFont="1" applyBorder="1" applyAlignment="1">
      <alignment horizontal="center"/>
    </xf>
    <xf numFmtId="0" fontId="222" fillId="45" borderId="0" xfId="0" applyFont="1" applyFill="1" applyBorder="1" applyAlignment="1">
      <alignment horizontal="center" vertical="center" wrapText="1"/>
    </xf>
    <xf numFmtId="0" fontId="158" fillId="61" borderId="34" xfId="0" applyFont="1" applyFill="1" applyBorder="1" applyAlignment="1">
      <alignment horizontal="center" vertical="center" wrapText="1"/>
    </xf>
    <xf numFmtId="0" fontId="158" fillId="61" borderId="35" xfId="0" applyFont="1" applyFill="1" applyBorder="1" applyAlignment="1">
      <alignment horizontal="center" vertical="center" wrapText="1"/>
    </xf>
    <xf numFmtId="0" fontId="158" fillId="61" borderId="36" xfId="0" applyFont="1" applyFill="1" applyBorder="1" applyAlignment="1">
      <alignment horizontal="center" vertical="center" wrapText="1"/>
    </xf>
    <xf numFmtId="0" fontId="158" fillId="54" borderId="35" xfId="0" applyFont="1" applyFill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  <xf numFmtId="0" fontId="4" fillId="0" borderId="36" xfId="0" applyFont="1" applyBorder="1" applyAlignment="1">
      <alignment horizontal="center" vertical="center" wrapText="1"/>
    </xf>
    <xf numFmtId="0" fontId="202" fillId="68" borderId="26" xfId="0" applyFont="1" applyFill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178" fillId="45" borderId="0" xfId="0" applyFont="1" applyFill="1" applyBorder="1" applyAlignment="1">
      <alignment horizontal="center" vertical="center" wrapText="1"/>
    </xf>
    <xf numFmtId="0" fontId="223" fillId="45" borderId="0" xfId="0" applyFont="1" applyFill="1" applyBorder="1" applyAlignment="1">
      <alignment horizontal="center" vertical="center" wrapText="1"/>
    </xf>
    <xf numFmtId="0" fontId="168" fillId="0" borderId="0" xfId="0" applyFont="1" applyAlignment="1">
      <alignment horizontal="center" vertical="center" wrapText="1"/>
    </xf>
    <xf numFmtId="0" fontId="4" fillId="27" borderId="42" xfId="0" applyFont="1" applyFill="1" applyBorder="1" applyAlignment="1">
      <alignment horizontal="center"/>
    </xf>
    <xf numFmtId="0" fontId="4" fillId="27" borderId="37" xfId="0" applyFont="1" applyFill="1" applyBorder="1" applyAlignment="1">
      <alignment horizontal="center"/>
    </xf>
    <xf numFmtId="0" fontId="4" fillId="27" borderId="38" xfId="0" applyFont="1" applyFill="1" applyBorder="1" applyAlignment="1">
      <alignment horizontal="center"/>
    </xf>
    <xf numFmtId="0" fontId="4" fillId="0" borderId="31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32" xfId="0" applyFont="1" applyBorder="1" applyAlignment="1">
      <alignment horizontal="center"/>
    </xf>
    <xf numFmtId="0" fontId="16" fillId="0" borderId="75" xfId="0" applyFont="1" applyBorder="1" applyAlignment="1">
      <alignment horizontal="center"/>
    </xf>
    <xf numFmtId="0" fontId="16" fillId="0" borderId="72" xfId="0" applyFont="1" applyBorder="1" applyAlignment="1">
      <alignment horizontal="center"/>
    </xf>
    <xf numFmtId="0" fontId="16" fillId="0" borderId="73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31" borderId="42" xfId="0" applyFont="1" applyFill="1" applyBorder="1" applyAlignment="1">
      <alignment horizontal="center"/>
    </xf>
    <xf numFmtId="0" fontId="4" fillId="31" borderId="37" xfId="0" applyFont="1" applyFill="1" applyBorder="1" applyAlignment="1">
      <alignment horizontal="center"/>
    </xf>
    <xf numFmtId="0" fontId="4" fillId="31" borderId="38" xfId="0" applyFont="1" applyFill="1" applyBorder="1" applyAlignment="1">
      <alignment horizontal="center"/>
    </xf>
    <xf numFmtId="0" fontId="4" fillId="31" borderId="31" xfId="0" applyFont="1" applyFill="1" applyBorder="1" applyAlignment="1">
      <alignment horizontal="center"/>
    </xf>
    <xf numFmtId="0" fontId="4" fillId="31" borderId="0" xfId="0" applyFont="1" applyFill="1" applyBorder="1" applyAlignment="1">
      <alignment horizontal="center"/>
    </xf>
    <xf numFmtId="0" fontId="4" fillId="31" borderId="32" xfId="0" applyFont="1" applyFill="1" applyBorder="1" applyAlignment="1">
      <alignment horizontal="center"/>
    </xf>
    <xf numFmtId="0" fontId="126" fillId="45" borderId="42" xfId="0" applyFont="1" applyFill="1" applyBorder="1" applyAlignment="1">
      <alignment horizontal="center" vertical="center" wrapText="1"/>
    </xf>
    <xf numFmtId="0" fontId="126" fillId="45" borderId="37" xfId="0" applyFont="1" applyFill="1" applyBorder="1" applyAlignment="1">
      <alignment horizontal="center" vertical="center" wrapText="1"/>
    </xf>
    <xf numFmtId="0" fontId="126" fillId="45" borderId="38" xfId="0" applyFont="1" applyFill="1" applyBorder="1" applyAlignment="1">
      <alignment horizontal="center" vertical="center" wrapText="1"/>
    </xf>
    <xf numFmtId="0" fontId="4" fillId="45" borderId="31" xfId="0" applyFont="1" applyFill="1" applyBorder="1" applyAlignment="1">
      <alignment horizontal="center" vertical="center" wrapText="1"/>
    </xf>
    <xf numFmtId="0" fontId="4" fillId="45" borderId="0" xfId="0" applyFont="1" applyFill="1" applyBorder="1" applyAlignment="1">
      <alignment horizontal="center" vertical="center" wrapText="1"/>
    </xf>
    <xf numFmtId="0" fontId="4" fillId="45" borderId="32" xfId="0" applyFont="1" applyFill="1" applyBorder="1" applyAlignment="1">
      <alignment horizontal="center" vertical="center" wrapText="1"/>
    </xf>
    <xf numFmtId="0" fontId="4" fillId="45" borderId="31" xfId="0" applyFont="1" applyFill="1" applyBorder="1" applyAlignment="1">
      <alignment horizontal="center"/>
    </xf>
    <xf numFmtId="0" fontId="4" fillId="45" borderId="0" xfId="0" applyFont="1" applyFill="1" applyBorder="1" applyAlignment="1">
      <alignment horizontal="center"/>
    </xf>
    <xf numFmtId="0" fontId="4" fillId="45" borderId="32" xfId="0" applyFont="1" applyFill="1" applyBorder="1" applyAlignment="1">
      <alignment horizontal="center"/>
    </xf>
    <xf numFmtId="0" fontId="117" fillId="45" borderId="31" xfId="0" applyFont="1" applyFill="1" applyBorder="1" applyAlignment="1">
      <alignment horizontal="center"/>
    </xf>
    <xf numFmtId="0" fontId="117" fillId="45" borderId="0" xfId="0" applyFont="1" applyFill="1" applyBorder="1" applyAlignment="1">
      <alignment horizontal="center"/>
    </xf>
    <xf numFmtId="0" fontId="117" fillId="45" borderId="32" xfId="0" applyFont="1" applyFill="1" applyBorder="1" applyAlignment="1">
      <alignment horizontal="center"/>
    </xf>
    <xf numFmtId="0" fontId="122" fillId="31" borderId="31" xfId="0" applyFont="1" applyFill="1" applyBorder="1" applyAlignment="1">
      <alignment horizontal="center"/>
    </xf>
    <xf numFmtId="0" fontId="122" fillId="31" borderId="0" xfId="0" applyFont="1" applyFill="1" applyBorder="1" applyAlignment="1">
      <alignment horizontal="center"/>
    </xf>
    <xf numFmtId="0" fontId="122" fillId="31" borderId="32" xfId="0" applyFont="1" applyFill="1" applyBorder="1" applyAlignment="1">
      <alignment horizontal="center"/>
    </xf>
    <xf numFmtId="0" fontId="158" fillId="46" borderId="34" xfId="0" applyFont="1" applyFill="1" applyBorder="1" applyAlignment="1">
      <alignment horizontal="center" vertical="center" wrapText="1"/>
    </xf>
    <xf numFmtId="0" fontId="221" fillId="46" borderId="35" xfId="0" applyFont="1" applyFill="1" applyBorder="1" applyAlignment="1">
      <alignment horizontal="center" vertical="center" wrapText="1"/>
    </xf>
    <xf numFmtId="0" fontId="221" fillId="46" borderId="36" xfId="0" applyFont="1" applyFill="1" applyBorder="1" applyAlignment="1">
      <alignment horizontal="center" vertical="center" wrapText="1"/>
    </xf>
    <xf numFmtId="0" fontId="158" fillId="54" borderId="34" xfId="0" applyFont="1" applyFill="1" applyBorder="1" applyAlignment="1">
      <alignment horizontal="center" vertical="center" wrapText="1"/>
    </xf>
    <xf numFmtId="0" fontId="221" fillId="54" borderId="35" xfId="0" applyFont="1" applyFill="1" applyBorder="1" applyAlignment="1">
      <alignment horizontal="center" vertical="center" wrapText="1"/>
    </xf>
    <xf numFmtId="0" fontId="221" fillId="54" borderId="36" xfId="0" applyFont="1" applyFill="1" applyBorder="1" applyAlignment="1">
      <alignment horizontal="center" vertical="center" wrapText="1"/>
    </xf>
    <xf numFmtId="0" fontId="4" fillId="0" borderId="31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32" xfId="0" applyFont="1" applyBorder="1" applyAlignment="1">
      <alignment horizontal="center" vertical="center" wrapText="1"/>
    </xf>
    <xf numFmtId="0" fontId="127" fillId="45" borderId="0" xfId="0" applyFont="1" applyFill="1" applyBorder="1" applyAlignment="1">
      <alignment horizontal="center" vertical="center" wrapText="1"/>
    </xf>
    <xf numFmtId="0" fontId="127" fillId="45" borderId="32" xfId="0" applyFont="1" applyFill="1" applyBorder="1" applyAlignment="1">
      <alignment horizontal="center" vertical="center" wrapText="1"/>
    </xf>
    <xf numFmtId="0" fontId="127" fillId="31" borderId="31" xfId="0" applyFont="1" applyFill="1" applyBorder="1" applyAlignment="1">
      <alignment horizontal="center"/>
    </xf>
    <xf numFmtId="0" fontId="127" fillId="31" borderId="0" xfId="0" applyFont="1" applyFill="1" applyBorder="1" applyAlignment="1">
      <alignment horizontal="center"/>
    </xf>
    <xf numFmtId="0" fontId="127" fillId="31" borderId="32" xfId="0" applyFont="1" applyFill="1" applyBorder="1" applyAlignment="1">
      <alignment horizontal="center"/>
    </xf>
    <xf numFmtId="0" fontId="176" fillId="45" borderId="42" xfId="0" applyFont="1" applyFill="1" applyBorder="1" applyAlignment="1">
      <alignment horizontal="center" vertical="center" wrapText="1"/>
    </xf>
    <xf numFmtId="0" fontId="176" fillId="45" borderId="37" xfId="0" applyFont="1" applyFill="1" applyBorder="1" applyAlignment="1">
      <alignment horizontal="center" vertical="center" wrapText="1"/>
    </xf>
    <xf numFmtId="0" fontId="176" fillId="45" borderId="38" xfId="0" applyFont="1" applyFill="1" applyBorder="1" applyAlignment="1">
      <alignment horizontal="center" vertical="center" wrapText="1"/>
    </xf>
    <xf numFmtId="0" fontId="122" fillId="45" borderId="31" xfId="0" applyFont="1" applyFill="1" applyBorder="1" applyAlignment="1">
      <alignment horizontal="center" vertical="center" wrapText="1"/>
    </xf>
    <xf numFmtId="0" fontId="122" fillId="45" borderId="0" xfId="0" applyFont="1" applyFill="1" applyBorder="1" applyAlignment="1">
      <alignment horizontal="center" vertical="center" wrapText="1"/>
    </xf>
    <xf numFmtId="0" fontId="122" fillId="45" borderId="32" xfId="0" applyFont="1" applyFill="1" applyBorder="1" applyAlignment="1">
      <alignment horizontal="center" vertical="center" wrapText="1"/>
    </xf>
    <xf numFmtId="0" fontId="177" fillId="45" borderId="31" xfId="0" applyFont="1" applyFill="1" applyBorder="1" applyAlignment="1">
      <alignment horizontal="center" vertical="center" wrapText="1"/>
    </xf>
    <xf numFmtId="0" fontId="177" fillId="45" borderId="0" xfId="0" applyFont="1" applyFill="1" applyBorder="1" applyAlignment="1">
      <alignment horizontal="center" vertical="center" wrapText="1"/>
    </xf>
    <xf numFmtId="0" fontId="177" fillId="45" borderId="32" xfId="0" applyFont="1" applyFill="1" applyBorder="1" applyAlignment="1">
      <alignment horizontal="center" vertical="center" wrapText="1"/>
    </xf>
    <xf numFmtId="0" fontId="158" fillId="46" borderId="35" xfId="0" applyFont="1" applyFill="1" applyBorder="1" applyAlignment="1">
      <alignment horizontal="center" vertical="center" wrapText="1"/>
    </xf>
    <xf numFmtId="0" fontId="158" fillId="46" borderId="36" xfId="0" applyFont="1" applyFill="1" applyBorder="1" applyAlignment="1">
      <alignment horizontal="center" vertical="center" wrapText="1"/>
    </xf>
    <xf numFmtId="0" fontId="177" fillId="45" borderId="0" xfId="0" applyFont="1" applyFill="1" applyAlignment="1">
      <alignment horizontal="center" vertical="center" wrapText="1"/>
    </xf>
    <xf numFmtId="0" fontId="4" fillId="45" borderId="0" xfId="0" applyFont="1" applyFill="1" applyAlignment="1">
      <alignment horizontal="center" vertical="center" wrapText="1"/>
    </xf>
    <xf numFmtId="0" fontId="122" fillId="45" borderId="0" xfId="0" applyFont="1" applyFill="1" applyAlignment="1">
      <alignment horizontal="center" vertical="center" wrapText="1"/>
    </xf>
    <xf numFmtId="0" fontId="284" fillId="45" borderId="42" xfId="0" applyFont="1" applyFill="1" applyBorder="1" applyAlignment="1">
      <alignment horizontal="center" vertical="center" wrapText="1"/>
    </xf>
    <xf numFmtId="0" fontId="284" fillId="45" borderId="37" xfId="0" applyFont="1" applyFill="1" applyBorder="1" applyAlignment="1">
      <alignment horizontal="center" vertical="center" wrapText="1"/>
    </xf>
    <xf numFmtId="0" fontId="284" fillId="45" borderId="38" xfId="0" applyFont="1" applyFill="1" applyBorder="1" applyAlignment="1">
      <alignment horizontal="center" vertical="center" wrapText="1"/>
    </xf>
    <xf numFmtId="0" fontId="285" fillId="45" borderId="31" xfId="0" applyFont="1" applyFill="1" applyBorder="1" applyAlignment="1">
      <alignment horizontal="center" vertical="center" wrapText="1"/>
    </xf>
    <xf numFmtId="0" fontId="285" fillId="45" borderId="0" xfId="0" applyFont="1" applyFill="1" applyBorder="1" applyAlignment="1">
      <alignment horizontal="center" vertical="center" wrapText="1"/>
    </xf>
    <xf numFmtId="0" fontId="285" fillId="45" borderId="32" xfId="0" applyFont="1" applyFill="1" applyBorder="1" applyAlignment="1">
      <alignment horizontal="center" vertical="center" wrapText="1"/>
    </xf>
    <xf numFmtId="0" fontId="286" fillId="45" borderId="31" xfId="0" applyFont="1" applyFill="1" applyBorder="1" applyAlignment="1">
      <alignment horizontal="center" vertical="center" wrapText="1"/>
    </xf>
    <xf numFmtId="0" fontId="286" fillId="45" borderId="0" xfId="0" applyFont="1" applyFill="1" applyBorder="1" applyAlignment="1">
      <alignment horizontal="center" vertical="center" wrapText="1"/>
    </xf>
    <xf numFmtId="0" fontId="286" fillId="45" borderId="32" xfId="0" applyFont="1" applyFill="1" applyBorder="1" applyAlignment="1">
      <alignment horizontal="center" vertical="center" wrapText="1"/>
    </xf>
    <xf numFmtId="0" fontId="287" fillId="45" borderId="31" xfId="0" applyFont="1" applyFill="1" applyBorder="1" applyAlignment="1">
      <alignment horizontal="center" vertical="center" wrapText="1"/>
    </xf>
    <xf numFmtId="0" fontId="287" fillId="45" borderId="0" xfId="0" applyFont="1" applyFill="1" applyBorder="1" applyAlignment="1">
      <alignment horizontal="center" vertical="center" wrapText="1"/>
    </xf>
    <xf numFmtId="0" fontId="287" fillId="45" borderId="32" xfId="0" applyFont="1" applyFill="1" applyBorder="1" applyAlignment="1">
      <alignment horizontal="center" vertical="center" wrapText="1"/>
    </xf>
    <xf numFmtId="0" fontId="236" fillId="77" borderId="0" xfId="42" applyFont="1" applyFill="1" applyBorder="1" applyAlignment="1">
      <alignment horizontal="center" vertical="center" wrapText="1"/>
    </xf>
    <xf numFmtId="0" fontId="230" fillId="77" borderId="0" xfId="42" applyFont="1" applyFill="1" applyBorder="1" applyAlignment="1">
      <alignment horizontal="center" vertical="center" wrapText="1"/>
    </xf>
    <xf numFmtId="0" fontId="263" fillId="45" borderId="0" xfId="42" applyFont="1" applyFill="1" applyBorder="1" applyAlignment="1">
      <alignment horizontal="center" vertical="center" wrapText="1"/>
    </xf>
    <xf numFmtId="0" fontId="264" fillId="45" borderId="0" xfId="42" applyFont="1" applyFill="1" applyBorder="1" applyAlignment="1">
      <alignment horizontal="center" vertical="center" wrapText="1"/>
    </xf>
    <xf numFmtId="0" fontId="264" fillId="45" borderId="0" xfId="42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76" fillId="45" borderId="0" xfId="42" applyFont="1" applyFill="1" applyBorder="1" applyAlignment="1">
      <alignment horizontal="center" vertical="center" wrapText="1"/>
    </xf>
    <xf numFmtId="0" fontId="277" fillId="45" borderId="0" xfId="42" applyFont="1" applyFill="1" applyBorder="1" applyAlignment="1">
      <alignment horizontal="center" vertical="center" wrapText="1"/>
    </xf>
    <xf numFmtId="0" fontId="277" fillId="45" borderId="0" xfId="42" applyFont="1" applyFill="1" applyAlignment="1">
      <alignment horizontal="center" vertical="center" wrapText="1"/>
    </xf>
    <xf numFmtId="0" fontId="190" fillId="0" borderId="0" xfId="0" applyFont="1" applyAlignment="1">
      <alignment horizontal="center" vertical="center" wrapText="1"/>
    </xf>
    <xf numFmtId="0" fontId="228" fillId="45" borderId="0" xfId="42" applyFont="1" applyFill="1" applyBorder="1" applyAlignment="1">
      <alignment horizontal="center" vertical="center" wrapText="1"/>
    </xf>
    <xf numFmtId="0" fontId="229" fillId="45" borderId="0" xfId="42" applyFont="1" applyFill="1" applyBorder="1" applyAlignment="1">
      <alignment horizontal="center" vertical="center" wrapText="1"/>
    </xf>
    <xf numFmtId="0" fontId="229" fillId="45" borderId="0" xfId="42" applyFont="1" applyFill="1" applyAlignment="1">
      <alignment horizontal="center" vertical="center" wrapText="1"/>
    </xf>
    <xf numFmtId="0" fontId="192" fillId="0" borderId="0" xfId="0" applyFont="1" applyAlignment="1">
      <alignment horizontal="center" vertical="center" wrapText="1"/>
    </xf>
    <xf numFmtId="0" fontId="265" fillId="45" borderId="0" xfId="42" applyFont="1" applyFill="1" applyBorder="1" applyAlignment="1">
      <alignment horizontal="center" vertical="center" wrapText="1"/>
    </xf>
    <xf numFmtId="0" fontId="266" fillId="45" borderId="0" xfId="42" applyFont="1" applyFill="1" applyBorder="1" applyAlignment="1">
      <alignment horizontal="center" vertical="center" wrapText="1"/>
    </xf>
    <xf numFmtId="0" fontId="266" fillId="45" borderId="0" xfId="42" applyFont="1" applyFill="1" applyAlignment="1">
      <alignment horizontal="center" vertical="center" wrapText="1"/>
    </xf>
    <xf numFmtId="0" fontId="229" fillId="0" borderId="0" xfId="42" applyFont="1" applyBorder="1" applyAlignment="1">
      <alignment horizontal="center" vertical="center" wrapText="1"/>
    </xf>
    <xf numFmtId="0" fontId="229" fillId="0" borderId="0" xfId="42" applyFont="1" applyAlignment="1">
      <alignment horizontal="center" vertical="center" wrapText="1"/>
    </xf>
    <xf numFmtId="0" fontId="235" fillId="85" borderId="0" xfId="42" applyFont="1" applyFill="1" applyBorder="1" applyAlignment="1">
      <alignment horizontal="center" vertical="center"/>
    </xf>
    <xf numFmtId="0" fontId="224" fillId="45" borderId="0" xfId="42" applyFont="1" applyFill="1" applyBorder="1" applyAlignment="1">
      <alignment horizontal="center" vertical="center" wrapText="1"/>
    </xf>
    <xf numFmtId="0" fontId="225" fillId="45" borderId="0" xfId="42" applyFont="1" applyFill="1" applyBorder="1" applyAlignment="1">
      <alignment horizontal="center" vertical="center" wrapText="1"/>
    </xf>
    <xf numFmtId="0" fontId="225" fillId="45" borderId="0" xfId="42" applyFont="1" applyFill="1" applyAlignment="1">
      <alignment horizontal="center" vertical="center" wrapText="1"/>
    </xf>
    <xf numFmtId="0" fontId="235" fillId="77" borderId="0" xfId="42" applyFont="1" applyFill="1" applyBorder="1" applyAlignment="1">
      <alignment horizontal="center" vertical="center"/>
    </xf>
    <xf numFmtId="0" fontId="250" fillId="77" borderId="0" xfId="42" applyFont="1" applyFill="1" applyBorder="1" applyAlignment="1">
      <alignment horizontal="center" vertical="center" wrapText="1"/>
    </xf>
    <xf numFmtId="0" fontId="246" fillId="45" borderId="0" xfId="42" applyFont="1" applyFill="1" applyBorder="1" applyAlignment="1">
      <alignment horizontal="center" vertical="center" wrapText="1"/>
    </xf>
    <xf numFmtId="0" fontId="226" fillId="45" borderId="0" xfId="42" applyFont="1" applyFill="1" applyBorder="1" applyAlignment="1">
      <alignment horizontal="center" vertical="center" wrapText="1"/>
    </xf>
    <xf numFmtId="0" fontId="251" fillId="77" borderId="0" xfId="42" applyFont="1" applyFill="1" applyBorder="1" applyAlignment="1">
      <alignment horizontal="center" vertical="center"/>
    </xf>
    <xf numFmtId="0" fontId="163" fillId="45" borderId="0" xfId="42" applyFont="1" applyFill="1" applyBorder="1" applyAlignment="1">
      <alignment horizontal="center" vertical="center" wrapText="1"/>
    </xf>
    <xf numFmtId="0" fontId="164" fillId="45" borderId="0" xfId="42" applyFont="1" applyFill="1" applyBorder="1" applyAlignment="1">
      <alignment horizontal="center" vertical="center" wrapText="1"/>
    </xf>
    <xf numFmtId="0" fontId="3" fillId="0" borderId="0" xfId="42" applyAlignment="1">
      <alignment horizontal="center" vertical="center" wrapText="1"/>
    </xf>
    <xf numFmtId="0" fontId="226" fillId="0" borderId="0" xfId="42" applyFont="1" applyAlignment="1">
      <alignment horizontal="center" vertical="center" wrapText="1"/>
    </xf>
    <xf numFmtId="0" fontId="231" fillId="45" borderId="0" xfId="42" applyFont="1" applyFill="1" applyBorder="1" applyAlignment="1">
      <alignment horizontal="center" vertical="center" wrapText="1"/>
    </xf>
    <xf numFmtId="0" fontId="232" fillId="45" borderId="0" xfId="42" applyFont="1" applyFill="1" applyBorder="1" applyAlignment="1">
      <alignment horizontal="center" vertical="center" wrapText="1"/>
    </xf>
    <xf numFmtId="0" fontId="232" fillId="0" borderId="0" xfId="42" applyFont="1" applyAlignment="1">
      <alignment horizontal="center" vertical="center" wrapText="1"/>
    </xf>
    <xf numFmtId="0" fontId="278" fillId="45" borderId="0" xfId="42" applyFont="1" applyFill="1" applyBorder="1" applyAlignment="1">
      <alignment horizontal="center" vertical="center" wrapText="1"/>
    </xf>
    <xf numFmtId="0" fontId="279" fillId="45" borderId="0" xfId="42" applyFont="1" applyFill="1" applyBorder="1" applyAlignment="1">
      <alignment horizontal="center" vertical="center" wrapText="1"/>
    </xf>
    <xf numFmtId="0" fontId="279" fillId="0" borderId="0" xfId="42" applyFont="1" applyAlignment="1">
      <alignment horizontal="center" vertical="center" wrapText="1"/>
    </xf>
    <xf numFmtId="0" fontId="280" fillId="0" borderId="0" xfId="42" applyFont="1" applyAlignment="1">
      <alignment horizontal="center" vertical="center" wrapText="1"/>
    </xf>
    <xf numFmtId="0" fontId="254" fillId="85" borderId="0" xfId="42" applyFont="1" applyFill="1" applyBorder="1" applyAlignment="1">
      <alignment horizontal="center" vertical="center"/>
    </xf>
    <xf numFmtId="0" fontId="113" fillId="45" borderId="0" xfId="42" applyFont="1" applyFill="1" applyBorder="1" applyAlignment="1">
      <alignment horizontal="center" vertical="center" wrapText="1"/>
    </xf>
    <xf numFmtId="0" fontId="171" fillId="45" borderId="0" xfId="42" applyFont="1" applyFill="1" applyBorder="1" applyAlignment="1">
      <alignment horizontal="center" vertical="center" wrapText="1"/>
    </xf>
    <xf numFmtId="0" fontId="20" fillId="0" borderId="0" xfId="42" applyFont="1" applyFill="1" applyBorder="1" applyAlignment="1">
      <alignment horizontal="center" vertical="center" wrapText="1"/>
    </xf>
    <xf numFmtId="0" fontId="3" fillId="0" borderId="0" xfId="42" applyBorder="1" applyAlignment="1">
      <alignment horizontal="center" vertical="center" wrapText="1"/>
    </xf>
    <xf numFmtId="0" fontId="4" fillId="31" borderId="0" xfId="42" applyFont="1" applyFill="1" applyBorder="1" applyAlignment="1">
      <alignment horizontal="center" vertical="center" wrapText="1"/>
    </xf>
    <xf numFmtId="0" fontId="16" fillId="31" borderId="0" xfId="42" applyFont="1" applyFill="1" applyBorder="1" applyAlignment="1">
      <alignment horizontal="center" vertical="center" wrapText="1"/>
    </xf>
    <xf numFmtId="0" fontId="256" fillId="57" borderId="0" xfId="42" applyFont="1" applyFill="1" applyBorder="1" applyAlignment="1">
      <alignment horizontal="center" vertical="center" wrapText="1"/>
    </xf>
    <xf numFmtId="0" fontId="256" fillId="0" borderId="0" xfId="42" applyFont="1" applyBorder="1" applyAlignment="1">
      <alignment horizontal="center" vertical="center" wrapText="1"/>
    </xf>
    <xf numFmtId="0" fontId="259" fillId="45" borderId="0" xfId="42" applyFont="1" applyFill="1" applyBorder="1" applyAlignment="1">
      <alignment horizontal="center" vertical="center" wrapText="1"/>
    </xf>
    <xf numFmtId="0" fontId="260" fillId="45" borderId="0" xfId="42" applyFont="1" applyFill="1" applyBorder="1" applyAlignment="1">
      <alignment horizontal="center" vertical="center" wrapText="1"/>
    </xf>
    <xf numFmtId="0" fontId="256" fillId="57" borderId="40" xfId="42" applyFont="1" applyFill="1" applyBorder="1" applyAlignment="1">
      <alignment horizontal="center" vertical="center" wrapText="1"/>
    </xf>
    <xf numFmtId="0" fontId="20" fillId="45" borderId="0" xfId="42" applyFont="1" applyFill="1" applyBorder="1" applyAlignment="1">
      <alignment horizontal="center" vertical="center" wrapText="1"/>
    </xf>
    <xf numFmtId="0" fontId="165" fillId="46" borderId="37" xfId="45" applyFont="1" applyFill="1" applyBorder="1" applyAlignment="1">
      <alignment horizontal="center" vertical="center" wrapText="1"/>
    </xf>
    <xf numFmtId="0" fontId="271" fillId="0" borderId="37" xfId="45" applyFont="1" applyBorder="1" applyAlignment="1">
      <alignment horizontal="center" vertical="center" wrapText="1"/>
    </xf>
    <xf numFmtId="0" fontId="270" fillId="0" borderId="38" xfId="45" applyFont="1" applyBorder="1" applyAlignment="1">
      <alignment horizontal="center" vertical="center" wrapText="1"/>
    </xf>
    <xf numFmtId="0" fontId="272" fillId="45" borderId="0" xfId="45" applyFont="1" applyFill="1" applyAlignment="1">
      <alignment horizontal="center" vertical="center" wrapText="1"/>
    </xf>
    <xf numFmtId="0" fontId="275" fillId="45" borderId="0" xfId="45" applyFont="1" applyFill="1" applyAlignment="1">
      <alignment horizontal="center" vertical="center" wrapText="1"/>
    </xf>
    <xf numFmtId="0" fontId="274" fillId="45" borderId="0" xfId="45" applyFont="1" applyFill="1" applyAlignment="1">
      <alignment horizontal="center" vertical="center" wrapText="1"/>
    </xf>
    <xf numFmtId="0" fontId="273" fillId="45" borderId="0" xfId="45" applyFont="1" applyFill="1" applyAlignment="1">
      <alignment horizontal="center" vertical="center" wrapText="1"/>
    </xf>
    <xf numFmtId="2" fontId="114" fillId="57" borderId="26" xfId="0" applyNumberFormat="1" applyFont="1" applyFill="1" applyBorder="1" applyAlignment="1">
      <alignment horizontal="center" vertical="center"/>
    </xf>
    <xf numFmtId="2" fontId="114" fillId="57" borderId="27" xfId="0" applyNumberFormat="1" applyFont="1" applyFill="1" applyBorder="1" applyAlignment="1">
      <alignment horizontal="center" vertical="center"/>
    </xf>
    <xf numFmtId="2" fontId="114" fillId="58" borderId="26" xfId="0" applyNumberFormat="1" applyFont="1" applyFill="1" applyBorder="1" applyAlignment="1">
      <alignment horizontal="center" vertical="center"/>
    </xf>
    <xf numFmtId="2" fontId="114" fillId="58" borderId="27" xfId="0" applyNumberFormat="1" applyFont="1" applyFill="1" applyBorder="1" applyAlignment="1">
      <alignment horizontal="center" vertical="center"/>
    </xf>
    <xf numFmtId="2" fontId="114" fillId="83" borderId="26" xfId="0" applyNumberFormat="1" applyFont="1" applyFill="1" applyBorder="1" applyAlignment="1">
      <alignment horizontal="center" vertical="center"/>
    </xf>
    <xf numFmtId="2" fontId="114" fillId="83" borderId="27" xfId="0" applyNumberFormat="1" applyFont="1" applyFill="1" applyBorder="1" applyAlignment="1">
      <alignment horizontal="center" vertical="center"/>
    </xf>
    <xf numFmtId="2" fontId="114" fillId="83" borderId="23" xfId="0" applyNumberFormat="1" applyFont="1" applyFill="1" applyBorder="1" applyAlignment="1">
      <alignment horizontal="center" vertical="center"/>
    </xf>
    <xf numFmtId="2" fontId="203" fillId="80" borderId="26" xfId="0" applyNumberFormat="1" applyFont="1" applyFill="1" applyBorder="1" applyAlignment="1">
      <alignment horizontal="center" vertical="center"/>
    </xf>
    <xf numFmtId="2" fontId="203" fillId="80" borderId="27" xfId="0" applyNumberFormat="1" applyFont="1" applyFill="1" applyBorder="1" applyAlignment="1">
      <alignment horizontal="center" vertical="center"/>
    </xf>
    <xf numFmtId="2" fontId="114" fillId="74" borderId="26" xfId="0" applyNumberFormat="1" applyFont="1" applyFill="1" applyBorder="1" applyAlignment="1">
      <alignment horizontal="center" vertical="center"/>
    </xf>
    <xf numFmtId="2" fontId="114" fillId="74" borderId="27" xfId="0" applyNumberFormat="1" applyFont="1" applyFill="1" applyBorder="1" applyAlignment="1">
      <alignment horizontal="center" vertical="center"/>
    </xf>
    <xf numFmtId="2" fontId="66" fillId="36" borderId="10" xfId="0" applyNumberFormat="1" applyFont="1" applyFill="1" applyBorder="1" applyAlignment="1">
      <alignment horizontal="center" vertical="center"/>
    </xf>
    <xf numFmtId="2" fontId="66" fillId="40" borderId="10" xfId="0" applyNumberFormat="1" applyFont="1" applyFill="1" applyBorder="1" applyAlignment="1">
      <alignment horizontal="center" vertical="center"/>
    </xf>
    <xf numFmtId="2" fontId="66" fillId="27" borderId="10" xfId="0" applyNumberFormat="1" applyFont="1" applyFill="1" applyBorder="1" applyAlignment="1">
      <alignment horizontal="center" vertical="center"/>
    </xf>
    <xf numFmtId="2" fontId="66" fillId="41" borderId="10" xfId="0" applyNumberFormat="1" applyFont="1" applyFill="1" applyBorder="1" applyAlignment="1">
      <alignment horizontal="center" vertical="center"/>
    </xf>
    <xf numFmtId="2" fontId="114" fillId="74" borderId="88" xfId="0" applyNumberFormat="1" applyFont="1" applyFill="1" applyBorder="1" applyAlignment="1">
      <alignment horizontal="center" vertical="center"/>
    </xf>
    <xf numFmtId="2" fontId="114" fillId="74" borderId="96" xfId="0" applyNumberFormat="1" applyFont="1" applyFill="1" applyBorder="1" applyAlignment="1">
      <alignment horizontal="center" vertical="center"/>
    </xf>
    <xf numFmtId="2" fontId="114" fillId="72" borderId="88" xfId="0" applyNumberFormat="1" applyFont="1" applyFill="1" applyBorder="1" applyAlignment="1">
      <alignment horizontal="center" vertical="center"/>
    </xf>
    <xf numFmtId="2" fontId="114" fillId="72" borderId="96" xfId="0" applyNumberFormat="1" applyFont="1" applyFill="1" applyBorder="1" applyAlignment="1">
      <alignment horizontal="center" vertical="center"/>
    </xf>
    <xf numFmtId="2" fontId="66" fillId="24" borderId="10" xfId="0" applyNumberFormat="1" applyFont="1" applyFill="1" applyBorder="1" applyAlignment="1">
      <alignment horizontal="center" vertical="center"/>
    </xf>
    <xf numFmtId="2" fontId="66" fillId="42" borderId="10" xfId="0" applyNumberFormat="1" applyFont="1" applyFill="1" applyBorder="1" applyAlignment="1">
      <alignment horizontal="center" vertical="center"/>
    </xf>
    <xf numFmtId="2" fontId="64" fillId="39" borderId="10" xfId="0" applyNumberFormat="1" applyFont="1" applyFill="1" applyBorder="1" applyAlignment="1">
      <alignment horizontal="center" vertical="center"/>
    </xf>
    <xf numFmtId="2" fontId="63" fillId="31" borderId="49" xfId="0" applyNumberFormat="1" applyFont="1" applyFill="1" applyBorder="1" applyAlignment="1">
      <alignment horizontal="center" vertical="center"/>
    </xf>
    <xf numFmtId="2" fontId="63" fillId="31" borderId="52" xfId="0" applyNumberFormat="1" applyFont="1" applyFill="1" applyBorder="1" applyAlignment="1">
      <alignment horizontal="center" vertical="center"/>
    </xf>
    <xf numFmtId="16" fontId="47" fillId="31" borderId="0" xfId="0" applyNumberFormat="1" applyFont="1" applyFill="1" applyAlignment="1">
      <alignment horizontal="center"/>
    </xf>
    <xf numFmtId="2" fontId="47" fillId="0" borderId="0" xfId="0" applyNumberFormat="1" applyFont="1" applyAlignment="1"/>
    <xf numFmtId="2" fontId="23" fillId="0" borderId="0" xfId="0" applyNumberFormat="1" applyFont="1" applyAlignment="1">
      <alignment horizontal="center"/>
    </xf>
    <xf numFmtId="2" fontId="59" fillId="31" borderId="49" xfId="0" applyNumberFormat="1" applyFont="1" applyFill="1" applyBorder="1" applyAlignment="1">
      <alignment horizontal="center" vertical="center"/>
    </xf>
    <xf numFmtId="2" fontId="59" fillId="31" borderId="52" xfId="0" applyNumberFormat="1" applyFont="1" applyFill="1" applyBorder="1" applyAlignment="1">
      <alignment horizontal="center" vertical="center"/>
    </xf>
    <xf numFmtId="2" fontId="59" fillId="0" borderId="15" xfId="0" applyNumberFormat="1" applyFont="1" applyBorder="1" applyAlignment="1">
      <alignment horizontal="center" vertical="center"/>
    </xf>
    <xf numFmtId="2" fontId="59" fillId="0" borderId="11" xfId="0" applyNumberFormat="1" applyFont="1" applyBorder="1" applyAlignment="1">
      <alignment horizontal="center" vertical="center"/>
    </xf>
    <xf numFmtId="2" fontId="66" fillId="36" borderId="71" xfId="0" applyNumberFormat="1" applyFont="1" applyFill="1" applyBorder="1" applyAlignment="1">
      <alignment horizontal="center" vertical="center"/>
    </xf>
    <xf numFmtId="2" fontId="66" fillId="36" borderId="74" xfId="0" applyNumberFormat="1" applyFont="1" applyFill="1" applyBorder="1" applyAlignment="1">
      <alignment horizontal="center" vertical="center"/>
    </xf>
    <xf numFmtId="2" fontId="114" fillId="57" borderId="88" xfId="0" applyNumberFormat="1" applyFont="1" applyFill="1" applyBorder="1" applyAlignment="1">
      <alignment horizontal="center" vertical="center"/>
    </xf>
    <xf numFmtId="2" fontId="114" fillId="57" borderId="81" xfId="0" applyNumberFormat="1" applyFont="1" applyFill="1" applyBorder="1" applyAlignment="1">
      <alignment horizontal="center" vertical="center"/>
    </xf>
    <xf numFmtId="2" fontId="114" fillId="56" borderId="88" xfId="0" applyNumberFormat="1" applyFont="1" applyFill="1" applyBorder="1" applyAlignment="1">
      <alignment horizontal="center" vertical="center"/>
    </xf>
    <xf numFmtId="2" fontId="114" fillId="56" borderId="81" xfId="0" applyNumberFormat="1" applyFont="1" applyFill="1" applyBorder="1" applyAlignment="1">
      <alignment horizontal="center" vertical="center"/>
    </xf>
    <xf numFmtId="2" fontId="114" fillId="73" borderId="88" xfId="0" applyNumberFormat="1" applyFont="1" applyFill="1" applyBorder="1" applyAlignment="1">
      <alignment horizontal="center" vertical="center"/>
    </xf>
    <xf numFmtId="2" fontId="114" fillId="73" borderId="96" xfId="0" applyNumberFormat="1" applyFont="1" applyFill="1" applyBorder="1" applyAlignment="1">
      <alignment horizontal="center" vertical="center"/>
    </xf>
    <xf numFmtId="2" fontId="114" fillId="73" borderId="81" xfId="0" applyNumberFormat="1" applyFont="1" applyFill="1" applyBorder="1" applyAlignment="1">
      <alignment horizontal="center" vertical="center"/>
    </xf>
    <xf numFmtId="2" fontId="66" fillId="36" borderId="88" xfId="0" applyNumberFormat="1" applyFont="1" applyFill="1" applyBorder="1" applyAlignment="1">
      <alignment horizontal="center" vertical="center"/>
    </xf>
    <xf numFmtId="2" fontId="66" fillId="36" borderId="81" xfId="0" applyNumberFormat="1" applyFont="1" applyFill="1" applyBorder="1" applyAlignment="1">
      <alignment horizontal="center" vertical="center"/>
    </xf>
    <xf numFmtId="0" fontId="19" fillId="46" borderId="0" xfId="0" applyFont="1" applyFill="1" applyBorder="1" applyAlignment="1">
      <alignment horizontal="center" vertical="center"/>
    </xf>
    <xf numFmtId="0" fontId="212" fillId="81" borderId="0" xfId="0" applyFont="1" applyFill="1" applyBorder="1" applyAlignment="1">
      <alignment horizontal="center" vertical="center"/>
    </xf>
    <xf numFmtId="0" fontId="211" fillId="45" borderId="0" xfId="0" applyFont="1" applyFill="1" applyBorder="1" applyAlignment="1">
      <alignment horizontal="center"/>
    </xf>
    <xf numFmtId="0" fontId="165" fillId="57" borderId="37" xfId="0" applyFont="1" applyFill="1" applyBorder="1" applyAlignment="1">
      <alignment horizontal="center" vertical="center" wrapText="1"/>
    </xf>
    <xf numFmtId="0" fontId="18" fillId="0" borderId="40" xfId="0" applyFont="1" applyBorder="1" applyAlignment="1">
      <alignment horizontal="center" vertical="center" wrapText="1"/>
    </xf>
    <xf numFmtId="0" fontId="20" fillId="45" borderId="0" xfId="0" applyFont="1" applyFill="1" applyBorder="1" applyAlignment="1">
      <alignment horizontal="center" vertical="center" wrapText="1"/>
    </xf>
    <xf numFmtId="0" fontId="0" fillId="45" borderId="0" xfId="0" applyFill="1" applyBorder="1" applyAlignment="1">
      <alignment horizontal="center" vertical="center" wrapText="1"/>
    </xf>
    <xf numFmtId="0" fontId="19" fillId="34" borderId="37" xfId="0" applyFont="1" applyFill="1" applyBorder="1" applyAlignment="1">
      <alignment horizontal="center" vertical="center"/>
    </xf>
    <xf numFmtId="0" fontId="19" fillId="34" borderId="40" xfId="0" applyFont="1" applyFill="1" applyBorder="1" applyAlignment="1">
      <alignment horizontal="center" vertical="center"/>
    </xf>
    <xf numFmtId="0" fontId="19" fillId="34" borderId="42" xfId="0" applyFont="1" applyFill="1" applyBorder="1" applyAlignment="1">
      <alignment horizontal="center" vertical="center"/>
    </xf>
    <xf numFmtId="0" fontId="19" fillId="34" borderId="39" xfId="0" applyFont="1" applyFill="1" applyBorder="1" applyAlignment="1">
      <alignment horizontal="center" vertical="center"/>
    </xf>
    <xf numFmtId="0" fontId="19" fillId="34" borderId="0" xfId="0" applyFont="1" applyFill="1" applyBorder="1" applyAlignment="1">
      <alignment horizontal="center" vertical="center"/>
    </xf>
    <xf numFmtId="0" fontId="197" fillId="45" borderId="0" xfId="0" applyFont="1" applyFill="1" applyBorder="1" applyAlignment="1">
      <alignment horizontal="center" vertical="center" wrapText="1"/>
    </xf>
    <xf numFmtId="0" fontId="198" fillId="0" borderId="0" xfId="0" applyFont="1" applyBorder="1" applyAlignment="1">
      <alignment horizontal="center" vertical="center" wrapText="1"/>
    </xf>
    <xf numFmtId="0" fontId="198" fillId="0" borderId="0" xfId="0" applyFont="1" applyAlignment="1">
      <alignment horizontal="center" vertical="center" wrapText="1"/>
    </xf>
    <xf numFmtId="0" fontId="191" fillId="45" borderId="0" xfId="0" applyFont="1" applyFill="1" applyBorder="1" applyAlignment="1">
      <alignment horizontal="center" vertical="center" wrapText="1"/>
    </xf>
    <xf numFmtId="0" fontId="192" fillId="0" borderId="0" xfId="0" applyFont="1" applyBorder="1" applyAlignment="1">
      <alignment horizontal="center" vertical="center" wrapText="1"/>
    </xf>
    <xf numFmtId="0" fontId="84" fillId="45" borderId="0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13" fillId="45" borderId="0" xfId="0" applyFont="1" applyFill="1" applyBorder="1" applyAlignment="1">
      <alignment horizontal="center" vertical="center" wrapText="1"/>
    </xf>
    <xf numFmtId="0" fontId="171" fillId="0" borderId="0" xfId="0" applyFont="1" applyAlignment="1">
      <alignment horizontal="center" vertical="center" wrapText="1"/>
    </xf>
    <xf numFmtId="0" fontId="16" fillId="45" borderId="0" xfId="0" applyFont="1" applyFill="1" applyBorder="1" applyAlignment="1">
      <alignment horizontal="center" vertical="center" wrapText="1"/>
    </xf>
    <xf numFmtId="0" fontId="199" fillId="45" borderId="0" xfId="0" applyFont="1" applyFill="1" applyBorder="1" applyAlignment="1">
      <alignment horizontal="center" vertical="center" wrapText="1"/>
    </xf>
    <xf numFmtId="0" fontId="200" fillId="0" borderId="0" xfId="0" applyFont="1" applyBorder="1" applyAlignment="1">
      <alignment horizontal="center" vertical="center" wrapText="1"/>
    </xf>
    <xf numFmtId="0" fontId="19" fillId="58" borderId="37" xfId="0" applyFont="1" applyFill="1" applyBorder="1" applyAlignment="1">
      <alignment horizontal="center" vertical="center"/>
    </xf>
    <xf numFmtId="0" fontId="19" fillId="58" borderId="40" xfId="0" applyFont="1" applyFill="1" applyBorder="1" applyAlignment="1">
      <alignment horizontal="center" vertical="center"/>
    </xf>
    <xf numFmtId="0" fontId="158" fillId="57" borderId="0" xfId="0" applyFont="1" applyFill="1" applyBorder="1" applyAlignment="1">
      <alignment horizontal="center" vertical="center" wrapText="1"/>
    </xf>
    <xf numFmtId="0" fontId="158" fillId="0" borderId="0" xfId="0" applyFont="1" applyBorder="1" applyAlignment="1">
      <alignment horizontal="center" vertical="center" wrapText="1"/>
    </xf>
    <xf numFmtId="0" fontId="109" fillId="45" borderId="0" xfId="0" applyFont="1" applyFill="1" applyBorder="1" applyAlignment="1">
      <alignment horizontal="center" vertical="center" wrapText="1"/>
    </xf>
    <xf numFmtId="0" fontId="175" fillId="45" borderId="0" xfId="0" applyFont="1" applyFill="1" applyBorder="1" applyAlignment="1">
      <alignment horizontal="center" vertical="center" wrapText="1"/>
    </xf>
    <xf numFmtId="0" fontId="187" fillId="45" borderId="0" xfId="0" applyFont="1" applyFill="1" applyBorder="1" applyAlignment="1">
      <alignment horizontal="center" vertical="center" wrapText="1"/>
    </xf>
    <xf numFmtId="0" fontId="188" fillId="45" borderId="0" xfId="0" applyFont="1" applyFill="1" applyBorder="1" applyAlignment="1">
      <alignment horizontal="center" vertical="center" wrapText="1"/>
    </xf>
    <xf numFmtId="0" fontId="188" fillId="45" borderId="23" xfId="0" applyFont="1" applyFill="1" applyBorder="1" applyAlignment="1">
      <alignment horizontal="center" vertical="center" wrapText="1"/>
    </xf>
    <xf numFmtId="0" fontId="19" fillId="58" borderId="42" xfId="0" applyFont="1" applyFill="1" applyBorder="1" applyAlignment="1">
      <alignment horizontal="center" vertical="center"/>
    </xf>
    <xf numFmtId="0" fontId="19" fillId="58" borderId="39" xfId="0" applyFont="1" applyFill="1" applyBorder="1" applyAlignment="1">
      <alignment horizontal="center" vertical="center"/>
    </xf>
    <xf numFmtId="0" fontId="4" fillId="31" borderId="0" xfId="0" applyFont="1" applyFill="1" applyBorder="1" applyAlignment="1">
      <alignment horizontal="center" vertical="center" wrapText="1"/>
    </xf>
    <xf numFmtId="0" fontId="19" fillId="58" borderId="26" xfId="0" applyFont="1" applyFill="1" applyBorder="1" applyAlignment="1">
      <alignment horizontal="center" vertical="center"/>
    </xf>
    <xf numFmtId="0" fontId="19" fillId="58" borderId="27" xfId="0" applyFont="1" applyFill="1" applyBorder="1" applyAlignment="1">
      <alignment horizontal="center" vertical="center"/>
    </xf>
    <xf numFmtId="0" fontId="163" fillId="45" borderId="0" xfId="0" applyFont="1" applyFill="1" applyBorder="1" applyAlignment="1">
      <alignment horizontal="center" vertical="center" wrapText="1"/>
    </xf>
    <xf numFmtId="0" fontId="164" fillId="45" borderId="0" xfId="0" applyFont="1" applyFill="1" applyBorder="1" applyAlignment="1">
      <alignment horizontal="center" vertical="center" wrapText="1"/>
    </xf>
    <xf numFmtId="0" fontId="162" fillId="45" borderId="0" xfId="0" applyFont="1" applyFill="1" applyBorder="1" applyAlignment="1">
      <alignment horizontal="center" vertical="center" wrapText="1"/>
    </xf>
    <xf numFmtId="0" fontId="190" fillId="45" borderId="0" xfId="0" applyFont="1" applyFill="1" applyBorder="1" applyAlignment="1">
      <alignment horizontal="center" vertical="center" wrapText="1"/>
    </xf>
    <xf numFmtId="0" fontId="193" fillId="45" borderId="0" xfId="0" applyFont="1" applyFill="1" applyBorder="1" applyAlignment="1">
      <alignment horizontal="center" vertical="center" wrapText="1"/>
    </xf>
    <xf numFmtId="0" fontId="194" fillId="45" borderId="0" xfId="0" applyFont="1" applyFill="1" applyBorder="1" applyAlignment="1">
      <alignment horizontal="center" vertical="center" wrapText="1"/>
    </xf>
    <xf numFmtId="0" fontId="194" fillId="0" borderId="0" xfId="0" applyFont="1" applyAlignment="1">
      <alignment horizontal="center" vertical="center" wrapText="1"/>
    </xf>
    <xf numFmtId="0" fontId="171" fillId="45" borderId="0" xfId="0" applyFont="1" applyFill="1" applyBorder="1" applyAlignment="1">
      <alignment horizontal="center" vertical="center" wrapText="1"/>
    </xf>
    <xf numFmtId="0" fontId="195" fillId="45" borderId="0" xfId="0" applyFont="1" applyFill="1" applyBorder="1" applyAlignment="1">
      <alignment horizontal="center" vertical="center" wrapText="1"/>
    </xf>
    <xf numFmtId="0" fontId="196" fillId="45" borderId="0" xfId="0" applyFont="1" applyFill="1" applyBorder="1" applyAlignment="1">
      <alignment horizontal="center" vertical="center" wrapText="1"/>
    </xf>
    <xf numFmtId="0" fontId="196" fillId="0" borderId="0" xfId="0" applyFont="1" applyAlignment="1">
      <alignment horizontal="center" vertical="center" wrapText="1"/>
    </xf>
    <xf numFmtId="0" fontId="16" fillId="31" borderId="0" xfId="0" applyFont="1" applyFill="1" applyBorder="1" applyAlignment="1">
      <alignment horizontal="center" vertical="center" wrapText="1"/>
    </xf>
    <xf numFmtId="0" fontId="185" fillId="45" borderId="0" xfId="0" applyFont="1" applyFill="1" applyBorder="1" applyAlignment="1">
      <alignment horizontal="center" vertical="center" wrapText="1"/>
    </xf>
    <xf numFmtId="0" fontId="186" fillId="45" borderId="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19" fillId="58" borderId="38" xfId="0" applyFont="1" applyFill="1" applyBorder="1" applyAlignment="1">
      <alignment horizontal="center" vertical="center"/>
    </xf>
    <xf numFmtId="0" fontId="19" fillId="58" borderId="41" xfId="0" applyFont="1" applyFill="1" applyBorder="1" applyAlignment="1">
      <alignment horizontal="center" vertical="center"/>
    </xf>
    <xf numFmtId="1" fontId="4" fillId="45" borderId="0" xfId="42" applyNumberFormat="1" applyFont="1" applyFill="1" applyAlignment="1">
      <alignment horizontal="center" vertical="center" wrapText="1"/>
    </xf>
    <xf numFmtId="0" fontId="3" fillId="45" borderId="0" xfId="42" applyFill="1" applyAlignment="1">
      <alignment horizontal="center" vertical="center" wrapText="1"/>
    </xf>
    <xf numFmtId="0" fontId="261" fillId="31" borderId="42" xfId="42" applyFont="1" applyFill="1" applyBorder="1" applyAlignment="1">
      <alignment horizontal="center"/>
    </xf>
    <xf numFmtId="0" fontId="261" fillId="31" borderId="37" xfId="42" applyFont="1" applyFill="1" applyBorder="1" applyAlignment="1">
      <alignment horizontal="center"/>
    </xf>
    <xf numFmtId="0" fontId="261" fillId="31" borderId="38" xfId="42" applyFont="1" applyFill="1" applyBorder="1" applyAlignment="1">
      <alignment horizontal="center"/>
    </xf>
    <xf numFmtId="0" fontId="262" fillId="31" borderId="31" xfId="42" applyFont="1" applyFill="1" applyBorder="1" applyAlignment="1">
      <alignment horizontal="center"/>
    </xf>
    <xf numFmtId="0" fontId="262" fillId="31" borderId="0" xfId="42" applyFont="1" applyFill="1" applyBorder="1" applyAlignment="1">
      <alignment horizontal="center"/>
    </xf>
    <xf numFmtId="0" fontId="262" fillId="31" borderId="32" xfId="42" applyFont="1" applyFill="1" applyBorder="1" applyAlignment="1">
      <alignment horizontal="center"/>
    </xf>
    <xf numFmtId="0" fontId="205" fillId="31" borderId="39" xfId="42" applyFont="1" applyFill="1" applyBorder="1" applyAlignment="1">
      <alignment horizontal="center"/>
    </xf>
    <xf numFmtId="0" fontId="205" fillId="31" borderId="40" xfId="42" applyFont="1" applyFill="1" applyBorder="1" applyAlignment="1">
      <alignment horizontal="center"/>
    </xf>
    <xf numFmtId="0" fontId="205" fillId="31" borderId="41" xfId="42" applyFont="1" applyFill="1" applyBorder="1" applyAlignment="1">
      <alignment horizontal="center"/>
    </xf>
    <xf numFmtId="0" fontId="262" fillId="31" borderId="0" xfId="42" applyFont="1" applyFill="1" applyAlignment="1">
      <alignment horizontal="center"/>
    </xf>
    <xf numFmtId="1" fontId="4" fillId="0" borderId="0" xfId="42" applyNumberFormat="1" applyFont="1" applyAlignment="1">
      <alignment horizontal="center" vertical="center" wrapText="1"/>
    </xf>
    <xf numFmtId="0" fontId="205" fillId="31" borderId="31" xfId="42" applyFont="1" applyFill="1" applyBorder="1" applyAlignment="1">
      <alignment horizontal="center"/>
    </xf>
    <xf numFmtId="0" fontId="205" fillId="31" borderId="0" xfId="42" applyFont="1" applyFill="1" applyBorder="1" applyAlignment="1">
      <alignment horizontal="center"/>
    </xf>
    <xf numFmtId="1" fontId="4" fillId="0" borderId="35" xfId="42" applyNumberFormat="1" applyFont="1" applyBorder="1" applyAlignment="1">
      <alignment horizontal="center" vertical="center" wrapText="1"/>
    </xf>
    <xf numFmtId="1" fontId="4" fillId="0" borderId="21" xfId="42" applyNumberFormat="1" applyFont="1" applyBorder="1" applyAlignment="1">
      <alignment horizontal="center" vertical="center" wrapText="1"/>
    </xf>
    <xf numFmtId="0" fontId="3" fillId="0" borderId="21" xfId="42" applyBorder="1" applyAlignment="1">
      <alignment horizontal="center" vertical="center" wrapText="1"/>
    </xf>
    <xf numFmtId="15" fontId="4" fillId="27" borderId="26" xfId="0" applyNumberFormat="1" applyFont="1" applyFill="1" applyBorder="1" applyAlignment="1">
      <alignment horizontal="center" vertical="center" wrapText="1"/>
    </xf>
    <xf numFmtId="15" fontId="4" fillId="27" borderId="23" xfId="0" applyNumberFormat="1" applyFont="1" applyFill="1" applyBorder="1" applyAlignment="1">
      <alignment horizontal="center" vertical="center" wrapText="1"/>
    </xf>
    <xf numFmtId="15" fontId="4" fillId="27" borderId="27" xfId="0" applyNumberFormat="1" applyFont="1" applyFill="1" applyBorder="1" applyAlignment="1">
      <alignment horizontal="center" vertical="center" wrapText="1"/>
    </xf>
    <xf numFmtId="0" fontId="124" fillId="45" borderId="0" xfId="0" applyFont="1" applyFill="1" applyBorder="1" applyAlignment="1">
      <alignment horizontal="center" vertical="center" wrapText="1"/>
    </xf>
    <xf numFmtId="0" fontId="181" fillId="45" borderId="0" xfId="0" applyFont="1" applyFill="1" applyBorder="1" applyAlignment="1">
      <alignment horizontal="center"/>
    </xf>
    <xf numFmtId="0" fontId="183" fillId="31" borderId="0" xfId="0" applyFont="1" applyFill="1" applyBorder="1" applyAlignment="1">
      <alignment horizontal="center"/>
    </xf>
    <xf numFmtId="0" fontId="132" fillId="62" borderId="34" xfId="42" applyFont="1" applyFill="1" applyBorder="1" applyAlignment="1">
      <alignment horizontal="center"/>
    </xf>
    <xf numFmtId="0" fontId="132" fillId="62" borderId="35" xfId="42" applyFont="1" applyFill="1" applyBorder="1" applyAlignment="1">
      <alignment horizontal="center"/>
    </xf>
    <xf numFmtId="0" fontId="132" fillId="62" borderId="36" xfId="42" applyFont="1" applyFill="1" applyBorder="1" applyAlignment="1">
      <alignment horizontal="center"/>
    </xf>
    <xf numFmtId="0" fontId="135" fillId="0" borderId="0" xfId="42" applyFont="1" applyBorder="1" applyAlignment="1">
      <alignment horizontal="center"/>
    </xf>
    <xf numFmtId="0" fontId="142" fillId="0" borderId="0" xfId="42" applyFont="1" applyBorder="1" applyAlignment="1">
      <alignment horizontal="center"/>
    </xf>
    <xf numFmtId="0" fontId="143" fillId="0" borderId="0" xfId="42" applyFont="1" applyBorder="1" applyAlignment="1">
      <alignment horizontal="center"/>
    </xf>
    <xf numFmtId="2" fontId="10" fillId="0" borderId="23" xfId="0" applyNumberFormat="1" applyFont="1" applyFill="1" applyBorder="1" applyAlignment="1">
      <alignment horizontal="center" vertical="center" wrapText="1"/>
    </xf>
    <xf numFmtId="0" fontId="10" fillId="0" borderId="23" xfId="0" applyFont="1" applyBorder="1" applyAlignment="1">
      <alignment vertical="center" wrapText="1"/>
    </xf>
    <xf numFmtId="0" fontId="10" fillId="0" borderId="27" xfId="0" applyFont="1" applyBorder="1" applyAlignment="1">
      <alignment vertical="center" wrapText="1"/>
    </xf>
    <xf numFmtId="1" fontId="79" fillId="0" borderId="42" xfId="0" applyNumberFormat="1" applyFont="1" applyFill="1" applyBorder="1" applyAlignment="1">
      <alignment horizontal="center" vertical="center" wrapText="1"/>
    </xf>
    <xf numFmtId="1" fontId="79" fillId="0" borderId="31" xfId="0" applyNumberFormat="1" applyFont="1" applyFill="1" applyBorder="1" applyAlignment="1">
      <alignment horizontal="center" vertical="center" wrapText="1"/>
    </xf>
    <xf numFmtId="1" fontId="79" fillId="0" borderId="39" xfId="0" applyNumberFormat="1" applyFont="1" applyFill="1" applyBorder="1" applyAlignment="1">
      <alignment horizontal="center" vertical="center" wrapText="1"/>
    </xf>
    <xf numFmtId="0" fontId="10" fillId="0" borderId="23" xfId="0" applyFont="1" applyFill="1" applyBorder="1" applyAlignment="1">
      <alignment vertical="center" wrapText="1"/>
    </xf>
    <xf numFmtId="0" fontId="10" fillId="0" borderId="27" xfId="0" applyFont="1" applyFill="1" applyBorder="1" applyAlignment="1">
      <alignment vertical="center" wrapText="1"/>
    </xf>
    <xf numFmtId="2" fontId="10" fillId="0" borderId="26" xfId="0" applyNumberFormat="1" applyFont="1" applyFill="1" applyBorder="1" applyAlignment="1">
      <alignment horizontal="center" vertical="center" wrapText="1"/>
    </xf>
    <xf numFmtId="2" fontId="10" fillId="27" borderId="26" xfId="0" applyNumberFormat="1" applyFont="1" applyFill="1" applyBorder="1" applyAlignment="1">
      <alignment horizontal="center" vertical="center" wrapText="1"/>
    </xf>
    <xf numFmtId="2" fontId="10" fillId="27" borderId="32" xfId="0" applyNumberFormat="1" applyFont="1" applyFill="1" applyBorder="1" applyAlignment="1">
      <alignment horizontal="center" vertical="center" wrapText="1"/>
    </xf>
    <xf numFmtId="0" fontId="10" fillId="27" borderId="32" xfId="0" applyFont="1" applyFill="1" applyBorder="1" applyAlignment="1">
      <alignment vertical="center" wrapText="1"/>
    </xf>
    <xf numFmtId="0" fontId="10" fillId="27" borderId="41" xfId="0" applyFont="1" applyFill="1" applyBorder="1" applyAlignment="1">
      <alignment vertical="center" wrapText="1"/>
    </xf>
    <xf numFmtId="2" fontId="10" fillId="27" borderId="23" xfId="0" applyNumberFormat="1" applyFont="1" applyFill="1" applyBorder="1" applyAlignment="1">
      <alignment horizontal="center" vertical="center" wrapText="1"/>
    </xf>
    <xf numFmtId="0" fontId="10" fillId="27" borderId="23" xfId="0" applyFont="1" applyFill="1" applyBorder="1" applyAlignment="1">
      <alignment vertical="center" wrapText="1"/>
    </xf>
    <xf numFmtId="0" fontId="10" fillId="27" borderId="27" xfId="0" applyFont="1" applyFill="1" applyBorder="1" applyAlignment="1">
      <alignment vertical="center" wrapText="1"/>
    </xf>
    <xf numFmtId="2" fontId="10" fillId="0" borderId="38" xfId="0" applyNumberFormat="1" applyFont="1" applyFill="1" applyBorder="1" applyAlignment="1">
      <alignment horizontal="center" vertical="center" wrapText="1"/>
    </xf>
    <xf numFmtId="2" fontId="10" fillId="0" borderId="32" xfId="0" applyNumberFormat="1" applyFont="1" applyFill="1" applyBorder="1" applyAlignment="1">
      <alignment horizontal="center" vertical="center" wrapText="1"/>
    </xf>
    <xf numFmtId="0" fontId="10" fillId="0" borderId="32" xfId="0" applyFont="1" applyBorder="1" applyAlignment="1">
      <alignment vertical="center" wrapText="1"/>
    </xf>
    <xf numFmtId="0" fontId="10" fillId="0" borderId="41" xfId="0" applyFont="1" applyBorder="1" applyAlignment="1">
      <alignment vertical="center" wrapText="1"/>
    </xf>
    <xf numFmtId="1" fontId="79" fillId="27" borderId="26" xfId="0" applyNumberFormat="1" applyFont="1" applyFill="1" applyBorder="1" applyAlignment="1">
      <alignment horizontal="center" vertical="center" wrapText="1"/>
    </xf>
    <xf numFmtId="1" fontId="79" fillId="27" borderId="23" xfId="0" applyNumberFormat="1" applyFont="1" applyFill="1" applyBorder="1" applyAlignment="1">
      <alignment horizontal="center" vertical="center" wrapText="1"/>
    </xf>
    <xf numFmtId="1" fontId="79" fillId="27" borderId="27" xfId="0" applyNumberFormat="1" applyFont="1" applyFill="1" applyBorder="1" applyAlignment="1">
      <alignment horizontal="center" vertical="center" wrapText="1"/>
    </xf>
    <xf numFmtId="1" fontId="79" fillId="0" borderId="26" xfId="0" applyNumberFormat="1" applyFont="1" applyFill="1" applyBorder="1" applyAlignment="1">
      <alignment horizontal="center" vertical="center" wrapText="1"/>
    </xf>
    <xf numFmtId="1" fontId="79" fillId="0" borderId="23" xfId="0" applyNumberFormat="1" applyFont="1" applyFill="1" applyBorder="1" applyAlignment="1">
      <alignment horizontal="center" vertical="center" wrapText="1"/>
    </xf>
    <xf numFmtId="1" fontId="79" fillId="0" borderId="27" xfId="0" applyNumberFormat="1" applyFont="1" applyFill="1" applyBorder="1" applyAlignment="1">
      <alignment horizontal="center" vertical="center" wrapText="1"/>
    </xf>
    <xf numFmtId="2" fontId="10" fillId="26" borderId="26" xfId="0" applyNumberFormat="1" applyFont="1" applyFill="1" applyBorder="1" applyAlignment="1">
      <alignment horizontal="center" vertical="center" wrapText="1"/>
    </xf>
    <xf numFmtId="2" fontId="10" fillId="26" borderId="23" xfId="0" applyNumberFormat="1" applyFont="1" applyFill="1" applyBorder="1" applyAlignment="1">
      <alignment horizontal="center" vertical="center" wrapText="1"/>
    </xf>
    <xf numFmtId="0" fontId="10" fillId="26" borderId="23" xfId="0" applyFont="1" applyFill="1" applyBorder="1" applyAlignment="1">
      <alignment vertical="center" wrapText="1"/>
    </xf>
    <xf numFmtId="0" fontId="10" fillId="26" borderId="27" xfId="0" applyFont="1" applyFill="1" applyBorder="1" applyAlignment="1">
      <alignment vertical="center" wrapText="1"/>
    </xf>
    <xf numFmtId="0" fontId="77" fillId="0" borderId="78" xfId="0" applyFont="1" applyBorder="1" applyAlignment="1">
      <alignment horizontal="center" vertical="center"/>
    </xf>
    <xf numFmtId="0" fontId="77" fillId="0" borderId="79" xfId="0" applyFont="1" applyBorder="1" applyAlignment="1">
      <alignment horizontal="center" vertical="center"/>
    </xf>
    <xf numFmtId="0" fontId="77" fillId="0" borderId="64" xfId="0" applyFont="1" applyBorder="1" applyAlignment="1">
      <alignment horizontal="center"/>
    </xf>
    <xf numFmtId="0" fontId="77" fillId="0" borderId="65" xfId="0" applyFont="1" applyBorder="1" applyAlignment="1">
      <alignment horizontal="center"/>
    </xf>
    <xf numFmtId="0" fontId="77" fillId="0" borderId="66" xfId="0" applyFont="1" applyBorder="1" applyAlignment="1">
      <alignment horizontal="center"/>
    </xf>
    <xf numFmtId="0" fontId="74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166" fontId="76" fillId="0" borderId="26" xfId="0" applyNumberFormat="1" applyFont="1" applyBorder="1" applyAlignment="1">
      <alignment horizontal="center" vertical="center"/>
    </xf>
    <xf numFmtId="166" fontId="76" fillId="0" borderId="27" xfId="0" applyNumberFormat="1" applyFont="1" applyBorder="1" applyAlignment="1">
      <alignment horizontal="center" vertical="center"/>
    </xf>
    <xf numFmtId="0" fontId="77" fillId="41" borderId="64" xfId="0" applyFont="1" applyFill="1" applyBorder="1" applyAlignment="1">
      <alignment horizontal="center"/>
    </xf>
    <xf numFmtId="0" fontId="77" fillId="41" borderId="65" xfId="0" applyFont="1" applyFill="1" applyBorder="1" applyAlignment="1">
      <alignment horizontal="center"/>
    </xf>
    <xf numFmtId="0" fontId="77" fillId="41" borderId="66" xfId="0" applyFont="1" applyFill="1" applyBorder="1" applyAlignment="1">
      <alignment horizontal="center"/>
    </xf>
    <xf numFmtId="0" fontId="10" fillId="0" borderId="32" xfId="0" applyFont="1" applyFill="1" applyBorder="1" applyAlignment="1">
      <alignment vertical="center" wrapText="1"/>
    </xf>
    <xf numFmtId="0" fontId="10" fillId="0" borderId="41" xfId="0" applyFont="1" applyFill="1" applyBorder="1" applyAlignment="1">
      <alignment vertical="center" wrapText="1"/>
    </xf>
    <xf numFmtId="2" fontId="8" fillId="0" borderId="38" xfId="0" applyNumberFormat="1" applyFont="1" applyFill="1" applyBorder="1" applyAlignment="1">
      <alignment horizontal="center" vertical="center" wrapText="1"/>
    </xf>
    <xf numFmtId="2" fontId="8" fillId="0" borderId="32" xfId="0" applyNumberFormat="1" applyFont="1" applyFill="1" applyBorder="1" applyAlignment="1">
      <alignment horizontal="center" vertical="center" wrapText="1"/>
    </xf>
    <xf numFmtId="0" fontId="8" fillId="0" borderId="32" xfId="0" applyFont="1" applyBorder="1" applyAlignment="1">
      <alignment vertical="center" wrapText="1"/>
    </xf>
    <xf numFmtId="0" fontId="8" fillId="0" borderId="41" xfId="0" applyFont="1" applyBorder="1" applyAlignment="1">
      <alignment vertical="center" wrapText="1"/>
    </xf>
    <xf numFmtId="15" fontId="110" fillId="61" borderId="26" xfId="43" applyNumberFormat="1" applyFont="1" applyFill="1" applyBorder="1" applyAlignment="1">
      <alignment horizontal="center" vertical="center" wrapText="1"/>
    </xf>
    <xf numFmtId="15" fontId="110" fillId="61" borderId="23" xfId="43" applyNumberFormat="1" applyFont="1" applyFill="1" applyBorder="1" applyAlignment="1">
      <alignment horizontal="center" vertical="center" wrapText="1"/>
    </xf>
    <xf numFmtId="15" fontId="110" fillId="61" borderId="27" xfId="43" applyNumberFormat="1" applyFont="1" applyFill="1" applyBorder="1" applyAlignment="1">
      <alignment horizontal="center" vertical="center" wrapText="1"/>
    </xf>
    <xf numFmtId="0" fontId="157" fillId="45" borderId="0" xfId="43" applyFont="1" applyFill="1" applyAlignment="1">
      <alignment horizontal="center"/>
    </xf>
    <xf numFmtId="0" fontId="115" fillId="68" borderId="34" xfId="43" applyFont="1" applyFill="1" applyBorder="1" applyAlignment="1">
      <alignment horizontal="center"/>
    </xf>
    <xf numFmtId="0" fontId="115" fillId="68" borderId="35" xfId="43" applyFont="1" applyFill="1" applyBorder="1" applyAlignment="1">
      <alignment horizontal="center"/>
    </xf>
    <xf numFmtId="0" fontId="115" fillId="68" borderId="36" xfId="43" applyFont="1" applyFill="1" applyBorder="1" applyAlignment="1">
      <alignment horizontal="center"/>
    </xf>
    <xf numFmtId="0" fontId="154" fillId="45" borderId="0" xfId="43" applyFont="1" applyFill="1" applyAlignment="1">
      <alignment horizontal="center" vertical="center" wrapText="1"/>
    </xf>
    <xf numFmtId="0" fontId="155" fillId="45" borderId="0" xfId="43" applyFont="1" applyFill="1" applyAlignment="1">
      <alignment horizontal="center" vertical="center" wrapText="1"/>
    </xf>
    <xf numFmtId="0" fontId="161" fillId="45" borderId="0" xfId="43" applyFont="1" applyFill="1" applyAlignment="1">
      <alignment horizontal="center" vertical="center" wrapText="1"/>
    </xf>
    <xf numFmtId="0" fontId="156" fillId="45" borderId="0" xfId="43" applyFont="1" applyFill="1" applyAlignment="1">
      <alignment horizontal="center" vertical="center" wrapText="1"/>
    </xf>
    <xf numFmtId="0" fontId="101" fillId="45" borderId="0" xfId="42" applyFont="1" applyFill="1" applyAlignment="1">
      <alignment horizontal="center" vertical="center" wrapText="1"/>
    </xf>
    <xf numFmtId="0" fontId="100" fillId="45" borderId="0" xfId="42" applyFont="1" applyFill="1" applyAlignment="1">
      <alignment horizontal="center" vertical="center" wrapText="1"/>
    </xf>
    <xf numFmtId="0" fontId="102" fillId="45" borderId="34" xfId="42" applyFont="1" applyFill="1" applyBorder="1" applyAlignment="1">
      <alignment horizontal="center" vertical="center" wrapText="1"/>
    </xf>
    <xf numFmtId="0" fontId="102" fillId="45" borderId="35" xfId="42" applyFont="1" applyFill="1" applyBorder="1" applyAlignment="1">
      <alignment horizontal="center" vertical="center" wrapText="1"/>
    </xf>
    <xf numFmtId="0" fontId="102" fillId="45" borderId="36" xfId="42" applyFont="1" applyFill="1" applyBorder="1" applyAlignment="1">
      <alignment horizontal="center" vertical="center" wrapText="1"/>
    </xf>
    <xf numFmtId="0" fontId="107" fillId="45" borderId="0" xfId="42" applyFont="1" applyFill="1" applyBorder="1" applyAlignment="1">
      <alignment horizontal="center" vertical="center" wrapText="1"/>
    </xf>
    <xf numFmtId="0" fontId="108" fillId="45" borderId="0" xfId="42" applyFont="1" applyFill="1" applyBorder="1" applyAlignment="1">
      <alignment horizontal="center" vertical="center" wrapText="1"/>
    </xf>
    <xf numFmtId="0" fontId="109" fillId="45" borderId="0" xfId="42" applyFont="1" applyFill="1" applyBorder="1" applyAlignment="1">
      <alignment horizontal="center" vertical="center" wrapText="1"/>
    </xf>
    <xf numFmtId="0" fontId="99" fillId="45" borderId="0" xfId="42" applyFont="1" applyFill="1" applyAlignment="1">
      <alignment horizontal="center" vertical="center" wrapText="1"/>
    </xf>
    <xf numFmtId="0" fontId="106" fillId="45" borderId="0" xfId="42" applyFont="1" applyFill="1" applyAlignment="1">
      <alignment horizontal="center" vertical="center" wrapText="1"/>
    </xf>
    <xf numFmtId="0" fontId="113" fillId="45" borderId="0" xfId="42" applyFont="1" applyFill="1" applyAlignment="1">
      <alignment horizontal="center" vertical="center" wrapText="1"/>
    </xf>
    <xf numFmtId="0" fontId="119" fillId="45" borderId="0" xfId="42" applyFont="1" applyFill="1" applyAlignment="1">
      <alignment horizontal="center" vertical="center" wrapText="1"/>
    </xf>
    <xf numFmtId="0" fontId="120" fillId="0" borderId="0" xfId="0" applyFont="1" applyAlignment="1">
      <alignment horizontal="center" vertical="center" wrapText="1"/>
    </xf>
    <xf numFmtId="0" fontId="19" fillId="39" borderId="15" xfId="0" applyFont="1" applyFill="1" applyBorder="1" applyAlignment="1">
      <alignment horizontal="center" vertical="center"/>
    </xf>
    <xf numFmtId="0" fontId="13" fillId="39" borderId="11" xfId="0" applyFont="1" applyFill="1" applyBorder="1" applyAlignment="1">
      <alignment horizontal="center" vertical="center"/>
    </xf>
    <xf numFmtId="0" fontId="78" fillId="0" borderId="48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78" fillId="28" borderId="15" xfId="0" applyFont="1" applyFill="1" applyBorder="1" applyAlignment="1">
      <alignment horizontal="center" vertical="center"/>
    </xf>
    <xf numFmtId="0" fontId="0" fillId="28" borderId="11" xfId="0" applyFill="1" applyBorder="1" applyAlignment="1">
      <alignment horizontal="center" vertical="center"/>
    </xf>
    <xf numFmtId="0" fontId="78" fillId="0" borderId="15" xfId="0" applyFont="1" applyBorder="1" applyAlignment="1">
      <alignment horizontal="center" vertical="center"/>
    </xf>
    <xf numFmtId="0" fontId="78" fillId="0" borderId="11" xfId="0" applyFont="1" applyBorder="1" applyAlignment="1">
      <alignment horizontal="center" vertical="center"/>
    </xf>
  </cellXfs>
  <cellStyles count="46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1" xfId="38" builtinId="16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rmal 2" xfId="42" xr:uid="{00000000-0005-0000-0000-000022000000}"/>
    <cellStyle name="Normal 2 2" xfId="44" xr:uid="{F0C100D1-32CA-46F7-8653-5EE61FF3F55C}"/>
    <cellStyle name="Normal 3" xfId="43" xr:uid="{00000000-0005-0000-0000-000023000000}"/>
    <cellStyle name="Normal 4" xfId="45" xr:uid="{3FDD3F0C-F0EB-45BA-8611-D0D8CB61172F}"/>
    <cellStyle name="Notas" xfId="33" builtinId="10" customBuiltin="1"/>
    <cellStyle name="Salida" xfId="34" builtinId="21" customBuiltin="1"/>
    <cellStyle name="Texto de advertencia" xfId="35" builtinId="11" customBuiltin="1"/>
    <cellStyle name="Texto explicativo" xfId="36" builtinId="53" customBuiltin="1"/>
    <cellStyle name="Título" xfId="37" builtinId="15" customBuiltin="1"/>
    <cellStyle name="Título 2" xfId="39" builtinId="17" customBuiltin="1"/>
    <cellStyle name="Título 3" xfId="40" builtinId="18" customBuiltin="1"/>
    <cellStyle name="Total" xfId="41" builtinId="25" customBuiltin="1"/>
  </cellStyles>
  <dxfs count="0"/>
  <tableStyles count="0" defaultTableStyle="TableStyleMedium9" defaultPivotStyle="PivotStyleLight16"/>
  <colors>
    <mruColors>
      <color rgb="FF074273"/>
      <color rgb="FF0B2A4A"/>
      <color rgb="FFD9F0FB"/>
      <color rgb="FFC9F1FF"/>
      <color rgb="FF1487C2"/>
      <color rgb="FFF5A413"/>
      <color rgb="FFD9F5FF"/>
      <color rgb="FFC5F0FF"/>
      <color rgb="FFB7ECFF"/>
      <color rgb="FFDA1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47" Type="http://schemas.openxmlformats.org/officeDocument/2006/relationships/externalLink" Target="externalLinks/externalLink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5.xml"/><Relationship Id="rId53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3.xml"/><Relationship Id="rId48" Type="http://schemas.openxmlformats.org/officeDocument/2006/relationships/externalLink" Target="externalLinks/externalLink8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6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ES" sz="1100" b="1" i="0" u="none" strike="noStrike" baseline="0">
                <a:solidFill>
                  <a:srgbClr val="002060"/>
                </a:solidFill>
              </a:rPr>
              <a:t>PRECIOS DE  GAS LICUADO DE PETROLEO POR CILINDRO DE 25 LIBRAS </a:t>
            </a:r>
            <a:endParaRPr lang="es-ES" sz="1100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0.20246505241907894"/>
          <c:y val="1.994133792245804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116095517744762"/>
          <c:y val="0.12861354814458067"/>
          <c:w val="0.799801245810835"/>
          <c:h val="0.73346203608911165"/>
        </c:manualLayout>
      </c:layout>
      <c:lineChart>
        <c:grouping val="standard"/>
        <c:varyColors val="0"/>
        <c:ser>
          <c:idx val="0"/>
          <c:order val="0"/>
          <c:spPr>
            <a:ln w="60325" cmpd="sng"/>
          </c:spPr>
          <c:marker>
            <c:symbol val="none"/>
          </c:marker>
          <c:cat>
            <c:numRef>
              <c:f>'X-MES-81-05 (2)'!$AG$2:$AG$43</c:f>
              <c:numCache>
                <c:formatCode>mmm\-yy</c:formatCode>
                <c:ptCount val="42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</c:numCache>
            </c:numRef>
          </c:cat>
          <c:val>
            <c:numRef>
              <c:f>'X-MES-81-05 (2)'!$AH$2:$AH$43</c:f>
              <c:numCache>
                <c:formatCode>"Q"#,##0.00</c:formatCode>
                <c:ptCount val="42"/>
                <c:pt idx="0">
                  <c:v>136</c:v>
                </c:pt>
                <c:pt idx="1">
                  <c:v>136</c:v>
                </c:pt>
                <c:pt idx="2">
                  <c:v>116</c:v>
                </c:pt>
                <c:pt idx="3">
                  <c:v>105</c:v>
                </c:pt>
                <c:pt idx="4">
                  <c:v>105</c:v>
                </c:pt>
                <c:pt idx="5">
                  <c:v>105</c:v>
                </c:pt>
                <c:pt idx="6">
                  <c:v>98</c:v>
                </c:pt>
                <c:pt idx="7">
                  <c:v>94</c:v>
                </c:pt>
                <c:pt idx="8">
                  <c:v>91</c:v>
                </c:pt>
                <c:pt idx="9">
                  <c:v>65</c:v>
                </c:pt>
                <c:pt idx="10">
                  <c:v>65</c:v>
                </c:pt>
                <c:pt idx="11">
                  <c:v>90</c:v>
                </c:pt>
                <c:pt idx="12">
                  <c:v>90</c:v>
                </c:pt>
                <c:pt idx="13">
                  <c:v>106</c:v>
                </c:pt>
                <c:pt idx="14">
                  <c:v>109</c:v>
                </c:pt>
                <c:pt idx="15">
                  <c:v>109</c:v>
                </c:pt>
                <c:pt idx="16">
                  <c:v>109</c:v>
                </c:pt>
                <c:pt idx="17">
                  <c:v>117</c:v>
                </c:pt>
                <c:pt idx="18">
                  <c:v>120</c:v>
                </c:pt>
                <c:pt idx="19">
                  <c:v>120</c:v>
                </c:pt>
                <c:pt idx="20">
                  <c:v>128</c:v>
                </c:pt>
                <c:pt idx="21">
                  <c:v>130</c:v>
                </c:pt>
                <c:pt idx="22">
                  <c:v>130</c:v>
                </c:pt>
                <c:pt idx="23">
                  <c:v>132</c:v>
                </c:pt>
                <c:pt idx="24">
                  <c:v>135</c:v>
                </c:pt>
                <c:pt idx="25">
                  <c:v>137</c:v>
                </c:pt>
                <c:pt idx="26">
                  <c:v>140</c:v>
                </c:pt>
                <c:pt idx="27">
                  <c:v>140</c:v>
                </c:pt>
                <c:pt idx="28">
                  <c:v>140</c:v>
                </c:pt>
                <c:pt idx="29">
                  <c:v>140</c:v>
                </c:pt>
                <c:pt idx="30">
                  <c:v>140</c:v>
                </c:pt>
                <c:pt idx="31">
                  <c:v>140</c:v>
                </c:pt>
                <c:pt idx="32">
                  <c:v>140</c:v>
                </c:pt>
                <c:pt idx="33">
                  <c:v>140</c:v>
                </c:pt>
                <c:pt idx="34">
                  <c:v>140</c:v>
                </c:pt>
                <c:pt idx="35">
                  <c:v>130</c:v>
                </c:pt>
                <c:pt idx="36">
                  <c:v>105</c:v>
                </c:pt>
                <c:pt idx="37">
                  <c:v>92</c:v>
                </c:pt>
                <c:pt idx="38">
                  <c:v>90</c:v>
                </c:pt>
                <c:pt idx="39">
                  <c:v>87</c:v>
                </c:pt>
                <c:pt idx="40">
                  <c:v>78</c:v>
                </c:pt>
                <c:pt idx="41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FB-4BB7-A61F-864091EBB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015464"/>
        <c:axId val="142013504"/>
      </c:lineChart>
      <c:dateAx>
        <c:axId val="142015464"/>
        <c:scaling>
          <c:orientation val="minMax"/>
          <c:max val="42156"/>
        </c:scaling>
        <c:delete val="0"/>
        <c:axPos val="b"/>
        <c:numFmt formatCode="mmm\-yy" sourceLinked="1"/>
        <c:majorTickMark val="none"/>
        <c:minorTickMark val="none"/>
        <c:tickLblPos val="nextTo"/>
        <c:txPr>
          <a:bodyPr/>
          <a:lstStyle/>
          <a:p>
            <a:pPr>
              <a:defRPr sz="1000" b="1"/>
            </a:pPr>
            <a:endParaRPr lang="es-GT"/>
          </a:p>
        </c:txPr>
        <c:crossAx val="142013504"/>
        <c:crosses val="autoZero"/>
        <c:auto val="1"/>
        <c:lblOffset val="100"/>
        <c:baseTimeUnit val="months"/>
        <c:majorUnit val="1"/>
        <c:majorTimeUnit val="months"/>
      </c:dateAx>
      <c:valAx>
        <c:axId val="142013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sz="1050" b="1">
                    <a:solidFill>
                      <a:srgbClr val="FF0000"/>
                    </a:solidFill>
                  </a:rPr>
                  <a:t>Quetzales</a:t>
                </a:r>
              </a:p>
              <a:p>
                <a:pPr>
                  <a:defRPr/>
                </a:pPr>
                <a:endParaRPr lang="en-US" b="1">
                  <a:solidFill>
                    <a:srgbClr val="FF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3.3333327500730099E-2"/>
              <c:y val="0.41433349585765311"/>
            </c:manualLayout>
          </c:layout>
          <c:overlay val="0"/>
        </c:title>
        <c:numFmt formatCode="&quot;Q&quot;#,##0.00" sourceLinked="1"/>
        <c:majorTickMark val="none"/>
        <c:minorTickMark val="none"/>
        <c:tickLblPos val="nextTo"/>
        <c:txPr>
          <a:bodyPr/>
          <a:lstStyle/>
          <a:p>
            <a:pPr>
              <a:defRPr sz="900" b="1"/>
            </a:pPr>
            <a:endParaRPr lang="es-GT"/>
          </a:p>
        </c:txPr>
        <c:crossAx val="142015464"/>
        <c:crosses val="autoZero"/>
        <c:crossBetween val="between"/>
        <c:majorUnit val="60"/>
        <c:minorUnit val="12"/>
      </c:valAx>
      <c:spPr>
        <a:solidFill>
          <a:srgbClr val="4F81BD">
            <a:alpha val="7000"/>
          </a:srgbClr>
        </a:solidFill>
        <a:ln>
          <a:solidFill>
            <a:schemeClr val="accent1"/>
          </a:solidFill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3366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VARIACION DE PRECIOS A CONSUMIDOR FINAL
AÑO 2001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SUPERIOR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cat>
            <c:strRef>
              <c:f>'X-MES-81-05'!$A$356:$A$367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'X-MES-81-05'!#REF!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13-4FAF-9206-CFF53E460538}"/>
            </c:ext>
          </c:extLst>
        </c:ser>
        <c:ser>
          <c:idx val="1"/>
          <c:order val="1"/>
          <c:tx>
            <c:v>REGULAR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cat>
            <c:strRef>
              <c:f>'X-MES-81-05'!$A$356:$A$367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'X-MES-81-05'!#REF!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13-4FAF-9206-CFF53E460538}"/>
            </c:ext>
          </c:extLst>
        </c:ser>
        <c:ser>
          <c:idx val="2"/>
          <c:order val="2"/>
          <c:tx>
            <c:v>DIESEL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cat>
            <c:strRef>
              <c:f>'X-MES-81-05'!$A$356:$A$367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'X-MES-81-05'!#REF!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13-4FAF-9206-CFF53E460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012328"/>
        <c:axId val="142015856"/>
      </c:lineChart>
      <c:catAx>
        <c:axId val="142012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GT"/>
          </a:p>
        </c:txPr>
        <c:crossAx val="142015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2015856"/>
        <c:scaling>
          <c:orientation val="minMax"/>
          <c:max val="18"/>
          <c:min val="9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Q / GALON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GT"/>
          </a:p>
        </c:txPr>
        <c:crossAx val="14201232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G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GT"/>
    </a:p>
  </c:txPr>
  <c:printSettings>
    <c:headerFooter alignWithMargins="0"/>
    <c:pageMargins b="1" l="0.75000000000001465" r="0.75000000000001465" t="1" header="0" footer="0"/>
    <c:pageSetup orientation="landscape" horizontalDpi="-1" verticalDpi="-1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3366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VARIACION DE PRECIOS A CONSUMIDOR FINAL
AÑO 2002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SUPERIOR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cat>
            <c:strRef>
              <c:f>'X-MES-81-05'!$A$372:$A$383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'X-MES-81-05'!#REF!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80-4710-851E-74ECBE548A95}"/>
            </c:ext>
          </c:extLst>
        </c:ser>
        <c:ser>
          <c:idx val="1"/>
          <c:order val="1"/>
          <c:tx>
            <c:v>REGULAR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cat>
            <c:strRef>
              <c:f>'X-MES-81-05'!$A$372:$A$383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'X-MES-81-05'!#REF!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80-4710-851E-74ECBE548A95}"/>
            </c:ext>
          </c:extLst>
        </c:ser>
        <c:ser>
          <c:idx val="2"/>
          <c:order val="2"/>
          <c:tx>
            <c:v>DIESEL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cat>
            <c:strRef>
              <c:f>'X-MES-81-05'!$A$372:$A$383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'X-MES-81-05'!#REF!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80-4710-851E-74ECBE548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217048"/>
        <c:axId val="346216656"/>
      </c:lineChart>
      <c:catAx>
        <c:axId val="346217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GT"/>
          </a:p>
        </c:txPr>
        <c:crossAx val="346216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216656"/>
        <c:scaling>
          <c:orientation val="minMax"/>
          <c:max val="18"/>
          <c:min val="9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Q / GALON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GT"/>
          </a:p>
        </c:txPr>
        <c:crossAx val="3462170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G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GT"/>
    </a:p>
  </c:txPr>
  <c:printSettings>
    <c:headerFooter alignWithMargins="0"/>
    <c:pageMargins b="1" l="0.75000000000001465" r="0.75000000000001465" t="1" header="0" footer="0"/>
    <c:pageSetup orientation="landscape" horizontalDpi="-1" verticalDpi="-1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3366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VARIACION DE PRECIOS A CONSUMIDOR FINAL
AÑO 2003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SUPERIOR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cat>
            <c:strRef>
              <c:f>'X-MES-81-05'!$A$388:$A$399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'X-MES-81-05'!#REF!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77-4947-9112-F70B74CA156C}"/>
            </c:ext>
          </c:extLst>
        </c:ser>
        <c:ser>
          <c:idx val="1"/>
          <c:order val="1"/>
          <c:tx>
            <c:v>REGULAR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cat>
            <c:strRef>
              <c:f>'X-MES-81-05'!$A$388:$A$399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'X-MES-81-05'!#REF!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77-4947-9112-F70B74CA156C}"/>
            </c:ext>
          </c:extLst>
        </c:ser>
        <c:ser>
          <c:idx val="2"/>
          <c:order val="2"/>
          <c:tx>
            <c:v>DIESEL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cat>
            <c:strRef>
              <c:f>'X-MES-81-05'!$A$388:$A$399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'X-MES-81-05'!#REF!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77-4947-9112-F70B74CA1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218224"/>
        <c:axId val="346217440"/>
      </c:lineChart>
      <c:catAx>
        <c:axId val="346218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GT"/>
          </a:p>
        </c:txPr>
        <c:crossAx val="346217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217440"/>
        <c:scaling>
          <c:orientation val="minMax"/>
          <c:max val="25"/>
          <c:min val="9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Q / GALON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GT"/>
          </a:p>
        </c:txPr>
        <c:crossAx val="346218224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G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GT"/>
    </a:p>
  </c:txPr>
  <c:printSettings>
    <c:headerFooter alignWithMargins="0"/>
    <c:pageMargins b="1" l="0.75000000000001465" r="0.75000000000001465" t="1" header="0" footer="0"/>
    <c:pageSetup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3366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VARIACION DE PRECIOS A CONSUMIDOR FINAL
AÑO 2004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SUPERIOR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cat>
            <c:strRef>
              <c:f>'X-MES-81-05'!$A$404:$A$415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'X-MES-81-05'!#REF!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F6-4446-9A1B-8491C1C8EDD2}"/>
            </c:ext>
          </c:extLst>
        </c:ser>
        <c:ser>
          <c:idx val="1"/>
          <c:order val="1"/>
          <c:tx>
            <c:v>REGULAR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cat>
            <c:strRef>
              <c:f>'X-MES-81-05'!$A$404:$A$415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'X-MES-81-05'!#REF!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F6-4446-9A1B-8491C1C8EDD2}"/>
            </c:ext>
          </c:extLst>
        </c:ser>
        <c:ser>
          <c:idx val="2"/>
          <c:order val="2"/>
          <c:tx>
            <c:v>DIESEL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cat>
            <c:strRef>
              <c:f>'X-MES-81-05'!$A$404:$A$415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'X-MES-81-05'!#REF!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F6-4446-9A1B-8491C1C8E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293776"/>
        <c:axId val="346294168"/>
      </c:lineChart>
      <c:catAx>
        <c:axId val="346293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GT"/>
          </a:p>
        </c:txPr>
        <c:crossAx val="346294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294168"/>
        <c:scaling>
          <c:orientation val="minMax"/>
          <c:max val="25"/>
          <c:min val="9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Q / GALON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GT"/>
          </a:p>
        </c:txPr>
        <c:crossAx val="34629377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G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GT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3366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VARIACION DE PRECIOS A CONSUMIDOR FINAL
AÑO 2004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SUPERIOR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cat>
            <c:strRef>
              <c:f>'X-MES-81-05'!$A$404:$A$415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'X-MES-81-05'!#REF!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A1-4078-B8A5-058F9D556084}"/>
            </c:ext>
          </c:extLst>
        </c:ser>
        <c:ser>
          <c:idx val="1"/>
          <c:order val="1"/>
          <c:tx>
            <c:v>REGULAR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cat>
            <c:strRef>
              <c:f>'X-MES-81-05'!$A$404:$A$415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'X-MES-81-05'!#REF!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A1-4078-B8A5-058F9D556084}"/>
            </c:ext>
          </c:extLst>
        </c:ser>
        <c:ser>
          <c:idx val="2"/>
          <c:order val="2"/>
          <c:tx>
            <c:v>DIESEL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cat>
            <c:strRef>
              <c:f>'X-MES-81-05'!$A$404:$A$415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'X-MES-81-05'!#REF!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A1-4078-B8A5-058F9D556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294952"/>
        <c:axId val="345970736"/>
      </c:lineChart>
      <c:catAx>
        <c:axId val="346294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GT"/>
          </a:p>
        </c:txPr>
        <c:crossAx val="345970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970736"/>
        <c:scaling>
          <c:orientation val="minMax"/>
          <c:max val="25"/>
          <c:min val="9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Q / GALON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GT"/>
          </a:p>
        </c:txPr>
        <c:crossAx val="346294952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G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GT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3366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VARIACION DE PRECIOS A CONSUMIDOR FINAL
AÑO 2004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SUPERIOR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cat>
            <c:strRef>
              <c:f>'X-MES-81-05'!$A$404:$A$415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'X-MES-81-05'!#REF!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C4-42A3-8007-EC3538A811CE}"/>
            </c:ext>
          </c:extLst>
        </c:ser>
        <c:ser>
          <c:idx val="1"/>
          <c:order val="1"/>
          <c:tx>
            <c:v>REGULAR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cat>
            <c:strRef>
              <c:f>'X-MES-81-05'!$A$404:$A$415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'X-MES-81-05'!#REF!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C4-42A3-8007-EC3538A811CE}"/>
            </c:ext>
          </c:extLst>
        </c:ser>
        <c:ser>
          <c:idx val="2"/>
          <c:order val="2"/>
          <c:tx>
            <c:v>DIESEL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cat>
            <c:strRef>
              <c:f>'X-MES-81-05'!$A$404:$A$415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'X-MES-81-05'!#REF!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C4-42A3-8007-EC3538A81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5969952"/>
        <c:axId val="345971912"/>
      </c:lineChart>
      <c:catAx>
        <c:axId val="345969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GT"/>
          </a:p>
        </c:txPr>
        <c:crossAx val="345971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971912"/>
        <c:scaling>
          <c:orientation val="minMax"/>
          <c:max val="25"/>
          <c:min val="9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Q / GALON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GT"/>
          </a:p>
        </c:txPr>
        <c:crossAx val="345969952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G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GT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ES" sz="1100" b="1" i="0" u="none" strike="noStrike" baseline="0">
                <a:solidFill>
                  <a:srgbClr val="002060"/>
                </a:solidFill>
              </a:rPr>
              <a:t>PRECIOS DE  GAS LICUADO DE PETROLEO POR CILINDRO DE 25 LIBRAS </a:t>
            </a:r>
            <a:endParaRPr lang="es-ES" sz="1100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0.20246505241907894"/>
          <c:y val="1.994133792245804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116095517744773"/>
          <c:y val="0.12861354814458067"/>
          <c:w val="0.799801245810835"/>
          <c:h val="0.73346203608911165"/>
        </c:manualLayout>
      </c:layout>
      <c:lineChart>
        <c:grouping val="standard"/>
        <c:varyColors val="0"/>
        <c:ser>
          <c:idx val="0"/>
          <c:order val="0"/>
          <c:spPr>
            <a:ln w="60325" cmpd="sng"/>
          </c:spPr>
          <c:marker>
            <c:symbol val="none"/>
          </c:marker>
          <c:cat>
            <c:numRef>
              <c:f>'X-MES-81-05 (3)'!$AG$2:$AG$42</c:f>
              <c:numCache>
                <c:formatCode>mmm\-yy</c:formatCode>
                <c:ptCount val="41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</c:numCache>
            </c:numRef>
          </c:cat>
          <c:val>
            <c:numRef>
              <c:f>'X-MES-81-05 (3)'!$AH$2:$AH$42</c:f>
              <c:numCache>
                <c:formatCode>"Q"#,##0.00</c:formatCode>
                <c:ptCount val="41"/>
                <c:pt idx="0">
                  <c:v>136</c:v>
                </c:pt>
                <c:pt idx="1">
                  <c:v>136</c:v>
                </c:pt>
                <c:pt idx="2">
                  <c:v>116</c:v>
                </c:pt>
                <c:pt idx="3">
                  <c:v>105</c:v>
                </c:pt>
                <c:pt idx="4">
                  <c:v>105</c:v>
                </c:pt>
                <c:pt idx="5">
                  <c:v>105</c:v>
                </c:pt>
                <c:pt idx="6">
                  <c:v>98</c:v>
                </c:pt>
                <c:pt idx="7">
                  <c:v>94</c:v>
                </c:pt>
                <c:pt idx="8">
                  <c:v>91</c:v>
                </c:pt>
                <c:pt idx="9">
                  <c:v>65</c:v>
                </c:pt>
                <c:pt idx="10">
                  <c:v>65</c:v>
                </c:pt>
                <c:pt idx="11">
                  <c:v>90</c:v>
                </c:pt>
                <c:pt idx="12">
                  <c:v>90</c:v>
                </c:pt>
                <c:pt idx="13">
                  <c:v>106</c:v>
                </c:pt>
                <c:pt idx="14">
                  <c:v>109</c:v>
                </c:pt>
                <c:pt idx="15">
                  <c:v>109</c:v>
                </c:pt>
                <c:pt idx="16">
                  <c:v>109</c:v>
                </c:pt>
                <c:pt idx="17">
                  <c:v>117</c:v>
                </c:pt>
                <c:pt idx="18">
                  <c:v>120</c:v>
                </c:pt>
                <c:pt idx="19">
                  <c:v>120</c:v>
                </c:pt>
                <c:pt idx="20">
                  <c:v>128</c:v>
                </c:pt>
                <c:pt idx="21">
                  <c:v>130</c:v>
                </c:pt>
                <c:pt idx="22">
                  <c:v>130</c:v>
                </c:pt>
                <c:pt idx="23">
                  <c:v>132</c:v>
                </c:pt>
                <c:pt idx="24">
                  <c:v>135</c:v>
                </c:pt>
                <c:pt idx="25">
                  <c:v>137</c:v>
                </c:pt>
                <c:pt idx="26">
                  <c:v>140</c:v>
                </c:pt>
                <c:pt idx="27">
                  <c:v>140</c:v>
                </c:pt>
                <c:pt idx="28">
                  <c:v>140</c:v>
                </c:pt>
                <c:pt idx="29">
                  <c:v>140</c:v>
                </c:pt>
                <c:pt idx="30">
                  <c:v>140</c:v>
                </c:pt>
                <c:pt idx="31">
                  <c:v>140</c:v>
                </c:pt>
                <c:pt idx="32">
                  <c:v>140</c:v>
                </c:pt>
                <c:pt idx="33">
                  <c:v>140</c:v>
                </c:pt>
                <c:pt idx="34">
                  <c:v>140</c:v>
                </c:pt>
                <c:pt idx="35">
                  <c:v>130</c:v>
                </c:pt>
                <c:pt idx="36">
                  <c:v>105</c:v>
                </c:pt>
                <c:pt idx="37">
                  <c:v>92</c:v>
                </c:pt>
                <c:pt idx="38">
                  <c:v>90</c:v>
                </c:pt>
                <c:pt idx="39">
                  <c:v>87</c:v>
                </c:pt>
                <c:pt idx="40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DC-4CE8-A3C9-DFFE592C9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969560"/>
        <c:axId val="345970344"/>
      </c:lineChart>
      <c:dateAx>
        <c:axId val="34596956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txPr>
          <a:bodyPr/>
          <a:lstStyle/>
          <a:p>
            <a:pPr>
              <a:defRPr sz="1000" b="1"/>
            </a:pPr>
            <a:endParaRPr lang="es-GT"/>
          </a:p>
        </c:txPr>
        <c:crossAx val="345970344"/>
        <c:crosses val="autoZero"/>
        <c:auto val="1"/>
        <c:lblOffset val="100"/>
        <c:baseTimeUnit val="months"/>
      </c:dateAx>
      <c:valAx>
        <c:axId val="345970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sz="1050" b="1">
                    <a:solidFill>
                      <a:srgbClr val="FF0000"/>
                    </a:solidFill>
                  </a:rPr>
                  <a:t>Quetzales</a:t>
                </a:r>
              </a:p>
              <a:p>
                <a:pPr>
                  <a:defRPr/>
                </a:pPr>
                <a:endParaRPr lang="en-US" b="1">
                  <a:solidFill>
                    <a:srgbClr val="FF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3.3333327500730099E-2"/>
              <c:y val="0.41433349585765333"/>
            </c:manualLayout>
          </c:layout>
          <c:overlay val="0"/>
        </c:title>
        <c:numFmt formatCode="&quot;Q&quot;#,##0.00" sourceLinked="1"/>
        <c:majorTickMark val="none"/>
        <c:minorTickMark val="none"/>
        <c:tickLblPos val="nextTo"/>
        <c:txPr>
          <a:bodyPr/>
          <a:lstStyle/>
          <a:p>
            <a:pPr>
              <a:defRPr sz="900" b="1"/>
            </a:pPr>
            <a:endParaRPr lang="es-GT"/>
          </a:p>
        </c:txPr>
        <c:crossAx val="345969560"/>
        <c:crosses val="autoZero"/>
        <c:crossBetween val="between"/>
        <c:majorUnit val="60"/>
        <c:minorUnit val="12"/>
      </c:valAx>
      <c:spPr>
        <a:solidFill>
          <a:srgbClr val="4F81BD">
            <a:alpha val="7000"/>
          </a:srgbClr>
        </a:solidFill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10.png"/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4.pn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8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22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4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jpeg"/><Relationship Id="rId1" Type="http://schemas.openxmlformats.org/officeDocument/2006/relationships/image" Target="../media/image28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jpeg"/><Relationship Id="rId1" Type="http://schemas.openxmlformats.org/officeDocument/2006/relationships/image" Target="../media/image28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3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jpe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3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jpeg"/><Relationship Id="rId1" Type="http://schemas.openxmlformats.org/officeDocument/2006/relationships/image" Target="../media/image28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681403</xdr:colOff>
      <xdr:row>6</xdr:row>
      <xdr:rowOff>112343</xdr:rowOff>
    </xdr:from>
    <xdr:to>
      <xdr:col>7</xdr:col>
      <xdr:colOff>657958</xdr:colOff>
      <xdr:row>9</xdr:row>
      <xdr:rowOff>180239</xdr:rowOff>
    </xdr:to>
    <xdr:pic>
      <xdr:nvPicPr>
        <xdr:cNvPr id="2" name="Imagen 1" descr="logodgh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53403" y="1017218"/>
          <a:ext cx="738555" cy="54414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124559</xdr:colOff>
      <xdr:row>6</xdr:row>
      <xdr:rowOff>95249</xdr:rowOff>
    </xdr:from>
    <xdr:to>
      <xdr:col>2</xdr:col>
      <xdr:colOff>109904</xdr:colOff>
      <xdr:row>9</xdr:row>
      <xdr:rowOff>115032</xdr:rowOff>
    </xdr:to>
    <xdr:pic>
      <xdr:nvPicPr>
        <xdr:cNvPr id="5" name="4 Imagen" descr="LOGO MEM para plantilla de remitent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86559" y="1011114"/>
          <a:ext cx="747345" cy="50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676275</xdr:colOff>
      <xdr:row>5</xdr:row>
      <xdr:rowOff>95250</xdr:rowOff>
    </xdr:from>
    <xdr:to>
      <xdr:col>12</xdr:col>
      <xdr:colOff>257176</xdr:colOff>
      <xdr:row>8</xdr:row>
      <xdr:rowOff>21131</xdr:rowOff>
    </xdr:to>
    <xdr:pic>
      <xdr:nvPicPr>
        <xdr:cNvPr id="3" name="Picture 3" descr="Imágenes integradas 1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05775" y="904875"/>
          <a:ext cx="1285876" cy="430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0</xdr:row>
      <xdr:rowOff>76200</xdr:rowOff>
    </xdr:from>
    <xdr:to>
      <xdr:col>0</xdr:col>
      <xdr:colOff>1072602</xdr:colOff>
      <xdr:row>5</xdr:row>
      <xdr:rowOff>28641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40A2140-65DA-41CE-9A08-7FF2B15DE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675" y="76200"/>
          <a:ext cx="1005927" cy="762066"/>
        </a:xfrm>
        <a:prstGeom prst="rect">
          <a:avLst/>
        </a:prstGeom>
      </xdr:spPr>
    </xdr:pic>
    <xdr:clientData/>
  </xdr:twoCellAnchor>
  <xdr:twoCellAnchor editAs="oneCell">
    <xdr:from>
      <xdr:col>6</xdr:col>
      <xdr:colOff>733425</xdr:colOff>
      <xdr:row>3</xdr:row>
      <xdr:rowOff>57150</xdr:rowOff>
    </xdr:from>
    <xdr:to>
      <xdr:col>8</xdr:col>
      <xdr:colOff>599433</xdr:colOff>
      <xdr:row>5</xdr:row>
      <xdr:rowOff>62513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434F995-53BC-422D-B78F-ED8803B71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10225" y="542925"/>
          <a:ext cx="1390008" cy="32921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11906</xdr:rowOff>
    </xdr:from>
    <xdr:to>
      <xdr:col>0</xdr:col>
      <xdr:colOff>942975</xdr:colOff>
      <xdr:row>7</xdr:row>
      <xdr:rowOff>28575</xdr:rowOff>
    </xdr:to>
    <xdr:pic>
      <xdr:nvPicPr>
        <xdr:cNvPr id="11265" name="Imagen 1" descr="logodgh">
          <a:extLst>
            <a:ext uri="{FF2B5EF4-FFF2-40B4-BE49-F238E27FC236}">
              <a16:creationId xmlns:a16="http://schemas.microsoft.com/office/drawing/2014/main" id="{00000000-0008-0000-0B00-00000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97681"/>
          <a:ext cx="885825" cy="664369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95250</xdr:colOff>
      <xdr:row>6</xdr:row>
      <xdr:rowOff>47625</xdr:rowOff>
    </xdr:from>
    <xdr:to>
      <xdr:col>11</xdr:col>
      <xdr:colOff>466725</xdr:colOff>
      <xdr:row>8</xdr:row>
      <xdr:rowOff>98822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7970" t="32324" r="66658" b="37402"/>
        <a:stretch>
          <a:fillRect/>
        </a:stretch>
      </xdr:blipFill>
      <xdr:spPr bwMode="auto">
        <a:xfrm>
          <a:off x="8496300" y="1019175"/>
          <a:ext cx="371475" cy="35599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oneCellAnchor>
    <xdr:from>
      <xdr:col>9</xdr:col>
      <xdr:colOff>38100</xdr:colOff>
      <xdr:row>8</xdr:row>
      <xdr:rowOff>150018</xdr:rowOff>
    </xdr:from>
    <xdr:ext cx="1905000" cy="219075"/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 txBox="1"/>
      </xdr:nvSpPr>
      <xdr:spPr>
        <a:xfrm>
          <a:off x="7258050" y="1426368"/>
          <a:ext cx="1905000" cy="219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s-ES" sz="1000">
              <a:solidFill>
                <a:schemeClr val="accent1">
                  <a:lumMod val="75000"/>
                </a:schemeClr>
              </a:solidFill>
              <a:latin typeface="Cardo" pitchFamily="18" charset="-79"/>
              <a:ea typeface="Cardo" pitchFamily="18" charset="-79"/>
              <a:cs typeface="Cardo" pitchFamily="18" charset="-79"/>
            </a:rPr>
            <a:t>Ministrio de Energia y Minas</a:t>
          </a:r>
        </a:p>
      </xdr:txBody>
    </xdr:sp>
    <xdr:clientData/>
  </xdr:oneCellAnchor>
  <xdr:twoCellAnchor editAs="oneCell">
    <xdr:from>
      <xdr:col>6</xdr:col>
      <xdr:colOff>695325</xdr:colOff>
      <xdr:row>5</xdr:row>
      <xdr:rowOff>57150</xdr:rowOff>
    </xdr:from>
    <xdr:to>
      <xdr:col>8</xdr:col>
      <xdr:colOff>561333</xdr:colOff>
      <xdr:row>7</xdr:row>
      <xdr:rowOff>62513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0BF015D-01D2-4E81-BCD7-95B4C73BB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29275" y="866775"/>
          <a:ext cx="1390008" cy="32921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1</xdr:row>
      <xdr:rowOff>11906</xdr:rowOff>
    </xdr:from>
    <xdr:to>
      <xdr:col>1</xdr:col>
      <xdr:colOff>47625</xdr:colOff>
      <xdr:row>5</xdr:row>
      <xdr:rowOff>28575</xdr:rowOff>
    </xdr:to>
    <xdr:pic>
      <xdr:nvPicPr>
        <xdr:cNvPr id="2" name="Imagen 1" descr="logodgh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173831"/>
          <a:ext cx="885825" cy="66436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209550</xdr:colOff>
      <xdr:row>0</xdr:row>
      <xdr:rowOff>141470</xdr:rowOff>
    </xdr:from>
    <xdr:to>
      <xdr:col>8</xdr:col>
      <xdr:colOff>561975</xdr:colOff>
      <xdr:row>2</xdr:row>
      <xdr:rowOff>81563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E0F027B-369A-4B4E-B744-CF4AAF832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05500" y="141470"/>
          <a:ext cx="1114425" cy="26394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1</xdr:row>
      <xdr:rowOff>11906</xdr:rowOff>
    </xdr:from>
    <xdr:to>
      <xdr:col>1</xdr:col>
      <xdr:colOff>85725</xdr:colOff>
      <xdr:row>5</xdr:row>
      <xdr:rowOff>28575</xdr:rowOff>
    </xdr:to>
    <xdr:pic>
      <xdr:nvPicPr>
        <xdr:cNvPr id="2" name="Imagen 1" descr="logodgh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269081"/>
          <a:ext cx="1009650" cy="75961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19050</xdr:colOff>
      <xdr:row>1</xdr:row>
      <xdr:rowOff>19050</xdr:rowOff>
    </xdr:from>
    <xdr:to>
      <xdr:col>8</xdr:col>
      <xdr:colOff>647058</xdr:colOff>
      <xdr:row>2</xdr:row>
      <xdr:rowOff>91088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1D3F48E-AD34-4801-AC6A-3251D92B0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43575" y="276225"/>
          <a:ext cx="1390008" cy="32921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1</xdr:row>
      <xdr:rowOff>11906</xdr:rowOff>
    </xdr:from>
    <xdr:to>
      <xdr:col>1</xdr:col>
      <xdr:colOff>85725</xdr:colOff>
      <xdr:row>5</xdr:row>
      <xdr:rowOff>28575</xdr:rowOff>
    </xdr:to>
    <xdr:pic>
      <xdr:nvPicPr>
        <xdr:cNvPr id="2" name="Imagen 1" descr="logodgh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269081"/>
          <a:ext cx="1009650" cy="75961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46218</xdr:colOff>
      <xdr:row>1</xdr:row>
      <xdr:rowOff>8118</xdr:rowOff>
    </xdr:from>
    <xdr:to>
      <xdr:col>8</xdr:col>
      <xdr:colOff>674226</xdr:colOff>
      <xdr:row>2</xdr:row>
      <xdr:rowOff>65436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EC851D1-61D9-462D-8B7A-429917102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55265" y="264102"/>
          <a:ext cx="1390008" cy="31330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1</xdr:row>
      <xdr:rowOff>11906</xdr:rowOff>
    </xdr:from>
    <xdr:to>
      <xdr:col>1</xdr:col>
      <xdr:colOff>85725</xdr:colOff>
      <xdr:row>5</xdr:row>
      <xdr:rowOff>28575</xdr:rowOff>
    </xdr:to>
    <xdr:pic>
      <xdr:nvPicPr>
        <xdr:cNvPr id="2" name="Imagen 1" descr="logodgh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269081"/>
          <a:ext cx="1009650" cy="75961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323850</xdr:colOff>
      <xdr:row>0</xdr:row>
      <xdr:rowOff>120916</xdr:rowOff>
    </xdr:from>
    <xdr:to>
      <xdr:col>8</xdr:col>
      <xdr:colOff>561975</xdr:colOff>
      <xdr:row>1</xdr:row>
      <xdr:rowOff>100613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7387788-A2C9-408F-BA8C-14937DC26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38850" y="120916"/>
          <a:ext cx="1000125" cy="23687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438150</xdr:colOff>
      <xdr:row>3</xdr:row>
      <xdr:rowOff>21431</xdr:rowOff>
    </xdr:from>
    <xdr:to>
      <xdr:col>12</xdr:col>
      <xdr:colOff>609600</xdr:colOff>
      <xdr:row>6</xdr:row>
      <xdr:rowOff>219075</xdr:rowOff>
    </xdr:to>
    <xdr:pic>
      <xdr:nvPicPr>
        <xdr:cNvPr id="2" name="Imagen 1" descr="logodgh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05850" y="697706"/>
          <a:ext cx="1009650" cy="7596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161925</xdr:colOff>
      <xdr:row>1</xdr:row>
      <xdr:rowOff>61510</xdr:rowOff>
    </xdr:from>
    <xdr:to>
      <xdr:col>1</xdr:col>
      <xdr:colOff>585897</xdr:colOff>
      <xdr:row>2</xdr:row>
      <xdr:rowOff>164224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9A85143-26E9-47E7-AB50-868900AA6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1925" y="318685"/>
          <a:ext cx="1509822" cy="35759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1</xdr:row>
      <xdr:rowOff>11906</xdr:rowOff>
    </xdr:from>
    <xdr:to>
      <xdr:col>1</xdr:col>
      <xdr:colOff>85725</xdr:colOff>
      <xdr:row>5</xdr:row>
      <xdr:rowOff>28575</xdr:rowOff>
    </xdr:to>
    <xdr:pic>
      <xdr:nvPicPr>
        <xdr:cNvPr id="2" name="Imagen 1" descr="logodgh">
          <a:extLst>
            <a:ext uri="{FF2B5EF4-FFF2-40B4-BE49-F238E27FC236}">
              <a16:creationId xmlns:a16="http://schemas.microsoft.com/office/drawing/2014/main" id="{5ECF04E3-7693-4FBD-8DB2-CFCC9B40C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269081"/>
          <a:ext cx="1009650" cy="75961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219075</xdr:colOff>
      <xdr:row>0</xdr:row>
      <xdr:rowOff>101615</xdr:rowOff>
    </xdr:from>
    <xdr:to>
      <xdr:col>8</xdr:col>
      <xdr:colOff>619125</xdr:colOff>
      <xdr:row>1</xdr:row>
      <xdr:rowOff>119663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5A7DA87-096D-42E9-9D77-6286E3AA3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34075" y="101615"/>
          <a:ext cx="1162050" cy="27522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361950</xdr:colOff>
      <xdr:row>6</xdr:row>
      <xdr:rowOff>97631</xdr:rowOff>
    </xdr:from>
    <xdr:to>
      <xdr:col>14</xdr:col>
      <xdr:colOff>609600</xdr:colOff>
      <xdr:row>9</xdr:row>
      <xdr:rowOff>114300</xdr:rowOff>
    </xdr:to>
    <xdr:pic>
      <xdr:nvPicPr>
        <xdr:cNvPr id="2" name="Imagen 1" descr="logodgh">
          <a:extLst>
            <a:ext uri="{FF2B5EF4-FFF2-40B4-BE49-F238E27FC236}">
              <a16:creationId xmlns:a16="http://schemas.microsoft.com/office/drawing/2014/main" id="{AD3AF786-216E-4B28-BEC8-9EF7F9368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6050" y="1335881"/>
          <a:ext cx="1009650" cy="7596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1</xdr:row>
      <xdr:rowOff>0</xdr:rowOff>
    </xdr:from>
    <xdr:to>
      <xdr:col>1</xdr:col>
      <xdr:colOff>462193</xdr:colOff>
      <xdr:row>2</xdr:row>
      <xdr:rowOff>160460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85BF339-7C87-4964-87EE-D3D60107A6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12941"/>
        <a:stretch/>
      </xdr:blipFill>
      <xdr:spPr>
        <a:xfrm>
          <a:off x="9525" y="257175"/>
          <a:ext cx="1538518" cy="41763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219808</xdr:rowOff>
    </xdr:from>
    <xdr:to>
      <xdr:col>1</xdr:col>
      <xdr:colOff>451940</xdr:colOff>
      <xdr:row>2</xdr:row>
      <xdr:rowOff>121487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8CED53-136A-40A8-82B1-ED7FCAF10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19808"/>
          <a:ext cx="1536325" cy="4145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744903</xdr:colOff>
      <xdr:row>0</xdr:row>
      <xdr:rowOff>32968</xdr:rowOff>
    </xdr:from>
    <xdr:to>
      <xdr:col>6</xdr:col>
      <xdr:colOff>721458</xdr:colOff>
      <xdr:row>3</xdr:row>
      <xdr:rowOff>21489</xdr:rowOff>
    </xdr:to>
    <xdr:pic>
      <xdr:nvPicPr>
        <xdr:cNvPr id="4" name="Imagen 1" descr="logodgh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54903" y="32968"/>
          <a:ext cx="738555" cy="54414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45184</xdr:colOff>
      <xdr:row>0</xdr:row>
      <xdr:rowOff>31749</xdr:rowOff>
    </xdr:from>
    <xdr:to>
      <xdr:col>1</xdr:col>
      <xdr:colOff>30529</xdr:colOff>
      <xdr:row>3</xdr:row>
      <xdr:rowOff>732</xdr:rowOff>
    </xdr:to>
    <xdr:pic>
      <xdr:nvPicPr>
        <xdr:cNvPr id="5" name="4 Imagen" descr="LOGO MEM para plantilla de remitent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5184" y="31749"/>
          <a:ext cx="747345" cy="5246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512549</xdr:colOff>
      <xdr:row>3</xdr:row>
      <xdr:rowOff>153865</xdr:rowOff>
    </xdr:from>
    <xdr:to>
      <xdr:col>20</xdr:col>
      <xdr:colOff>380814</xdr:colOff>
      <xdr:row>8</xdr:row>
      <xdr:rowOff>58615</xdr:rowOff>
    </xdr:to>
    <xdr:pic>
      <xdr:nvPicPr>
        <xdr:cNvPr id="2" name="Imagen 1" descr="logodgh">
          <a:extLst>
            <a:ext uri="{FF2B5EF4-FFF2-40B4-BE49-F238E27FC236}">
              <a16:creationId xmlns:a16="http://schemas.microsoft.com/office/drawing/2014/main" id="{639835D1-683E-4194-8196-48AD49B32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65184" y="849923"/>
          <a:ext cx="1392265" cy="1055077"/>
        </a:xfrm>
        <a:prstGeom prst="rect">
          <a:avLst/>
        </a:prstGeom>
        <a:noFill/>
      </xdr:spPr>
    </xdr:pic>
    <xdr:clientData/>
  </xdr:twoCellAnchor>
  <xdr:oneCellAnchor>
    <xdr:from>
      <xdr:col>10</xdr:col>
      <xdr:colOff>124558</xdr:colOff>
      <xdr:row>3</xdr:row>
      <xdr:rowOff>35592</xdr:rowOff>
    </xdr:from>
    <xdr:ext cx="1784198" cy="422574"/>
    <xdr:pic>
      <xdr:nvPicPr>
        <xdr:cNvPr id="3" name="Imagen 2">
          <a:extLst>
            <a:ext uri="{FF2B5EF4-FFF2-40B4-BE49-F238E27FC236}">
              <a16:creationId xmlns:a16="http://schemas.microsoft.com/office/drawing/2014/main" id="{3B38F66D-1A0F-4534-8181-9E7136566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34654" y="731650"/>
          <a:ext cx="1784198" cy="422574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212479</xdr:rowOff>
    </xdr:from>
    <xdr:to>
      <xdr:col>1</xdr:col>
      <xdr:colOff>454133</xdr:colOff>
      <xdr:row>2</xdr:row>
      <xdr:rowOff>95249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34BC58C-6A05-4820-A32E-744E3E48FE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12941"/>
        <a:stretch/>
      </xdr:blipFill>
      <xdr:spPr>
        <a:xfrm>
          <a:off x="0" y="212479"/>
          <a:ext cx="1538518" cy="41763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41</xdr:col>
      <xdr:colOff>223686</xdr:colOff>
      <xdr:row>1</xdr:row>
      <xdr:rowOff>28451</xdr:rowOff>
    </xdr:from>
    <xdr:ext cx="1161533" cy="1128156"/>
    <xdr:pic>
      <xdr:nvPicPr>
        <xdr:cNvPr id="2" name="Imagen 1">
          <a:extLst>
            <a:ext uri="{FF2B5EF4-FFF2-40B4-BE49-F238E27FC236}">
              <a16:creationId xmlns:a16="http://schemas.microsoft.com/office/drawing/2014/main" id="{91076B24-DA53-46E0-82E8-61C83A839D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6841" t="56407" r="33251" b="30864"/>
        <a:stretch/>
      </xdr:blipFill>
      <xdr:spPr>
        <a:xfrm>
          <a:off x="13082436" y="205344"/>
          <a:ext cx="1161533" cy="1128156"/>
        </a:xfrm>
        <a:prstGeom prst="ellipse">
          <a:avLst/>
        </a:prstGeom>
        <a:ln>
          <a:solidFill>
            <a:srgbClr val="002060"/>
          </a:solidFill>
        </a:ln>
      </xdr:spPr>
    </xdr:pic>
    <xdr:clientData/>
  </xdr:oneCellAnchor>
  <xdr:twoCellAnchor editAs="oneCell">
    <xdr:from>
      <xdr:col>0</xdr:col>
      <xdr:colOff>299357</xdr:colOff>
      <xdr:row>1</xdr:row>
      <xdr:rowOff>95250</xdr:rowOff>
    </xdr:from>
    <xdr:to>
      <xdr:col>24</xdr:col>
      <xdr:colOff>239827</xdr:colOff>
      <xdr:row>5</xdr:row>
      <xdr:rowOff>68036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E77F400-2695-4CA0-B67C-8F033AEF1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9357" y="272143"/>
          <a:ext cx="2267291" cy="84364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340179</xdr:colOff>
      <xdr:row>1</xdr:row>
      <xdr:rowOff>111407</xdr:rowOff>
    </xdr:from>
    <xdr:ext cx="1222089" cy="1180593"/>
    <xdr:pic>
      <xdr:nvPicPr>
        <xdr:cNvPr id="2" name="Imagen 1">
          <a:extLst>
            <a:ext uri="{FF2B5EF4-FFF2-40B4-BE49-F238E27FC236}">
              <a16:creationId xmlns:a16="http://schemas.microsoft.com/office/drawing/2014/main" id="{3CFF3A4E-A209-4302-A050-1BACCCB107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6841" t="56407" r="33251" b="30864"/>
        <a:stretch/>
      </xdr:blipFill>
      <xdr:spPr>
        <a:xfrm>
          <a:off x="12260036" y="329121"/>
          <a:ext cx="1222089" cy="1180593"/>
        </a:xfrm>
        <a:prstGeom prst="ellipse">
          <a:avLst/>
        </a:prstGeom>
      </xdr:spPr>
    </xdr:pic>
    <xdr:clientData/>
  </xdr:oneCellAnchor>
  <xdr:twoCellAnchor editAs="oneCell">
    <xdr:from>
      <xdr:col>0</xdr:col>
      <xdr:colOff>258535</xdr:colOff>
      <xdr:row>1</xdr:row>
      <xdr:rowOff>13608</xdr:rowOff>
    </xdr:from>
    <xdr:to>
      <xdr:col>10</xdr:col>
      <xdr:colOff>117980</xdr:colOff>
      <xdr:row>4</xdr:row>
      <xdr:rowOff>106536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1340D9B-FFFE-4319-99E7-86A87E0FC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8535" y="231322"/>
          <a:ext cx="2267909" cy="84132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6</xdr:col>
      <xdr:colOff>152400</xdr:colOff>
      <xdr:row>0</xdr:row>
      <xdr:rowOff>152400</xdr:rowOff>
    </xdr:to>
    <xdr:pic>
      <xdr:nvPicPr>
        <xdr:cNvPr id="8249" name="Picture 25">
          <a:extLst>
            <a:ext uri="{FF2B5EF4-FFF2-40B4-BE49-F238E27FC236}">
              <a16:creationId xmlns:a16="http://schemas.microsoft.com/office/drawing/2014/main" id="{00000000-0008-0000-1300-000039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9200" y="0"/>
          <a:ext cx="152400" cy="152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173254</xdr:colOff>
      <xdr:row>0</xdr:row>
      <xdr:rowOff>140804</xdr:rowOff>
    </xdr:from>
    <xdr:to>
      <xdr:col>6</xdr:col>
      <xdr:colOff>535459</xdr:colOff>
      <xdr:row>3</xdr:row>
      <xdr:rowOff>57978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72FE042-0A80-41A9-9196-BFF9E831E3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1158" t="18418" r="1158" b="17856"/>
        <a:stretch/>
      </xdr:blipFill>
      <xdr:spPr>
        <a:xfrm>
          <a:off x="3908711" y="140804"/>
          <a:ext cx="1654291" cy="488674"/>
        </a:xfrm>
        <a:prstGeom prst="rect">
          <a:avLst/>
        </a:prstGeom>
      </xdr:spPr>
    </xdr:pic>
    <xdr:clientData/>
  </xdr:twoCellAnchor>
  <xdr:twoCellAnchor editAs="oneCell">
    <xdr:from>
      <xdr:col>4</xdr:col>
      <xdr:colOff>149086</xdr:colOff>
      <xdr:row>24</xdr:row>
      <xdr:rowOff>74543</xdr:rowOff>
    </xdr:from>
    <xdr:to>
      <xdr:col>6</xdr:col>
      <xdr:colOff>515256</xdr:colOff>
      <xdr:row>26</xdr:row>
      <xdr:rowOff>181265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FE11568D-249C-4ED7-AE42-2FEB135E9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84543" y="4654826"/>
          <a:ext cx="1658256" cy="487722"/>
        </a:xfrm>
        <a:prstGeom prst="rect">
          <a:avLst/>
        </a:prstGeom>
      </xdr:spPr>
    </xdr:pic>
    <xdr:clientData/>
  </xdr:twoCellAnchor>
  <xdr:twoCellAnchor editAs="oneCell">
    <xdr:from>
      <xdr:col>4</xdr:col>
      <xdr:colOff>198782</xdr:colOff>
      <xdr:row>48</xdr:row>
      <xdr:rowOff>66261</xdr:rowOff>
    </xdr:from>
    <xdr:to>
      <xdr:col>6</xdr:col>
      <xdr:colOff>564952</xdr:colOff>
      <xdr:row>50</xdr:row>
      <xdr:rowOff>172983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E33298D6-87A3-4847-92EC-B3797FE5F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34239" y="9226826"/>
          <a:ext cx="1658256" cy="487722"/>
        </a:xfrm>
        <a:prstGeom prst="rect">
          <a:avLst/>
        </a:prstGeom>
      </xdr:spPr>
    </xdr:pic>
    <xdr:clientData/>
  </xdr:twoCellAnchor>
  <xdr:twoCellAnchor editAs="oneCell">
    <xdr:from>
      <xdr:col>4</xdr:col>
      <xdr:colOff>198782</xdr:colOff>
      <xdr:row>72</xdr:row>
      <xdr:rowOff>49695</xdr:rowOff>
    </xdr:from>
    <xdr:to>
      <xdr:col>6</xdr:col>
      <xdr:colOff>564952</xdr:colOff>
      <xdr:row>74</xdr:row>
      <xdr:rowOff>156417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882E49CC-0FD2-42E6-BA99-27638DCB5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34239" y="13790543"/>
          <a:ext cx="1658256" cy="487722"/>
        </a:xfrm>
        <a:prstGeom prst="rect">
          <a:avLst/>
        </a:prstGeom>
      </xdr:spPr>
    </xdr:pic>
    <xdr:clientData/>
  </xdr:twoCellAnchor>
  <xdr:twoCellAnchor editAs="oneCell">
    <xdr:from>
      <xdr:col>4</xdr:col>
      <xdr:colOff>207064</xdr:colOff>
      <xdr:row>96</xdr:row>
      <xdr:rowOff>33131</xdr:rowOff>
    </xdr:from>
    <xdr:to>
      <xdr:col>6</xdr:col>
      <xdr:colOff>573234</xdr:colOff>
      <xdr:row>98</xdr:row>
      <xdr:rowOff>139853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2EF5AC23-AFF5-4D5A-B7DC-110DC0A96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42521" y="18345979"/>
          <a:ext cx="1658256" cy="487722"/>
        </a:xfrm>
        <a:prstGeom prst="rect">
          <a:avLst/>
        </a:prstGeom>
      </xdr:spPr>
    </xdr:pic>
    <xdr:clientData/>
  </xdr:twoCellAnchor>
  <xdr:twoCellAnchor editAs="oneCell">
    <xdr:from>
      <xdr:col>4</xdr:col>
      <xdr:colOff>240195</xdr:colOff>
      <xdr:row>120</xdr:row>
      <xdr:rowOff>57979</xdr:rowOff>
    </xdr:from>
    <xdr:to>
      <xdr:col>6</xdr:col>
      <xdr:colOff>606365</xdr:colOff>
      <xdr:row>122</xdr:row>
      <xdr:rowOff>164701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74F7E7DB-F329-461C-A239-E422449CB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75652" y="22951109"/>
          <a:ext cx="1658256" cy="48772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1</xdr:row>
      <xdr:rowOff>11906</xdr:rowOff>
    </xdr:from>
    <xdr:to>
      <xdr:col>1</xdr:col>
      <xdr:colOff>85725</xdr:colOff>
      <xdr:row>5</xdr:row>
      <xdr:rowOff>28575</xdr:rowOff>
    </xdr:to>
    <xdr:pic>
      <xdr:nvPicPr>
        <xdr:cNvPr id="2" name="Imagen 1" descr="logodgh">
          <a:extLst>
            <a:ext uri="{FF2B5EF4-FFF2-40B4-BE49-F238E27FC236}">
              <a16:creationId xmlns:a16="http://schemas.microsoft.com/office/drawing/2014/main" id="{B5A377FD-752B-4BB4-BD14-3F235139A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269081"/>
          <a:ext cx="1009650" cy="759619"/>
        </a:xfrm>
        <a:prstGeom prst="rect">
          <a:avLst/>
        </a:prstGeom>
        <a:noFill/>
      </xdr:spPr>
    </xdr:pic>
    <xdr:clientData/>
  </xdr:twoCellAnchor>
  <xdr:oneCellAnchor>
    <xdr:from>
      <xdr:col>6</xdr:col>
      <xdr:colOff>723900</xdr:colOff>
      <xdr:row>4</xdr:row>
      <xdr:rowOff>19050</xdr:rowOff>
    </xdr:from>
    <xdr:ext cx="1390008" cy="329213"/>
    <xdr:pic>
      <xdr:nvPicPr>
        <xdr:cNvPr id="3" name="Imagen 2">
          <a:extLst>
            <a:ext uri="{FF2B5EF4-FFF2-40B4-BE49-F238E27FC236}">
              <a16:creationId xmlns:a16="http://schemas.microsoft.com/office/drawing/2014/main" id="{03410FD9-8B72-4516-885D-F9E728C20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76900" y="857250"/>
          <a:ext cx="1390008" cy="329213"/>
        </a:xfrm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201706</xdr:rowOff>
    </xdr:from>
    <xdr:to>
      <xdr:col>10</xdr:col>
      <xdr:colOff>440615</xdr:colOff>
      <xdr:row>6</xdr:row>
      <xdr:rowOff>69743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25824"/>
          <a:ext cx="3395766" cy="99983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446004</xdr:colOff>
      <xdr:row>414</xdr:row>
      <xdr:rowOff>115904</xdr:rowOff>
    </xdr:from>
    <xdr:ext cx="514350" cy="121239"/>
    <xdr:pic>
      <xdr:nvPicPr>
        <xdr:cNvPr id="24" name="Imagen 23">
          <a:extLst>
            <a:ext uri="{FF2B5EF4-FFF2-40B4-BE49-F238E27FC236}">
              <a16:creationId xmlns:a16="http://schemas.microsoft.com/office/drawing/2014/main" id="{7AA468BF-1989-4957-8905-D8E629206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1504" y="73964214"/>
          <a:ext cx="514350" cy="121239"/>
        </a:xfrm>
        <a:prstGeom prst="rect">
          <a:avLst/>
        </a:prstGeom>
      </xdr:spPr>
    </xdr:pic>
    <xdr:clientData/>
  </xdr:oneCellAnchor>
  <xdr:twoCellAnchor editAs="oneCell">
    <xdr:from>
      <xdr:col>2</xdr:col>
      <xdr:colOff>65049</xdr:colOff>
      <xdr:row>2</xdr:row>
      <xdr:rowOff>131155</xdr:rowOff>
    </xdr:from>
    <xdr:to>
      <xdr:col>5</xdr:col>
      <xdr:colOff>242411</xdr:colOff>
      <xdr:row>4</xdr:row>
      <xdr:rowOff>57378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A35BE947-1B67-41B3-94DF-9C05D59ED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0793" y="474984"/>
          <a:ext cx="939362" cy="251467"/>
        </a:xfrm>
        <a:prstGeom prst="rect">
          <a:avLst/>
        </a:prstGeom>
      </xdr:spPr>
    </xdr:pic>
    <xdr:clientData/>
  </xdr:twoCellAnchor>
  <xdr:twoCellAnchor editAs="oneCell">
    <xdr:from>
      <xdr:col>2</xdr:col>
      <xdr:colOff>88601</xdr:colOff>
      <xdr:row>20</xdr:row>
      <xdr:rowOff>137948</xdr:rowOff>
    </xdr:from>
    <xdr:to>
      <xdr:col>5</xdr:col>
      <xdr:colOff>265466</xdr:colOff>
      <xdr:row>22</xdr:row>
      <xdr:rowOff>65554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36DF65ED-7972-4247-984C-9906EF364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4345" y="3808558"/>
          <a:ext cx="938865" cy="252850"/>
        </a:xfrm>
        <a:prstGeom prst="rect">
          <a:avLst/>
        </a:prstGeom>
      </xdr:spPr>
    </xdr:pic>
    <xdr:clientData/>
  </xdr:twoCellAnchor>
  <xdr:twoCellAnchor editAs="oneCell">
    <xdr:from>
      <xdr:col>2</xdr:col>
      <xdr:colOff>84756</xdr:colOff>
      <xdr:row>32</xdr:row>
      <xdr:rowOff>144997</xdr:rowOff>
    </xdr:from>
    <xdr:to>
      <xdr:col>5</xdr:col>
      <xdr:colOff>261621</xdr:colOff>
      <xdr:row>34</xdr:row>
      <xdr:rowOff>72603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F0273C2D-FA66-4F0F-B5B6-FAFBDAF89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0500" y="6008680"/>
          <a:ext cx="938865" cy="252850"/>
        </a:xfrm>
        <a:prstGeom prst="rect">
          <a:avLst/>
        </a:prstGeom>
      </xdr:spPr>
    </xdr:pic>
    <xdr:clientData/>
  </xdr:twoCellAnchor>
  <xdr:twoCellAnchor editAs="oneCell">
    <xdr:from>
      <xdr:col>2</xdr:col>
      <xdr:colOff>51110</xdr:colOff>
      <xdr:row>51</xdr:row>
      <xdr:rowOff>0</xdr:rowOff>
    </xdr:from>
    <xdr:to>
      <xdr:col>5</xdr:col>
      <xdr:colOff>227975</xdr:colOff>
      <xdr:row>52</xdr:row>
      <xdr:rowOff>91830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68A2AE1F-EE4E-4886-9321-BBE51A4D3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6854" y="9371671"/>
          <a:ext cx="938865" cy="254452"/>
        </a:xfrm>
        <a:prstGeom prst="rect">
          <a:avLst/>
        </a:prstGeom>
      </xdr:spPr>
    </xdr:pic>
    <xdr:clientData/>
  </xdr:twoCellAnchor>
  <xdr:twoCellAnchor editAs="oneCell">
    <xdr:from>
      <xdr:col>2</xdr:col>
      <xdr:colOff>51110</xdr:colOff>
      <xdr:row>69</xdr:row>
      <xdr:rowOff>0</xdr:rowOff>
    </xdr:from>
    <xdr:to>
      <xdr:col>5</xdr:col>
      <xdr:colOff>227975</xdr:colOff>
      <xdr:row>70</xdr:row>
      <xdr:rowOff>91830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84184618-EC0A-4716-81EC-9393B2F44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6854" y="12717037"/>
          <a:ext cx="938865" cy="254452"/>
        </a:xfrm>
        <a:prstGeom prst="rect">
          <a:avLst/>
        </a:prstGeom>
      </xdr:spPr>
    </xdr:pic>
    <xdr:clientData/>
  </xdr:twoCellAnchor>
  <xdr:twoCellAnchor editAs="oneCell">
    <xdr:from>
      <xdr:col>2</xdr:col>
      <xdr:colOff>88281</xdr:colOff>
      <xdr:row>87</xdr:row>
      <xdr:rowOff>9293</xdr:rowOff>
    </xdr:from>
    <xdr:to>
      <xdr:col>5</xdr:col>
      <xdr:colOff>265146</xdr:colOff>
      <xdr:row>88</xdr:row>
      <xdr:rowOff>101123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2C7B8A04-9480-46BE-9D1F-4D258470E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4025" y="16071695"/>
          <a:ext cx="938865" cy="254452"/>
        </a:xfrm>
        <a:prstGeom prst="rect">
          <a:avLst/>
        </a:prstGeom>
      </xdr:spPr>
    </xdr:pic>
    <xdr:clientData/>
  </xdr:twoCellAnchor>
  <xdr:twoCellAnchor editAs="oneCell">
    <xdr:from>
      <xdr:col>2</xdr:col>
      <xdr:colOff>55757</xdr:colOff>
      <xdr:row>104</xdr:row>
      <xdr:rowOff>162622</xdr:rowOff>
    </xdr:from>
    <xdr:to>
      <xdr:col>5</xdr:col>
      <xdr:colOff>232622</xdr:colOff>
      <xdr:row>106</xdr:row>
      <xdr:rowOff>91830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1D7F9B79-ECBE-47B0-A1F6-41D9D366D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501" y="19407768"/>
          <a:ext cx="938865" cy="254452"/>
        </a:xfrm>
        <a:prstGeom prst="rect">
          <a:avLst/>
        </a:prstGeom>
      </xdr:spPr>
    </xdr:pic>
    <xdr:clientData/>
  </xdr:twoCellAnchor>
  <xdr:twoCellAnchor editAs="oneCell">
    <xdr:from>
      <xdr:col>2</xdr:col>
      <xdr:colOff>65049</xdr:colOff>
      <xdr:row>122</xdr:row>
      <xdr:rowOff>157975</xdr:rowOff>
    </xdr:from>
    <xdr:to>
      <xdr:col>5</xdr:col>
      <xdr:colOff>241914</xdr:colOff>
      <xdr:row>124</xdr:row>
      <xdr:rowOff>87183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3C9C0494-A81D-46C3-A79C-404F24EA5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0793" y="22748487"/>
          <a:ext cx="938865" cy="254452"/>
        </a:xfrm>
        <a:prstGeom prst="rect">
          <a:avLst/>
        </a:prstGeom>
      </xdr:spPr>
    </xdr:pic>
    <xdr:clientData/>
  </xdr:twoCellAnchor>
  <xdr:twoCellAnchor editAs="oneCell">
    <xdr:from>
      <xdr:col>2</xdr:col>
      <xdr:colOff>51109</xdr:colOff>
      <xdr:row>141</xdr:row>
      <xdr:rowOff>0</xdr:rowOff>
    </xdr:from>
    <xdr:to>
      <xdr:col>5</xdr:col>
      <xdr:colOff>227974</xdr:colOff>
      <xdr:row>142</xdr:row>
      <xdr:rowOff>91830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645AD90B-B1DF-4C10-91B9-DBACE0273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6853" y="26270415"/>
          <a:ext cx="938865" cy="254452"/>
        </a:xfrm>
        <a:prstGeom prst="rect">
          <a:avLst/>
        </a:prstGeom>
      </xdr:spPr>
    </xdr:pic>
    <xdr:clientData/>
  </xdr:twoCellAnchor>
  <xdr:twoCellAnchor editAs="oneCell">
    <xdr:from>
      <xdr:col>2</xdr:col>
      <xdr:colOff>65049</xdr:colOff>
      <xdr:row>159</xdr:row>
      <xdr:rowOff>9293</xdr:rowOff>
    </xdr:from>
    <xdr:to>
      <xdr:col>5</xdr:col>
      <xdr:colOff>241914</xdr:colOff>
      <xdr:row>160</xdr:row>
      <xdr:rowOff>101123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E3D9A398-CD80-4355-89AE-9E0C246DE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0793" y="29625073"/>
          <a:ext cx="938865" cy="254452"/>
        </a:xfrm>
        <a:prstGeom prst="rect">
          <a:avLst/>
        </a:prstGeom>
      </xdr:spPr>
    </xdr:pic>
    <xdr:clientData/>
  </xdr:twoCellAnchor>
  <xdr:twoCellAnchor editAs="oneCell">
    <xdr:from>
      <xdr:col>2</xdr:col>
      <xdr:colOff>69695</xdr:colOff>
      <xdr:row>176</xdr:row>
      <xdr:rowOff>162622</xdr:rowOff>
    </xdr:from>
    <xdr:to>
      <xdr:col>5</xdr:col>
      <xdr:colOff>246560</xdr:colOff>
      <xdr:row>178</xdr:row>
      <xdr:rowOff>91830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0F41B803-FD81-49C0-9F70-31C861729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5439" y="32961146"/>
          <a:ext cx="938865" cy="254452"/>
        </a:xfrm>
        <a:prstGeom prst="rect">
          <a:avLst/>
        </a:prstGeom>
      </xdr:spPr>
    </xdr:pic>
    <xdr:clientData/>
  </xdr:twoCellAnchor>
  <xdr:twoCellAnchor editAs="oneCell">
    <xdr:from>
      <xdr:col>2</xdr:col>
      <xdr:colOff>78987</xdr:colOff>
      <xdr:row>195</xdr:row>
      <xdr:rowOff>1602</xdr:rowOff>
    </xdr:from>
    <xdr:to>
      <xdr:col>5</xdr:col>
      <xdr:colOff>255852</xdr:colOff>
      <xdr:row>196</xdr:row>
      <xdr:rowOff>91829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DB43D6B9-FD7E-4F88-A99A-967E31A59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4731" y="36308114"/>
          <a:ext cx="938865" cy="252849"/>
        </a:xfrm>
        <a:prstGeom prst="rect">
          <a:avLst/>
        </a:prstGeom>
      </xdr:spPr>
    </xdr:pic>
    <xdr:clientData/>
  </xdr:twoCellAnchor>
  <xdr:twoCellAnchor editAs="oneCell">
    <xdr:from>
      <xdr:col>2</xdr:col>
      <xdr:colOff>97573</xdr:colOff>
      <xdr:row>214</xdr:row>
      <xdr:rowOff>9292</xdr:rowOff>
    </xdr:from>
    <xdr:to>
      <xdr:col>5</xdr:col>
      <xdr:colOff>274438</xdr:colOff>
      <xdr:row>215</xdr:row>
      <xdr:rowOff>101122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5BF6E88D-6EE3-4060-83FF-D91CBD375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3317" y="39823792"/>
          <a:ext cx="938865" cy="254452"/>
        </a:xfrm>
        <a:prstGeom prst="rect">
          <a:avLst/>
        </a:prstGeom>
      </xdr:spPr>
    </xdr:pic>
    <xdr:clientData/>
  </xdr:twoCellAnchor>
  <xdr:twoCellAnchor editAs="oneCell">
    <xdr:from>
      <xdr:col>2</xdr:col>
      <xdr:colOff>78988</xdr:colOff>
      <xdr:row>236</xdr:row>
      <xdr:rowOff>10895</xdr:rowOff>
    </xdr:from>
    <xdr:to>
      <xdr:col>5</xdr:col>
      <xdr:colOff>255853</xdr:colOff>
      <xdr:row>237</xdr:row>
      <xdr:rowOff>101122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C5A81826-E62E-4F92-84AC-E51F6F7DF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4732" y="43170761"/>
          <a:ext cx="938865" cy="252849"/>
        </a:xfrm>
        <a:prstGeom prst="rect">
          <a:avLst/>
        </a:prstGeom>
      </xdr:spPr>
    </xdr:pic>
    <xdr:clientData/>
  </xdr:twoCellAnchor>
  <xdr:twoCellAnchor editAs="oneCell">
    <xdr:from>
      <xdr:col>2</xdr:col>
      <xdr:colOff>167269</xdr:colOff>
      <xdr:row>270</xdr:row>
      <xdr:rowOff>13939</xdr:rowOff>
    </xdr:from>
    <xdr:to>
      <xdr:col>5</xdr:col>
      <xdr:colOff>344134</xdr:colOff>
      <xdr:row>271</xdr:row>
      <xdr:rowOff>105769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35B5977F-03D5-496B-8B44-F362DC102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3013" y="46681793"/>
          <a:ext cx="938865" cy="254452"/>
        </a:xfrm>
        <a:prstGeom prst="rect">
          <a:avLst/>
        </a:prstGeom>
      </xdr:spPr>
    </xdr:pic>
    <xdr:clientData/>
  </xdr:twoCellAnchor>
  <xdr:twoCellAnchor editAs="oneCell">
    <xdr:from>
      <xdr:col>2</xdr:col>
      <xdr:colOff>204439</xdr:colOff>
      <xdr:row>288</xdr:row>
      <xdr:rowOff>23232</xdr:rowOff>
    </xdr:from>
    <xdr:to>
      <xdr:col>5</xdr:col>
      <xdr:colOff>381304</xdr:colOff>
      <xdr:row>289</xdr:row>
      <xdr:rowOff>115062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16A8DBBB-7784-451D-A1ED-D9736EA98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0183" y="50036452"/>
          <a:ext cx="938865" cy="254451"/>
        </a:xfrm>
        <a:prstGeom prst="rect">
          <a:avLst/>
        </a:prstGeom>
      </xdr:spPr>
    </xdr:pic>
    <xdr:clientData/>
  </xdr:twoCellAnchor>
  <xdr:twoCellAnchor editAs="oneCell">
    <xdr:from>
      <xdr:col>2</xdr:col>
      <xdr:colOff>193544</xdr:colOff>
      <xdr:row>306</xdr:row>
      <xdr:rowOff>159178</xdr:rowOff>
    </xdr:from>
    <xdr:to>
      <xdr:col>5</xdr:col>
      <xdr:colOff>213251</xdr:colOff>
      <xdr:row>307</xdr:row>
      <xdr:rowOff>208147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C3D380D7-AFD5-4C62-9893-E7C2EBA02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9288" y="53517763"/>
          <a:ext cx="781707" cy="211591"/>
        </a:xfrm>
        <a:prstGeom prst="rect">
          <a:avLst/>
        </a:prstGeom>
      </xdr:spPr>
    </xdr:pic>
    <xdr:clientData/>
  </xdr:twoCellAnchor>
  <xdr:twoCellAnchor editAs="oneCell">
    <xdr:from>
      <xdr:col>2</xdr:col>
      <xdr:colOff>130098</xdr:colOff>
      <xdr:row>325</xdr:row>
      <xdr:rowOff>23231</xdr:rowOff>
    </xdr:from>
    <xdr:to>
      <xdr:col>5</xdr:col>
      <xdr:colOff>306963</xdr:colOff>
      <xdr:row>325</xdr:row>
      <xdr:rowOff>279285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F5BA6C7A-CC09-4939-8893-7D986D22C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5842" y="57038487"/>
          <a:ext cx="938865" cy="256054"/>
        </a:xfrm>
        <a:prstGeom prst="rect">
          <a:avLst/>
        </a:prstGeom>
      </xdr:spPr>
    </xdr:pic>
    <xdr:clientData/>
  </xdr:twoCellAnchor>
  <xdr:twoCellAnchor editAs="oneCell">
    <xdr:from>
      <xdr:col>2</xdr:col>
      <xdr:colOff>77387</xdr:colOff>
      <xdr:row>378</xdr:row>
      <xdr:rowOff>138247</xdr:rowOff>
    </xdr:from>
    <xdr:to>
      <xdr:col>2</xdr:col>
      <xdr:colOff>659781</xdr:colOff>
      <xdr:row>379</xdr:row>
      <xdr:rowOff>131083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F20065C2-3FD5-494F-B275-75C1FFEE1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3131" y="67319698"/>
          <a:ext cx="582394" cy="155458"/>
        </a:xfrm>
        <a:prstGeom prst="rect">
          <a:avLst/>
        </a:prstGeom>
      </xdr:spPr>
    </xdr:pic>
    <xdr:clientData/>
  </xdr:twoCellAnchor>
  <xdr:twoCellAnchor editAs="oneCell">
    <xdr:from>
      <xdr:col>2</xdr:col>
      <xdr:colOff>118402</xdr:colOff>
      <xdr:row>396</xdr:row>
      <xdr:rowOff>139384</xdr:rowOff>
    </xdr:from>
    <xdr:to>
      <xdr:col>2</xdr:col>
      <xdr:colOff>752707</xdr:colOff>
      <xdr:row>397</xdr:row>
      <xdr:rowOff>145823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DB729CF-6DB0-49F9-BF0A-8C399AEB6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4146" y="70666201"/>
          <a:ext cx="634305" cy="169061"/>
        </a:xfrm>
        <a:prstGeom prst="rect">
          <a:avLst/>
        </a:prstGeom>
      </xdr:spPr>
    </xdr:pic>
    <xdr:clientData/>
  </xdr:twoCellAnchor>
  <xdr:twoCellAnchor editAs="oneCell">
    <xdr:from>
      <xdr:col>2</xdr:col>
      <xdr:colOff>188899</xdr:colOff>
      <xdr:row>415</xdr:row>
      <xdr:rowOff>23955</xdr:rowOff>
    </xdr:from>
    <xdr:to>
      <xdr:col>5</xdr:col>
      <xdr:colOff>305451</xdr:colOff>
      <xdr:row>415</xdr:row>
      <xdr:rowOff>263560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CB97C9D5-2CE8-4462-9BC8-BBAA72078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4643" y="74123809"/>
          <a:ext cx="878552" cy="239605"/>
        </a:xfrm>
        <a:prstGeom prst="rect">
          <a:avLst/>
        </a:prstGeom>
      </xdr:spPr>
    </xdr:pic>
    <xdr:clientData/>
  </xdr:twoCellAnchor>
  <xdr:oneCellAnchor>
    <xdr:from>
      <xdr:col>2</xdr:col>
      <xdr:colOff>139391</xdr:colOff>
      <xdr:row>433</xdr:row>
      <xdr:rowOff>26679</xdr:rowOff>
    </xdr:from>
    <xdr:ext cx="918660" cy="265880"/>
    <xdr:pic>
      <xdr:nvPicPr>
        <xdr:cNvPr id="48" name="Imagen 47">
          <a:extLst>
            <a:ext uri="{FF2B5EF4-FFF2-40B4-BE49-F238E27FC236}">
              <a16:creationId xmlns:a16="http://schemas.microsoft.com/office/drawing/2014/main" id="{CD866DED-8FF1-45BF-9584-43C8CE44D7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768"/>
        <a:stretch/>
      </xdr:blipFill>
      <xdr:spPr>
        <a:xfrm>
          <a:off x="655135" y="77615935"/>
          <a:ext cx="918660" cy="265880"/>
        </a:xfrm>
        <a:prstGeom prst="rect">
          <a:avLst/>
        </a:prstGeom>
      </xdr:spPr>
    </xdr:pic>
    <xdr:clientData/>
  </xdr:oneCellAnchor>
  <xdr:twoCellAnchor editAs="oneCell">
    <xdr:from>
      <xdr:col>2</xdr:col>
      <xdr:colOff>74341</xdr:colOff>
      <xdr:row>360</xdr:row>
      <xdr:rowOff>139391</xdr:rowOff>
    </xdr:from>
    <xdr:to>
      <xdr:col>2</xdr:col>
      <xdr:colOff>659608</xdr:colOff>
      <xdr:row>361</xdr:row>
      <xdr:rowOff>135279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F902AAF-7003-42ED-94ED-64F134020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90085" y="63975476"/>
          <a:ext cx="585267" cy="158510"/>
        </a:xfrm>
        <a:prstGeom prst="rect">
          <a:avLst/>
        </a:prstGeom>
      </xdr:spPr>
    </xdr:pic>
    <xdr:clientData/>
  </xdr:twoCellAnchor>
  <xdr:twoCellAnchor editAs="oneCell">
    <xdr:from>
      <xdr:col>2</xdr:col>
      <xdr:colOff>51109</xdr:colOff>
      <xdr:row>343</xdr:row>
      <xdr:rowOff>37171</xdr:rowOff>
    </xdr:from>
    <xdr:to>
      <xdr:col>2</xdr:col>
      <xdr:colOff>636376</xdr:colOff>
      <xdr:row>343</xdr:row>
      <xdr:rowOff>195681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BD26F2-FE69-4A8D-97CE-A1563D8D9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66853" y="60606878"/>
          <a:ext cx="585267" cy="15851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4</xdr:row>
      <xdr:rowOff>96221</xdr:rowOff>
    </xdr:from>
    <xdr:to>
      <xdr:col>1</xdr:col>
      <xdr:colOff>307237</xdr:colOff>
      <xdr:row>9</xdr:row>
      <xdr:rowOff>55563</xdr:rowOff>
    </xdr:to>
    <xdr:pic>
      <xdr:nvPicPr>
        <xdr:cNvPr id="2" name="Imagen 1" descr="logodgh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50" y="743921"/>
          <a:ext cx="973987" cy="768967"/>
        </a:xfrm>
        <a:prstGeom prst="rect">
          <a:avLst/>
        </a:prstGeom>
        <a:noFill/>
      </xdr:spPr>
    </xdr:pic>
    <xdr:clientData/>
  </xdr:twoCellAnchor>
  <xdr:twoCellAnchor>
    <xdr:from>
      <xdr:col>5</xdr:col>
      <xdr:colOff>376498</xdr:colOff>
      <xdr:row>5</xdr:row>
      <xdr:rowOff>146540</xdr:rowOff>
    </xdr:from>
    <xdr:to>
      <xdr:col>6</xdr:col>
      <xdr:colOff>662202</xdr:colOff>
      <xdr:row>9</xdr:row>
      <xdr:rowOff>95864</xdr:rowOff>
    </xdr:to>
    <xdr:pic>
      <xdr:nvPicPr>
        <xdr:cNvPr id="3" name="Imagen 1" descr="LOGO MEM para plantilla de remitent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8F8F6"/>
            </a:clrFrom>
            <a:clrTo>
              <a:srgbClr val="F8F8F6">
                <a:alpha val="0"/>
              </a:srgbClr>
            </a:clrTo>
          </a:clrChange>
        </a:blip>
        <a:srcRect b="23667"/>
        <a:stretch>
          <a:fillRect/>
        </a:stretch>
      </xdr:blipFill>
      <xdr:spPr bwMode="auto">
        <a:xfrm>
          <a:off x="5541979" y="1201617"/>
          <a:ext cx="1047704" cy="5208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392207</xdr:colOff>
      <xdr:row>0</xdr:row>
      <xdr:rowOff>140180</xdr:rowOff>
    </xdr:from>
    <xdr:to>
      <xdr:col>20</xdr:col>
      <xdr:colOff>750795</xdr:colOff>
      <xdr:row>6</xdr:row>
      <xdr:rowOff>99062</xdr:rowOff>
    </xdr:to>
    <xdr:pic>
      <xdr:nvPicPr>
        <xdr:cNvPr id="2" name="Picture 2" descr="logoB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080442" y="140180"/>
          <a:ext cx="1165412" cy="1079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172184</xdr:colOff>
      <xdr:row>6</xdr:row>
      <xdr:rowOff>0</xdr:rowOff>
    </xdr:from>
    <xdr:to>
      <xdr:col>14</xdr:col>
      <xdr:colOff>157529</xdr:colOff>
      <xdr:row>8</xdr:row>
      <xdr:rowOff>10258</xdr:rowOff>
    </xdr:to>
    <xdr:pic>
      <xdr:nvPicPr>
        <xdr:cNvPr id="3" name="2 Imagen" descr="LOGO MEM para plantilla de remitent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49484" y="847724"/>
          <a:ext cx="747345" cy="6198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161925</xdr:colOff>
      <xdr:row>13</xdr:row>
      <xdr:rowOff>76200</xdr:rowOff>
    </xdr:from>
    <xdr:to>
      <xdr:col>20</xdr:col>
      <xdr:colOff>424538</xdr:colOff>
      <xdr:row>17</xdr:row>
      <xdr:rowOff>22034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DEB366D-8746-43E1-B9B0-E745AF836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39225" y="2238375"/>
          <a:ext cx="5596613" cy="61258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</xdr:row>
      <xdr:rowOff>66675</xdr:rowOff>
    </xdr:from>
    <xdr:to>
      <xdr:col>7</xdr:col>
      <xdr:colOff>733425</xdr:colOff>
      <xdr:row>5</xdr:row>
      <xdr:rowOff>190553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DDEBDF3-3B38-4EC1-BC4B-8455A65CF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50" y="457200"/>
          <a:ext cx="5229225" cy="60965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391787</xdr:colOff>
      <xdr:row>2</xdr:row>
      <xdr:rowOff>135978</xdr:rowOff>
    </xdr:from>
    <xdr:to>
      <xdr:col>6</xdr:col>
      <xdr:colOff>630349</xdr:colOff>
      <xdr:row>6</xdr:row>
      <xdr:rowOff>91965</xdr:rowOff>
    </xdr:to>
    <xdr:pic>
      <xdr:nvPicPr>
        <xdr:cNvPr id="2" name="Imagen 1" descr="logodgh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92287" y="564603"/>
          <a:ext cx="1000562" cy="717987"/>
        </a:xfrm>
        <a:prstGeom prst="rect">
          <a:avLst/>
        </a:prstGeom>
        <a:noFill/>
      </xdr:spPr>
    </xdr:pic>
    <xdr:clientData/>
  </xdr:twoCellAnchor>
  <xdr:twoCellAnchor>
    <xdr:from>
      <xdr:col>0</xdr:col>
      <xdr:colOff>105104</xdr:colOff>
      <xdr:row>3</xdr:row>
      <xdr:rowOff>39319</xdr:rowOff>
    </xdr:from>
    <xdr:to>
      <xdr:col>1</xdr:col>
      <xdr:colOff>394139</xdr:colOff>
      <xdr:row>6</xdr:row>
      <xdr:rowOff>86975</xdr:rowOff>
    </xdr:to>
    <xdr:pic>
      <xdr:nvPicPr>
        <xdr:cNvPr id="3" name="Imagen 1" descr="LOGO MEM para plantilla de remitent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b="23667"/>
        <a:stretch>
          <a:fillRect/>
        </a:stretch>
      </xdr:blipFill>
      <xdr:spPr bwMode="auto">
        <a:xfrm>
          <a:off x="105104" y="658444"/>
          <a:ext cx="1184385" cy="6191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431200</xdr:colOff>
      <xdr:row>45</xdr:row>
      <xdr:rowOff>151086</xdr:rowOff>
    </xdr:from>
    <xdr:to>
      <xdr:col>6</xdr:col>
      <xdr:colOff>669762</xdr:colOff>
      <xdr:row>49</xdr:row>
      <xdr:rowOff>107073</xdr:rowOff>
    </xdr:to>
    <xdr:pic>
      <xdr:nvPicPr>
        <xdr:cNvPr id="4" name="Imagen 1" descr="logodgh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31700" y="8399736"/>
          <a:ext cx="1000562" cy="717987"/>
        </a:xfrm>
        <a:prstGeom prst="rect">
          <a:avLst/>
        </a:prstGeom>
        <a:noFill/>
      </xdr:spPr>
    </xdr:pic>
    <xdr:clientData/>
  </xdr:twoCellAnchor>
  <xdr:twoCellAnchor>
    <xdr:from>
      <xdr:col>0</xdr:col>
      <xdr:colOff>118241</xdr:colOff>
      <xdr:row>46</xdr:row>
      <xdr:rowOff>1875</xdr:rowOff>
    </xdr:from>
    <xdr:to>
      <xdr:col>1</xdr:col>
      <xdr:colOff>407276</xdr:colOff>
      <xdr:row>49</xdr:row>
      <xdr:rowOff>49531</xdr:rowOff>
    </xdr:to>
    <xdr:pic>
      <xdr:nvPicPr>
        <xdr:cNvPr id="5" name="Imagen 1" descr="LOGO MEM para plantilla de remitente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b="23667"/>
        <a:stretch>
          <a:fillRect/>
        </a:stretch>
      </xdr:blipFill>
      <xdr:spPr bwMode="auto">
        <a:xfrm>
          <a:off x="118241" y="8441025"/>
          <a:ext cx="1184385" cy="6191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579119</xdr:colOff>
      <xdr:row>0</xdr:row>
      <xdr:rowOff>92564</xdr:rowOff>
    </xdr:from>
    <xdr:to>
      <xdr:col>6</xdr:col>
      <xdr:colOff>761154</xdr:colOff>
      <xdr:row>2</xdr:row>
      <xdr:rowOff>342900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05399" y="92564"/>
          <a:ext cx="1751755" cy="585616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145676</xdr:colOff>
      <xdr:row>24</xdr:row>
      <xdr:rowOff>145839</xdr:rowOff>
    </xdr:from>
    <xdr:to>
      <xdr:col>25</xdr:col>
      <xdr:colOff>190500</xdr:colOff>
      <xdr:row>27</xdr:row>
      <xdr:rowOff>99819</xdr:rowOff>
    </xdr:to>
    <xdr:pic>
      <xdr:nvPicPr>
        <xdr:cNvPr id="2" name="Picture 3" descr="Imágenes integradas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62882" y="4829898"/>
          <a:ext cx="1568824" cy="525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23</xdr:col>
      <xdr:colOff>291351</xdr:colOff>
      <xdr:row>1</xdr:row>
      <xdr:rowOff>257733</xdr:rowOff>
    </xdr:from>
    <xdr:to>
      <xdr:col>30</xdr:col>
      <xdr:colOff>705970</xdr:colOff>
      <xdr:row>22</xdr:row>
      <xdr:rowOff>179294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0.01237</cdr:x>
      <cdr:y>0.0088</cdr:y>
    </cdr:from>
    <cdr:to>
      <cdr:x>0.18473</cdr:x>
      <cdr:y>0.09091</cdr:y>
    </cdr:to>
    <cdr:pic>
      <cdr:nvPicPr>
        <cdr:cNvPr id="2" name="Picture 3" descr="Imágenes integradas 1">
          <a:extLst xmlns:a="http://schemas.openxmlformats.org/drawingml/2006/main">
            <a:ext uri="{FF2B5EF4-FFF2-40B4-BE49-F238E27FC236}">
              <a16:creationId xmlns:a16="http://schemas.microsoft.com/office/drawing/2014/main" id="{B5D3A2A9-DD75-477A-AF63-81ED3D407A16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7234" y="33621"/>
          <a:ext cx="936743" cy="31376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pic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353</xdr:row>
      <xdr:rowOff>0</xdr:rowOff>
    </xdr:from>
    <xdr:to>
      <xdr:col>1</xdr:col>
      <xdr:colOff>0</xdr:colOff>
      <xdr:row>368</xdr:row>
      <xdr:rowOff>28575</xdr:rowOff>
    </xdr:to>
    <xdr:graphicFrame macro="">
      <xdr:nvGraphicFramePr>
        <xdr:cNvPr id="13409" name="Chart 1">
          <a:extLst>
            <a:ext uri="{FF2B5EF4-FFF2-40B4-BE49-F238E27FC236}">
              <a16:creationId xmlns:a16="http://schemas.microsoft.com/office/drawing/2014/main" id="{00000000-0008-0000-1B00-000061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369</xdr:row>
      <xdr:rowOff>9525</xdr:rowOff>
    </xdr:from>
    <xdr:to>
      <xdr:col>1</xdr:col>
      <xdr:colOff>0</xdr:colOff>
      <xdr:row>384</xdr:row>
      <xdr:rowOff>57150</xdr:rowOff>
    </xdr:to>
    <xdr:graphicFrame macro="">
      <xdr:nvGraphicFramePr>
        <xdr:cNvPr id="13410" name="Chart 2">
          <a:extLst>
            <a:ext uri="{FF2B5EF4-FFF2-40B4-BE49-F238E27FC236}">
              <a16:creationId xmlns:a16="http://schemas.microsoft.com/office/drawing/2014/main" id="{00000000-0008-0000-1B00-000062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385</xdr:row>
      <xdr:rowOff>9525</xdr:rowOff>
    </xdr:from>
    <xdr:to>
      <xdr:col>1</xdr:col>
      <xdr:colOff>0</xdr:colOff>
      <xdr:row>400</xdr:row>
      <xdr:rowOff>57150</xdr:rowOff>
    </xdr:to>
    <xdr:graphicFrame macro="">
      <xdr:nvGraphicFramePr>
        <xdr:cNvPr id="13411" name="Chart 3">
          <a:extLst>
            <a:ext uri="{FF2B5EF4-FFF2-40B4-BE49-F238E27FC236}">
              <a16:creationId xmlns:a16="http://schemas.microsoft.com/office/drawing/2014/main" id="{00000000-0008-0000-1B00-000063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401</xdr:row>
      <xdr:rowOff>9525</xdr:rowOff>
    </xdr:from>
    <xdr:to>
      <xdr:col>1</xdr:col>
      <xdr:colOff>0</xdr:colOff>
      <xdr:row>416</xdr:row>
      <xdr:rowOff>57150</xdr:rowOff>
    </xdr:to>
    <xdr:graphicFrame macro="">
      <xdr:nvGraphicFramePr>
        <xdr:cNvPr id="13412" name="Chart 4">
          <a:extLst>
            <a:ext uri="{FF2B5EF4-FFF2-40B4-BE49-F238E27FC236}">
              <a16:creationId xmlns:a16="http://schemas.microsoft.com/office/drawing/2014/main" id="{00000000-0008-0000-1B00-000064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417</xdr:row>
      <xdr:rowOff>9525</xdr:rowOff>
    </xdr:from>
    <xdr:to>
      <xdr:col>1</xdr:col>
      <xdr:colOff>0</xdr:colOff>
      <xdr:row>432</xdr:row>
      <xdr:rowOff>57150</xdr:rowOff>
    </xdr:to>
    <xdr:graphicFrame macro="">
      <xdr:nvGraphicFramePr>
        <xdr:cNvPr id="13413" name="Chart 5">
          <a:extLst>
            <a:ext uri="{FF2B5EF4-FFF2-40B4-BE49-F238E27FC236}">
              <a16:creationId xmlns:a16="http://schemas.microsoft.com/office/drawing/2014/main" id="{00000000-0008-0000-1B00-000065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433</xdr:row>
      <xdr:rowOff>9525</xdr:rowOff>
    </xdr:from>
    <xdr:to>
      <xdr:col>1</xdr:col>
      <xdr:colOff>0</xdr:colOff>
      <xdr:row>450</xdr:row>
      <xdr:rowOff>57150</xdr:rowOff>
    </xdr:to>
    <xdr:graphicFrame macro="">
      <xdr:nvGraphicFramePr>
        <xdr:cNvPr id="13414" name="Chart 6">
          <a:extLst>
            <a:ext uri="{FF2B5EF4-FFF2-40B4-BE49-F238E27FC236}">
              <a16:creationId xmlns:a16="http://schemas.microsoft.com/office/drawing/2014/main" id="{00000000-0008-0000-1B00-000066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619125</xdr:colOff>
      <xdr:row>4</xdr:row>
      <xdr:rowOff>95250</xdr:rowOff>
    </xdr:from>
    <xdr:to>
      <xdr:col>1</xdr:col>
      <xdr:colOff>714375</xdr:colOff>
      <xdr:row>10</xdr:row>
      <xdr:rowOff>57150</xdr:rowOff>
    </xdr:to>
    <xdr:pic>
      <xdr:nvPicPr>
        <xdr:cNvPr id="11281" name="Picture 1" descr="logoBN">
          <a:extLst>
            <a:ext uri="{FF2B5EF4-FFF2-40B4-BE49-F238E27FC236}">
              <a16:creationId xmlns:a16="http://schemas.microsoft.com/office/drawing/2014/main" id="{00000000-0008-0000-1C00-00001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762000"/>
          <a:ext cx="9429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145676</xdr:colOff>
      <xdr:row>24</xdr:row>
      <xdr:rowOff>145839</xdr:rowOff>
    </xdr:from>
    <xdr:to>
      <xdr:col>25</xdr:col>
      <xdr:colOff>190500</xdr:colOff>
      <xdr:row>27</xdr:row>
      <xdr:rowOff>99819</xdr:rowOff>
    </xdr:to>
    <xdr:pic>
      <xdr:nvPicPr>
        <xdr:cNvPr id="2" name="Picture 3" descr="Imágenes integradas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42151" y="4822614"/>
          <a:ext cx="1568824" cy="525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23</xdr:col>
      <xdr:colOff>291351</xdr:colOff>
      <xdr:row>1</xdr:row>
      <xdr:rowOff>257733</xdr:rowOff>
    </xdr:from>
    <xdr:to>
      <xdr:col>30</xdr:col>
      <xdr:colOff>705970</xdr:colOff>
      <xdr:row>22</xdr:row>
      <xdr:rowOff>179294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0.01237</cdr:x>
      <cdr:y>0.0088</cdr:y>
    </cdr:from>
    <cdr:to>
      <cdr:x>0.18473</cdr:x>
      <cdr:y>0.09091</cdr:y>
    </cdr:to>
    <cdr:pic>
      <cdr:nvPicPr>
        <cdr:cNvPr id="2" name="Picture 3" descr="Imágenes integradas 1">
          <a:extLst xmlns:a="http://schemas.openxmlformats.org/drawingml/2006/main">
            <a:ext uri="{FF2B5EF4-FFF2-40B4-BE49-F238E27FC236}">
              <a16:creationId xmlns:a16="http://schemas.microsoft.com/office/drawing/2014/main" id="{DD2B7B6E-977A-4D1E-A5F7-8AE5B8DAC419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7234" y="33621"/>
          <a:ext cx="936743" cy="31376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pic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4</xdr:row>
      <xdr:rowOff>96221</xdr:rowOff>
    </xdr:from>
    <xdr:to>
      <xdr:col>1</xdr:col>
      <xdr:colOff>307237</xdr:colOff>
      <xdr:row>9</xdr:row>
      <xdr:rowOff>55563</xdr:rowOff>
    </xdr:to>
    <xdr:pic>
      <xdr:nvPicPr>
        <xdr:cNvPr id="2" name="Imagen 1" descr="logodgh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50" y="867746"/>
          <a:ext cx="1059712" cy="816592"/>
        </a:xfrm>
        <a:prstGeom prst="rect">
          <a:avLst/>
        </a:prstGeom>
        <a:noFill/>
      </xdr:spPr>
    </xdr:pic>
    <xdr:clientData/>
  </xdr:twoCellAnchor>
  <xdr:twoCellAnchor>
    <xdr:from>
      <xdr:col>5</xdr:col>
      <xdr:colOff>706437</xdr:colOff>
      <xdr:row>0</xdr:row>
      <xdr:rowOff>46912</xdr:rowOff>
    </xdr:from>
    <xdr:to>
      <xdr:col>6</xdr:col>
      <xdr:colOff>706162</xdr:colOff>
      <xdr:row>2</xdr:row>
      <xdr:rowOff>103188</xdr:rowOff>
    </xdr:to>
    <xdr:pic>
      <xdr:nvPicPr>
        <xdr:cNvPr id="3" name="Imagen 1" descr="LOGO MEM para plantilla de remitente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8F8F6"/>
            </a:clrFrom>
            <a:clrTo>
              <a:srgbClr val="F8F8F6">
                <a:alpha val="0"/>
              </a:srgbClr>
            </a:clrTo>
          </a:clrChange>
        </a:blip>
        <a:srcRect b="23667"/>
        <a:stretch>
          <a:fillRect/>
        </a:stretch>
      </xdr:blipFill>
      <xdr:spPr bwMode="auto">
        <a:xfrm>
          <a:off x="5868987" y="46912"/>
          <a:ext cx="761725" cy="380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134816</xdr:colOff>
      <xdr:row>1</xdr:row>
      <xdr:rowOff>37368</xdr:rowOff>
    </xdr:from>
    <xdr:to>
      <xdr:col>6</xdr:col>
      <xdr:colOff>140254</xdr:colOff>
      <xdr:row>5</xdr:row>
      <xdr:rowOff>2252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1BED31A-301C-4CE8-98C1-C6DDC1F17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816" y="265968"/>
          <a:ext cx="5596613" cy="61258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234462</xdr:colOff>
      <xdr:row>2</xdr:row>
      <xdr:rowOff>158765</xdr:rowOff>
    </xdr:from>
    <xdr:to>
      <xdr:col>6</xdr:col>
      <xdr:colOff>666750</xdr:colOff>
      <xdr:row>4</xdr:row>
      <xdr:rowOff>131386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ABBBE9D-D1CD-456B-928E-4858DE948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0" y="547092"/>
          <a:ext cx="1245577" cy="295006"/>
        </a:xfrm>
        <a:prstGeom prst="rect">
          <a:avLst/>
        </a:prstGeom>
      </xdr:spPr>
    </xdr:pic>
    <xdr:clientData/>
  </xdr:twoCellAnchor>
  <xdr:twoCellAnchor editAs="oneCell">
    <xdr:from>
      <xdr:col>0</xdr:col>
      <xdr:colOff>219808</xdr:colOff>
      <xdr:row>1</xdr:row>
      <xdr:rowOff>7327</xdr:rowOff>
    </xdr:from>
    <xdr:to>
      <xdr:col>0</xdr:col>
      <xdr:colOff>841654</xdr:colOff>
      <xdr:row>3</xdr:row>
      <xdr:rowOff>154376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5D79EC9-89B3-474A-BB61-16DE60724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9808" y="234462"/>
          <a:ext cx="621846" cy="469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117871</xdr:colOff>
      <xdr:row>0</xdr:row>
      <xdr:rowOff>119063</xdr:rowOff>
    </xdr:from>
    <xdr:to>
      <xdr:col>8</xdr:col>
      <xdr:colOff>565546</xdr:colOff>
      <xdr:row>3</xdr:row>
      <xdr:rowOff>80963</xdr:rowOff>
    </xdr:to>
    <xdr:pic>
      <xdr:nvPicPr>
        <xdr:cNvPr id="16401" name="Picture 1">
          <a:extLst>
            <a:ext uri="{FF2B5EF4-FFF2-40B4-BE49-F238E27FC236}">
              <a16:creationId xmlns:a16="http://schemas.microsoft.com/office/drawing/2014/main" id="{00000000-0008-0000-0600-000011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5340" y="119063"/>
          <a:ext cx="447675" cy="44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53578</xdr:colOff>
      <xdr:row>0</xdr:row>
      <xdr:rowOff>136923</xdr:rowOff>
    </xdr:from>
    <xdr:to>
      <xdr:col>0</xdr:col>
      <xdr:colOff>678656</xdr:colOff>
      <xdr:row>3</xdr:row>
      <xdr:rowOff>58043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1C3E4FF-4BB6-46E0-9AA1-948527D69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578" y="136923"/>
          <a:ext cx="625078" cy="468808"/>
        </a:xfrm>
        <a:prstGeom prst="rect">
          <a:avLst/>
        </a:prstGeom>
      </xdr:spPr>
    </xdr:pic>
    <xdr:clientData/>
  </xdr:twoCellAnchor>
  <xdr:twoCellAnchor editAs="oneCell">
    <xdr:from>
      <xdr:col>5</xdr:col>
      <xdr:colOff>53578</xdr:colOff>
      <xdr:row>2</xdr:row>
      <xdr:rowOff>148828</xdr:rowOff>
    </xdr:from>
    <xdr:to>
      <xdr:col>6</xdr:col>
      <xdr:colOff>681586</xdr:colOff>
      <xdr:row>4</xdr:row>
      <xdr:rowOff>156572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C4F9869-417F-4C14-A3A3-4B49A5398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85047" y="535781"/>
          <a:ext cx="1390008" cy="3292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521390</xdr:colOff>
      <xdr:row>6</xdr:row>
      <xdr:rowOff>9940</xdr:rowOff>
    </xdr:from>
    <xdr:to>
      <xdr:col>10</xdr:col>
      <xdr:colOff>182218</xdr:colOff>
      <xdr:row>8</xdr:row>
      <xdr:rowOff>129210</xdr:rowOff>
    </xdr:to>
    <xdr:pic>
      <xdr:nvPicPr>
        <xdr:cNvPr id="17425" name="Picture 1">
          <a:extLst>
            <a:ext uri="{FF2B5EF4-FFF2-40B4-BE49-F238E27FC236}">
              <a16:creationId xmlns:a16="http://schemas.microsoft.com/office/drawing/2014/main" id="{00000000-0008-0000-0700-000011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46260" y="846483"/>
          <a:ext cx="447675" cy="4588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165653</xdr:colOff>
      <xdr:row>1</xdr:row>
      <xdr:rowOff>107674</xdr:rowOff>
    </xdr:from>
    <xdr:to>
      <xdr:col>0</xdr:col>
      <xdr:colOff>920120</xdr:colOff>
      <xdr:row>5</xdr:row>
      <xdr:rowOff>16631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D30A9DA-9A0A-49C9-B909-CB9F44B53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653" y="339587"/>
          <a:ext cx="754467" cy="571566"/>
        </a:xfrm>
        <a:prstGeom prst="rect">
          <a:avLst/>
        </a:prstGeom>
      </xdr:spPr>
    </xdr:pic>
    <xdr:clientData/>
  </xdr:twoCellAnchor>
  <xdr:twoCellAnchor editAs="oneCell">
    <xdr:from>
      <xdr:col>5</xdr:col>
      <xdr:colOff>8283</xdr:colOff>
      <xdr:row>3</xdr:row>
      <xdr:rowOff>16566</xdr:rowOff>
    </xdr:from>
    <xdr:to>
      <xdr:col>6</xdr:col>
      <xdr:colOff>636291</xdr:colOff>
      <xdr:row>5</xdr:row>
      <xdr:rowOff>14474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2C0C120-8AEB-43FE-B320-C46BF96B0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33022" y="579783"/>
          <a:ext cx="1390008" cy="32921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133350</xdr:rowOff>
    </xdr:from>
    <xdr:to>
      <xdr:col>1</xdr:col>
      <xdr:colOff>62952</xdr:colOff>
      <xdr:row>4</xdr:row>
      <xdr:rowOff>76266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AFC00A5-786C-4596-8AAB-0DB8E3E24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133350"/>
          <a:ext cx="1005927" cy="762066"/>
        </a:xfrm>
        <a:prstGeom prst="rect">
          <a:avLst/>
        </a:prstGeom>
      </xdr:spPr>
    </xdr:pic>
    <xdr:clientData/>
  </xdr:twoCellAnchor>
  <xdr:twoCellAnchor editAs="oneCell">
    <xdr:from>
      <xdr:col>6</xdr:col>
      <xdr:colOff>695325</xdr:colOff>
      <xdr:row>3</xdr:row>
      <xdr:rowOff>66675</xdr:rowOff>
    </xdr:from>
    <xdr:to>
      <xdr:col>8</xdr:col>
      <xdr:colOff>561333</xdr:colOff>
      <xdr:row>5</xdr:row>
      <xdr:rowOff>72038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1719F87-8ED1-4819-8A88-5AD101E47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72125" y="723900"/>
          <a:ext cx="1390008" cy="32921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752475</xdr:colOff>
      <xdr:row>3</xdr:row>
      <xdr:rowOff>19050</xdr:rowOff>
    </xdr:from>
    <xdr:to>
      <xdr:col>8</xdr:col>
      <xdr:colOff>618483</xdr:colOff>
      <xdr:row>5</xdr:row>
      <xdr:rowOff>24413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45998E8-D3AA-4F54-8476-7157A94F4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24525" y="504825"/>
          <a:ext cx="1390008" cy="32921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0</xdr:row>
      <xdr:rowOff>104775</xdr:rowOff>
    </xdr:from>
    <xdr:to>
      <xdr:col>1</xdr:col>
      <xdr:colOff>15327</xdr:colOff>
      <xdr:row>5</xdr:row>
      <xdr:rowOff>57216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B585046-3A24-4BB4-9B23-672FB93F0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" y="104775"/>
          <a:ext cx="1005927" cy="7620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rchivos%20MEM/Precios%20promedio%20combustibles%20%202005%20a%202021%20Final%20Septiemb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OS%20PRECIOS%20PROMEDIO%2081-200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ombustibles\Configuraci&#243;n%20local\Archivos%20temporales%20de%20Internet\Content.Outlook\A3XT81OK\precio%20consumidor%20bunker%20%20ex%20rack%202008%20al%20201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ombustibles\Downloads\Precios%20ex%20rack%20y%20consumidor%20Bunker%20octubre%20202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xoy\GUILLERMO\Precios%20Combustibles\DATOS%20PRECIOS%20PROMEDIO%2081-20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Archivos%20MEM/Precios%20promedio%20combustibles%20%202005%20a%202022%20Final%20Marzo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Archivos%20MEM/Precios%20promedio%20combustibles%20%202005%20a%202020%20Final%20Septiembr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vani\Desktop\CARPETA%20AXEL%20I\Archivos%20MEM\GLP%202020\PRECIOS%20GLP%202018-202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ombustibles\Datos%20de%20programa\Microsoft\Excel\DEFINITIVOS%20Precios%20promedio%20gasolinas%20y%20diesel%202005%20a%2020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gasodieselglp"/>
      <sheetName val="gasolinas 05"/>
      <sheetName val="gasolinas 06"/>
      <sheetName val="Gasolinas 07"/>
      <sheetName val="Gasolinas 2008"/>
      <sheetName val="Gasolinas 2009"/>
      <sheetName val="Gasolinas 2010"/>
      <sheetName val="Gasolinas 2011 "/>
      <sheetName val="Gasolinas 2012"/>
      <sheetName val="Gasolinas 2013"/>
      <sheetName val="Gasolinas 2014"/>
      <sheetName val="Gasolinas 2015"/>
      <sheetName val="Gasolinas 2016"/>
      <sheetName val="Gasolinas 2017"/>
      <sheetName val="Gasolinas 2018"/>
      <sheetName val="Gasolinas 2019"/>
      <sheetName val="Gasolinas 2020"/>
      <sheetName val="Gasolineras 2021"/>
      <sheetName val=" SC COMBUSTIBLES 2002-2021"/>
      <sheetName val="AS COMBUSTIBLES 2002-2021"/>
      <sheetName val="X-SEMANA-SC"/>
      <sheetName val="X-MES-AS"/>
      <sheetName val=" SC COMBUSTIBLES 2002-2020"/>
      <sheetName val="AS COMBUSTIBLES 2002-2020"/>
      <sheetName val="PROMEDIO GLP"/>
      <sheetName val="GLP WEB 2019"/>
      <sheetName val="Tabulacion"/>
      <sheetName val="Precio Sugeridos"/>
      <sheetName val="GLP por Cía 03 a 06"/>
      <sheetName val="X-MES-81-05 (2)"/>
      <sheetName val="X-MES-81-05"/>
      <sheetName val="Cuadre"/>
      <sheetName val="X-MES-81-05 (3)"/>
      <sheetName val="Hoja2"/>
      <sheetName val="GLP por Cía 03 a 06 (2)"/>
      <sheetName val=" SC COMBUSTIBLES 2002-2021 (2)"/>
      <sheetName val="AS COMBUSTIBLES 2002-2021 (2)"/>
    </sheetNames>
    <sheetDataSet>
      <sheetData sheetId="0"/>
      <sheetData sheetId="1"/>
      <sheetData sheetId="2"/>
      <sheetData sheetId="3"/>
      <sheetData sheetId="4"/>
      <sheetData sheetId="5">
        <row r="33">
          <cell r="D33">
            <v>17.674999999999997</v>
          </cell>
        </row>
        <row r="38">
          <cell r="D38">
            <v>19.8125</v>
          </cell>
        </row>
        <row r="44">
          <cell r="D44">
            <v>20.667999999999999</v>
          </cell>
        </row>
      </sheetData>
      <sheetData sheetId="6"/>
      <sheetData sheetId="7"/>
      <sheetData sheetId="8">
        <row r="14">
          <cell r="C14">
            <v>33.220000000000006</v>
          </cell>
          <cell r="D14">
            <v>32.570000000000007</v>
          </cell>
          <cell r="E14">
            <v>31.120000000000005</v>
          </cell>
          <cell r="G14">
            <v>32.714000000000006</v>
          </cell>
          <cell r="H14">
            <v>32.11</v>
          </cell>
          <cell r="I14">
            <v>30.690000000000005</v>
          </cell>
        </row>
        <row r="19">
          <cell r="C19">
            <v>34.797499999999999</v>
          </cell>
          <cell r="D19">
            <v>34.835000000000001</v>
          </cell>
          <cell r="E19">
            <v>32.612499999999997</v>
          </cell>
          <cell r="G19">
            <v>35.022499999999994</v>
          </cell>
          <cell r="H19">
            <v>34.365000000000002</v>
          </cell>
          <cell r="I19">
            <v>32.2425</v>
          </cell>
        </row>
        <row r="24">
          <cell r="C24">
            <v>36.950000000000003</v>
          </cell>
          <cell r="D24">
            <v>36.355000000000004</v>
          </cell>
          <cell r="E24">
            <v>33.197499999999998</v>
          </cell>
          <cell r="G24">
            <v>36.452500000000001</v>
          </cell>
          <cell r="H24">
            <v>35.880000000000003</v>
          </cell>
          <cell r="I24">
            <v>32.744999999999997</v>
          </cell>
        </row>
        <row r="30">
          <cell r="C30">
            <v>37.56</v>
          </cell>
          <cell r="D30">
            <v>37.015999999999998</v>
          </cell>
          <cell r="E30">
            <v>33.010000000000005</v>
          </cell>
          <cell r="G30">
            <v>37.116</v>
          </cell>
          <cell r="H30">
            <v>36.58</v>
          </cell>
          <cell r="I30">
            <v>32.517999999999994</v>
          </cell>
        </row>
        <row r="35">
          <cell r="C35">
            <v>35.85</v>
          </cell>
          <cell r="D35">
            <v>35.2575</v>
          </cell>
          <cell r="E35">
            <v>31.660000000000004</v>
          </cell>
          <cell r="G35">
            <v>35.260000000000005</v>
          </cell>
          <cell r="H35">
            <v>34.664999999999999</v>
          </cell>
          <cell r="I35">
            <v>31.114999999999998</v>
          </cell>
        </row>
        <row r="40">
          <cell r="C40">
            <v>33.715000000000003</v>
          </cell>
          <cell r="D40">
            <v>33.052499999999995</v>
          </cell>
          <cell r="E40">
            <v>29.202500000000001</v>
          </cell>
          <cell r="G40">
            <v>33.14</v>
          </cell>
          <cell r="H40">
            <v>32.51</v>
          </cell>
          <cell r="I40">
            <v>28.734999999999999</v>
          </cell>
        </row>
        <row r="84">
          <cell r="C84">
            <v>34.713999999999999</v>
          </cell>
          <cell r="D84">
            <v>34.001999999999995</v>
          </cell>
          <cell r="E84">
            <v>29.806000000000001</v>
          </cell>
          <cell r="G84">
            <v>34.217999999999996</v>
          </cell>
          <cell r="I84">
            <v>29.304000000000002</v>
          </cell>
        </row>
        <row r="89">
          <cell r="B89">
            <v>36.3125</v>
          </cell>
          <cell r="C89">
            <v>35.274999999999999</v>
          </cell>
          <cell r="D89">
            <v>34.552499999999995</v>
          </cell>
          <cell r="E89">
            <v>31.862500000000001</v>
          </cell>
          <cell r="G89">
            <v>34.924999999999997</v>
          </cell>
          <cell r="H89">
            <v>34.129999999999995</v>
          </cell>
          <cell r="I89">
            <v>30.8825</v>
          </cell>
        </row>
        <row r="94">
          <cell r="B94">
            <v>38.44</v>
          </cell>
          <cell r="C94">
            <v>37.665000000000006</v>
          </cell>
          <cell r="D94">
            <v>36.842500000000001</v>
          </cell>
          <cell r="E94">
            <v>33.504999999999995</v>
          </cell>
          <cell r="G94">
            <v>37.07</v>
          </cell>
          <cell r="H94">
            <v>36.274999999999999</v>
          </cell>
          <cell r="I94">
            <v>33.005000000000003</v>
          </cell>
        </row>
        <row r="100">
          <cell r="B100">
            <v>37.106000000000002</v>
          </cell>
          <cell r="C100">
            <v>36.686</v>
          </cell>
          <cell r="D100">
            <v>35.869999999999997</v>
          </cell>
          <cell r="E100">
            <v>33</v>
          </cell>
          <cell r="G100">
            <v>36.042000000000002</v>
          </cell>
          <cell r="H100">
            <v>35.225999999999999</v>
          </cell>
          <cell r="I100">
            <v>32.47</v>
          </cell>
        </row>
        <row r="105">
          <cell r="B105">
            <v>34.597500000000004</v>
          </cell>
          <cell r="C105">
            <v>33.879999999999995</v>
          </cell>
          <cell r="D105">
            <v>32.93</v>
          </cell>
          <cell r="E105">
            <v>31.467500000000001</v>
          </cell>
          <cell r="F105">
            <v>33.664999999999999</v>
          </cell>
          <cell r="G105">
            <v>33.197500000000005</v>
          </cell>
          <cell r="H105">
            <v>32.252499999999998</v>
          </cell>
          <cell r="I105">
            <v>30.884999999999998</v>
          </cell>
        </row>
        <row r="110">
          <cell r="B110">
            <v>34.605000000000004</v>
          </cell>
          <cell r="C110">
            <v>33.865000000000002</v>
          </cell>
          <cell r="D110">
            <v>32.900000000000006</v>
          </cell>
          <cell r="E110">
            <v>32.715000000000003</v>
          </cell>
          <cell r="F110">
            <v>33.704999999999998</v>
          </cell>
          <cell r="G110">
            <v>33.207500000000003</v>
          </cell>
          <cell r="H110">
            <v>32.25</v>
          </cell>
          <cell r="I110">
            <v>32.167499999999997</v>
          </cell>
        </row>
      </sheetData>
      <sheetData sheetId="9">
        <row r="14">
          <cell r="B14">
            <v>34.431529411764714</v>
          </cell>
          <cell r="C14">
            <v>33.694000000000003</v>
          </cell>
          <cell r="D14">
            <v>32.718000000000004</v>
          </cell>
          <cell r="E14">
            <v>32.296000000000006</v>
          </cell>
          <cell r="F14">
            <v>33.571428571428569</v>
          </cell>
          <cell r="G14">
            <v>33.082000000000008</v>
          </cell>
          <cell r="H14">
            <v>32.101999999999997</v>
          </cell>
          <cell r="I14">
            <v>31.744</v>
          </cell>
        </row>
        <row r="19">
          <cell r="B19">
            <v>36.307500000000005</v>
          </cell>
          <cell r="C19">
            <v>35.4375</v>
          </cell>
          <cell r="D19">
            <v>34.004999999999995</v>
          </cell>
          <cell r="E19">
            <v>32.93</v>
          </cell>
          <cell r="F19">
            <v>35.4375</v>
          </cell>
          <cell r="G19">
            <v>34.795000000000002</v>
          </cell>
          <cell r="H19">
            <v>33.35</v>
          </cell>
          <cell r="I19">
            <v>32.32</v>
          </cell>
        </row>
        <row r="24">
          <cell r="B24">
            <v>36.314999999999998</v>
          </cell>
          <cell r="C24">
            <v>35.362500000000004</v>
          </cell>
          <cell r="D24">
            <v>33.902500000000003</v>
          </cell>
          <cell r="E24">
            <v>32.137499999999996</v>
          </cell>
          <cell r="F24">
            <v>35.284999999999997</v>
          </cell>
          <cell r="G24">
            <v>34.672499999999999</v>
          </cell>
          <cell r="H24">
            <v>33.207499999999996</v>
          </cell>
          <cell r="I24">
            <v>31.434999999999999</v>
          </cell>
        </row>
        <row r="30">
          <cell r="B30">
            <v>35.119999999999997</v>
          </cell>
          <cell r="C30">
            <v>34.448</v>
          </cell>
          <cell r="D30">
            <v>32.992000000000004</v>
          </cell>
          <cell r="E30">
            <v>30.1</v>
          </cell>
          <cell r="F30">
            <v>34.241999999999997</v>
          </cell>
          <cell r="G30">
            <v>33.766000000000005</v>
          </cell>
          <cell r="H30">
            <v>32.307999999999993</v>
          </cell>
          <cell r="I30">
            <v>29.434000000000005</v>
          </cell>
        </row>
        <row r="35">
          <cell r="B35">
            <v>35.2575</v>
          </cell>
          <cell r="C35">
            <v>34.597499999999997</v>
          </cell>
          <cell r="D35">
            <v>33.1175</v>
          </cell>
          <cell r="E35">
            <v>29.355</v>
          </cell>
          <cell r="F35">
            <v>34.342500000000001</v>
          </cell>
          <cell r="G35">
            <v>33.887500000000003</v>
          </cell>
          <cell r="H35">
            <v>32.412500000000001</v>
          </cell>
          <cell r="I35">
            <v>28.677499999999998</v>
          </cell>
        </row>
        <row r="40">
          <cell r="B40">
            <v>34.842500000000001</v>
          </cell>
          <cell r="C40">
            <v>34.247500000000002</v>
          </cell>
          <cell r="D40">
            <v>32.774999999999999</v>
          </cell>
          <cell r="E40">
            <v>28.675000000000001</v>
          </cell>
          <cell r="F40">
            <v>33.94</v>
          </cell>
          <cell r="G40">
            <v>33.5</v>
          </cell>
          <cell r="H40">
            <v>32.015000000000001</v>
          </cell>
          <cell r="I40">
            <v>28.020000000000003</v>
          </cell>
        </row>
        <row r="84">
          <cell r="B84">
            <v>36.275999999999996</v>
          </cell>
          <cell r="C84">
            <v>35.644000000000005</v>
          </cell>
          <cell r="D84">
            <v>34.188000000000002</v>
          </cell>
          <cell r="E84">
            <v>30.983999999999998</v>
          </cell>
          <cell r="F84">
            <v>35.43</v>
          </cell>
          <cell r="G84">
            <v>34.874000000000002</v>
          </cell>
          <cell r="H84">
            <v>33.375999999999998</v>
          </cell>
          <cell r="I84">
            <v>30.242000000000001</v>
          </cell>
        </row>
        <row r="89">
          <cell r="B89">
            <v>36.905000000000001</v>
          </cell>
          <cell r="C89">
            <v>36.325000000000003</v>
          </cell>
          <cell r="D89">
            <v>34.83</v>
          </cell>
          <cell r="E89">
            <v>31.395</v>
          </cell>
          <cell r="F89">
            <v>36.03</v>
          </cell>
          <cell r="G89">
            <v>35.577500000000001</v>
          </cell>
          <cell r="H89">
            <v>34.082500000000003</v>
          </cell>
          <cell r="I89">
            <v>30.689999999999998</v>
          </cell>
        </row>
        <row r="95">
          <cell r="B95">
            <v>36.543999999999997</v>
          </cell>
          <cell r="C95">
            <v>36.027999999999999</v>
          </cell>
          <cell r="D95">
            <v>34.514000000000003</v>
          </cell>
          <cell r="E95">
            <v>32.454000000000001</v>
          </cell>
          <cell r="F95">
            <v>35.673999999999999</v>
          </cell>
          <cell r="G95">
            <v>35.267999999999994</v>
          </cell>
          <cell r="H95">
            <v>33.761999999999993</v>
          </cell>
          <cell r="I95">
            <v>31.768000000000001</v>
          </cell>
        </row>
        <row r="100">
          <cell r="B100">
            <v>34.564999999999998</v>
          </cell>
          <cell r="C100">
            <v>34.137500000000003</v>
          </cell>
          <cell r="D100">
            <v>32.637500000000003</v>
          </cell>
          <cell r="E100">
            <v>31.32</v>
          </cell>
          <cell r="F100">
            <v>33.797499999999992</v>
          </cell>
          <cell r="G100">
            <v>33.35</v>
          </cell>
          <cell r="H100">
            <v>31.8475</v>
          </cell>
          <cell r="I100">
            <v>30.567499999999999</v>
          </cell>
        </row>
        <row r="105">
          <cell r="B105">
            <v>33.587499999999999</v>
          </cell>
          <cell r="C105">
            <v>32.957499999999996</v>
          </cell>
          <cell r="D105">
            <v>31.4925</v>
          </cell>
          <cell r="F105">
            <v>32.682499999999997</v>
          </cell>
          <cell r="G105">
            <v>32.18</v>
          </cell>
          <cell r="H105">
            <v>30.71</v>
          </cell>
          <cell r="I105">
            <v>30.477499999999999</v>
          </cell>
        </row>
        <row r="111">
          <cell r="B111">
            <v>35.64</v>
          </cell>
          <cell r="C111">
            <v>35.049999999999997</v>
          </cell>
          <cell r="D111">
            <v>33.58</v>
          </cell>
          <cell r="F111">
            <v>34.778000000000006</v>
          </cell>
          <cell r="G111">
            <v>34.311999999999998</v>
          </cell>
          <cell r="H111">
            <v>32.832000000000001</v>
          </cell>
          <cell r="I111">
            <v>31.6</v>
          </cell>
        </row>
      </sheetData>
      <sheetData sheetId="10">
        <row r="13">
          <cell r="F13">
            <v>34.410000000000004</v>
          </cell>
          <cell r="G13">
            <v>34.0625</v>
          </cell>
          <cell r="H13">
            <v>32.582499999999996</v>
          </cell>
          <cell r="I13">
            <v>31.295000000000002</v>
          </cell>
        </row>
        <row r="18">
          <cell r="F18">
            <v>33.61</v>
          </cell>
          <cell r="G18">
            <v>33.142499999999998</v>
          </cell>
          <cell r="H18">
            <v>31.635000000000002</v>
          </cell>
          <cell r="I18">
            <v>30.487500000000001</v>
          </cell>
        </row>
        <row r="24">
          <cell r="F24">
            <v>33.972000000000001</v>
          </cell>
          <cell r="G24">
            <v>33.622</v>
          </cell>
          <cell r="H24">
            <v>32.143999999999998</v>
          </cell>
          <cell r="I24">
            <v>30.332000000000001</v>
          </cell>
        </row>
        <row r="29">
          <cell r="D29">
            <v>33.587499999999999</v>
          </cell>
          <cell r="F29">
            <v>34.802500000000002</v>
          </cell>
          <cell r="G29">
            <v>34.317500000000003</v>
          </cell>
          <cell r="H29">
            <v>32.807499999999997</v>
          </cell>
          <cell r="I29">
            <v>30.435000000000002</v>
          </cell>
        </row>
        <row r="34">
          <cell r="B34">
            <v>35.25</v>
          </cell>
          <cell r="C34">
            <v>34.700000000000003</v>
          </cell>
          <cell r="D34">
            <v>33.195</v>
          </cell>
          <cell r="E34">
            <v>31.155000000000001</v>
          </cell>
          <cell r="F34">
            <v>34.395000000000003</v>
          </cell>
          <cell r="G34">
            <v>33.805</v>
          </cell>
          <cell r="H34">
            <v>32.31</v>
          </cell>
          <cell r="I34">
            <v>30.252500000000001</v>
          </cell>
        </row>
        <row r="39">
          <cell r="B39">
            <v>35.897499999999994</v>
          </cell>
          <cell r="C39">
            <v>35.36</v>
          </cell>
          <cell r="D39">
            <v>33.835000000000001</v>
          </cell>
          <cell r="E39">
            <v>31.037500000000001</v>
          </cell>
          <cell r="F39">
            <v>35.017499999999998</v>
          </cell>
          <cell r="G39">
            <v>34.615000000000002</v>
          </cell>
          <cell r="H39">
            <v>33.105000000000004</v>
          </cell>
          <cell r="I39">
            <v>30.282499999999999</v>
          </cell>
        </row>
        <row r="45">
          <cell r="B45">
            <v>36.130000000000003</v>
          </cell>
          <cell r="C45">
            <v>35.606000000000009</v>
          </cell>
          <cell r="D45">
            <v>34.106000000000002</v>
          </cell>
          <cell r="E45">
            <v>30.934000000000005</v>
          </cell>
          <cell r="F45">
            <v>35.252000000000002</v>
          </cell>
          <cell r="G45">
            <v>34.81</v>
          </cell>
          <cell r="H45">
            <v>33.331800000000001</v>
          </cell>
          <cell r="I45">
            <v>30.142000000000003</v>
          </cell>
        </row>
        <row r="50">
          <cell r="B50">
            <v>34.512500000000003</v>
          </cell>
          <cell r="C50">
            <v>34.024999999999999</v>
          </cell>
          <cell r="D50">
            <v>32.537499999999994</v>
          </cell>
          <cell r="E50">
            <v>30.414999999999999</v>
          </cell>
        </row>
        <row r="56">
          <cell r="B56">
            <v>33.631999999999998</v>
          </cell>
          <cell r="C56">
            <v>33.11</v>
          </cell>
          <cell r="D56">
            <v>31.607999999999997</v>
          </cell>
          <cell r="E56">
            <v>29.528000000000002</v>
          </cell>
          <cell r="F56">
            <v>32.76</v>
          </cell>
          <cell r="G56">
            <v>32.314</v>
          </cell>
          <cell r="H56">
            <v>30.812000000000001</v>
          </cell>
          <cell r="I56">
            <v>28.695999999999998</v>
          </cell>
        </row>
        <row r="61">
          <cell r="B61">
            <v>31.820000000000004</v>
          </cell>
          <cell r="C61">
            <v>31.352499999999999</v>
          </cell>
          <cell r="D61">
            <v>29.857499999999998</v>
          </cell>
          <cell r="E61">
            <v>27.707500000000003</v>
          </cell>
          <cell r="F61">
            <v>30.849999999999998</v>
          </cell>
          <cell r="G61">
            <v>30.487500000000001</v>
          </cell>
          <cell r="H61">
            <v>28.982500000000002</v>
          </cell>
          <cell r="I61">
            <v>26.8475</v>
          </cell>
        </row>
        <row r="66">
          <cell r="B66">
            <v>29.982500000000002</v>
          </cell>
          <cell r="C66">
            <v>29.375</v>
          </cell>
          <cell r="D66">
            <v>27.869999999999997</v>
          </cell>
          <cell r="E66">
            <v>25.970000000000002</v>
          </cell>
          <cell r="F66">
            <v>28.982500000000002</v>
          </cell>
          <cell r="G66">
            <v>28.537499999999998</v>
          </cell>
          <cell r="H66">
            <v>27.02</v>
          </cell>
          <cell r="I66">
            <v>25.09</v>
          </cell>
        </row>
        <row r="72">
          <cell r="B72">
            <v>26.462</v>
          </cell>
          <cell r="C72">
            <v>25.881999999999998</v>
          </cell>
          <cell r="D72">
            <v>24.41</v>
          </cell>
          <cell r="E72">
            <v>23.097999999999999</v>
          </cell>
          <cell r="F72">
            <v>25.407999999999998</v>
          </cell>
          <cell r="G72">
            <v>25.042000000000002</v>
          </cell>
          <cell r="H72">
            <v>23.602</v>
          </cell>
          <cell r="I72">
            <v>22.27</v>
          </cell>
        </row>
      </sheetData>
      <sheetData sheetId="11">
        <row r="15">
          <cell r="B15">
            <v>22.355</v>
          </cell>
          <cell r="C15">
            <v>21.737500000000001</v>
          </cell>
          <cell r="D15">
            <v>20.274999999999999</v>
          </cell>
          <cell r="E15">
            <v>19.667499999999997</v>
          </cell>
          <cell r="F15">
            <v>21.272499999999997</v>
          </cell>
          <cell r="G15">
            <v>20.9025</v>
          </cell>
          <cell r="H15">
            <v>19.427499999999998</v>
          </cell>
          <cell r="I15">
            <v>18.855</v>
          </cell>
        </row>
        <row r="20">
          <cell r="C20">
            <v>23.247499999999999</v>
          </cell>
          <cell r="D20">
            <v>21.747500000000002</v>
          </cell>
          <cell r="E20">
            <v>20.585000000000001</v>
          </cell>
          <cell r="F20">
            <v>22.982499999999998</v>
          </cell>
          <cell r="G20">
            <v>22.4375</v>
          </cell>
          <cell r="H20">
            <v>20.939999999999998</v>
          </cell>
          <cell r="I20">
            <v>19.807500000000001</v>
          </cell>
        </row>
        <row r="21">
          <cell r="B21">
            <v>25.92</v>
          </cell>
        </row>
        <row r="26">
          <cell r="B26">
            <v>25.613999999999997</v>
          </cell>
          <cell r="C26">
            <v>24.990000000000002</v>
          </cell>
          <cell r="D26">
            <v>23.486000000000001</v>
          </cell>
          <cell r="E26">
            <v>20.968</v>
          </cell>
          <cell r="F26">
            <v>24.687999999999999</v>
          </cell>
          <cell r="G26">
            <v>24.192</v>
          </cell>
          <cell r="H26">
            <v>22.692</v>
          </cell>
          <cell r="I26">
            <v>20.178000000000001</v>
          </cell>
        </row>
        <row r="31">
          <cell r="B31">
            <v>26.17</v>
          </cell>
          <cell r="C31">
            <v>25.547500000000003</v>
          </cell>
          <cell r="D31">
            <v>24.064999999999998</v>
          </cell>
          <cell r="E31">
            <v>20.844999999999999</v>
          </cell>
          <cell r="F31">
            <v>25.244999999999997</v>
          </cell>
          <cell r="G31">
            <v>24.747499999999999</v>
          </cell>
          <cell r="H31">
            <v>23.265000000000001</v>
          </cell>
          <cell r="I31">
            <v>20.04</v>
          </cell>
        </row>
        <row r="36">
          <cell r="B36">
            <v>27.457499999999996</v>
          </cell>
          <cell r="C36">
            <v>26.86</v>
          </cell>
          <cell r="D36">
            <v>25.380000000000003</v>
          </cell>
          <cell r="E36">
            <v>22.094999999999999</v>
          </cell>
          <cell r="F36">
            <v>26.55</v>
          </cell>
          <cell r="G36">
            <v>26.057500000000001</v>
          </cell>
          <cell r="H36">
            <v>24.585000000000001</v>
          </cell>
          <cell r="I36">
            <v>21.322500000000002</v>
          </cell>
        </row>
        <row r="41">
          <cell r="B41">
            <v>27.84</v>
          </cell>
          <cell r="C41">
            <v>27.095000000000002</v>
          </cell>
          <cell r="D41">
            <v>25.604999999999997</v>
          </cell>
          <cell r="E41">
            <v>21.565000000000001</v>
          </cell>
          <cell r="F41">
            <v>26.892499999999998</v>
          </cell>
          <cell r="G41">
            <v>26.297499999999999</v>
          </cell>
          <cell r="H41">
            <v>24.802499999999998</v>
          </cell>
          <cell r="I41">
            <v>20.7775</v>
          </cell>
        </row>
        <row r="47">
          <cell r="B47">
            <v>27.744</v>
          </cell>
          <cell r="C47">
            <v>27.143999999999998</v>
          </cell>
          <cell r="D47">
            <v>25.673999999999999</v>
          </cell>
          <cell r="E47">
            <v>20.338000000000001</v>
          </cell>
          <cell r="F47">
            <v>26.766000000000002</v>
          </cell>
          <cell r="G47">
            <v>26.369999999999997</v>
          </cell>
          <cell r="H47">
            <v>24.884</v>
          </cell>
          <cell r="I47">
            <v>19.527999999999999</v>
          </cell>
        </row>
        <row r="53">
          <cell r="B53">
            <v>25.812000000000001</v>
          </cell>
          <cell r="C53">
            <v>25.2</v>
          </cell>
          <cell r="D53">
            <v>23.740000000000002</v>
          </cell>
          <cell r="E53">
            <v>18.238</v>
          </cell>
          <cell r="F53">
            <v>24.82</v>
          </cell>
          <cell r="G53">
            <v>24.365999999999996</v>
          </cell>
          <cell r="H53">
            <v>22.881999999999998</v>
          </cell>
          <cell r="I53">
            <v>17.398</v>
          </cell>
        </row>
        <row r="58">
          <cell r="B58">
            <v>23.8325</v>
          </cell>
          <cell r="C58">
            <v>23.270000000000003</v>
          </cell>
          <cell r="D58">
            <v>21.794999999999998</v>
          </cell>
          <cell r="E58">
            <v>18.432499999999997</v>
          </cell>
          <cell r="F58">
            <v>22.84</v>
          </cell>
          <cell r="G58">
            <v>22.419999999999998</v>
          </cell>
          <cell r="H58">
            <v>20.942499999999999</v>
          </cell>
          <cell r="I58">
            <v>17.625</v>
          </cell>
        </row>
        <row r="63">
          <cell r="B63">
            <v>23.5</v>
          </cell>
          <cell r="C63">
            <v>22.854999999999997</v>
          </cell>
          <cell r="D63">
            <v>21.3675</v>
          </cell>
          <cell r="E63">
            <v>18.4725</v>
          </cell>
          <cell r="F63">
            <v>22.492500000000003</v>
          </cell>
          <cell r="G63">
            <v>21.997499999999999</v>
          </cell>
          <cell r="H63">
            <v>20.512500000000003</v>
          </cell>
          <cell r="I63">
            <v>17.650000000000002</v>
          </cell>
        </row>
        <row r="69">
          <cell r="B69">
            <v>22.54</v>
          </cell>
          <cell r="C69">
            <v>21.97</v>
          </cell>
          <cell r="D69">
            <v>20.47</v>
          </cell>
          <cell r="E69">
            <v>18.042000000000002</v>
          </cell>
          <cell r="F69">
            <v>21.576000000000001</v>
          </cell>
          <cell r="G69">
            <v>21.119999999999997</v>
          </cell>
          <cell r="H69">
            <v>19.637999999999998</v>
          </cell>
          <cell r="I69">
            <v>17.213999999999999</v>
          </cell>
        </row>
        <row r="74">
          <cell r="B74">
            <v>21.635000000000002</v>
          </cell>
          <cell r="C74">
            <v>21.03</v>
          </cell>
          <cell r="D74">
            <v>19.5425</v>
          </cell>
          <cell r="E74">
            <v>16.255000000000003</v>
          </cell>
          <cell r="F74">
            <v>20.925000000000001</v>
          </cell>
          <cell r="G74">
            <v>20.177500000000002</v>
          </cell>
          <cell r="H74">
            <v>18.689999999999998</v>
          </cell>
          <cell r="I74">
            <v>15.404999999999999</v>
          </cell>
        </row>
      </sheetData>
      <sheetData sheetId="12">
        <row r="13">
          <cell r="B13">
            <v>21.004999999999999</v>
          </cell>
          <cell r="C13">
            <v>20.387499999999999</v>
          </cell>
          <cell r="D13">
            <v>18.902500000000003</v>
          </cell>
          <cell r="E13">
            <v>14.467500000000001</v>
          </cell>
          <cell r="F13">
            <v>20.045000000000002</v>
          </cell>
          <cell r="G13">
            <v>19.5425</v>
          </cell>
          <cell r="H13">
            <v>18.07</v>
          </cell>
          <cell r="I13">
            <v>13.647500000000001</v>
          </cell>
        </row>
        <row r="19">
          <cell r="B19">
            <v>20.032</v>
          </cell>
          <cell r="C19">
            <v>19.380000000000003</v>
          </cell>
          <cell r="D19">
            <v>17.908000000000001</v>
          </cell>
          <cell r="E19">
            <v>13.803999999999998</v>
          </cell>
          <cell r="F19">
            <v>19.047999999999998</v>
          </cell>
          <cell r="G19">
            <v>18.564</v>
          </cell>
          <cell r="H19">
            <v>17.084</v>
          </cell>
          <cell r="I19">
            <v>13.02</v>
          </cell>
        </row>
        <row r="24">
          <cell r="B24">
            <v>21.702500000000001</v>
          </cell>
          <cell r="C24">
            <v>21.02</v>
          </cell>
          <cell r="D24">
            <v>19.542499999999997</v>
          </cell>
          <cell r="E24">
            <v>15.5725</v>
          </cell>
          <cell r="F24">
            <v>20.755000000000003</v>
          </cell>
          <cell r="G24">
            <v>20.234999999999999</v>
          </cell>
          <cell r="H24">
            <v>18.767499999999998</v>
          </cell>
          <cell r="I24">
            <v>14.8</v>
          </cell>
        </row>
        <row r="29">
          <cell r="B29">
            <v>22.91</v>
          </cell>
          <cell r="C29">
            <v>22.25</v>
          </cell>
          <cell r="D29">
            <v>20.7775</v>
          </cell>
          <cell r="E29">
            <v>15.9025</v>
          </cell>
          <cell r="F29">
            <v>21.962500000000002</v>
          </cell>
          <cell r="G29">
            <v>21.467499999999998</v>
          </cell>
          <cell r="H29">
            <v>19.989999999999998</v>
          </cell>
          <cell r="I29">
            <v>15.12</v>
          </cell>
        </row>
        <row r="35">
          <cell r="B35">
            <v>23.75</v>
          </cell>
          <cell r="C35">
            <v>23.103999999999999</v>
          </cell>
          <cell r="D35">
            <v>21.630000000000003</v>
          </cell>
          <cell r="E35">
            <v>17.002000000000002</v>
          </cell>
          <cell r="F35">
            <v>22.783999999999999</v>
          </cell>
          <cell r="G35">
            <v>22.321999999999999</v>
          </cell>
          <cell r="H35">
            <v>20.832000000000001</v>
          </cell>
          <cell r="I35">
            <v>16.257999999999999</v>
          </cell>
        </row>
        <row r="40">
          <cell r="B40">
            <v>24.310000000000002</v>
          </cell>
          <cell r="C40">
            <v>23.66</v>
          </cell>
          <cell r="D40">
            <v>22.184999999999999</v>
          </cell>
          <cell r="E40">
            <v>17.982500000000002</v>
          </cell>
          <cell r="G40">
            <v>22.857500000000002</v>
          </cell>
          <cell r="H40">
            <v>21.3825</v>
          </cell>
          <cell r="I40">
            <v>17.204999999999998</v>
          </cell>
        </row>
        <row r="45">
          <cell r="B45">
            <v>23.162500000000001</v>
          </cell>
          <cell r="C45">
            <v>22.53</v>
          </cell>
          <cell r="D45">
            <v>21.035</v>
          </cell>
          <cell r="E45">
            <v>17.145000000000003</v>
          </cell>
          <cell r="F45">
            <v>22.185000000000002</v>
          </cell>
          <cell r="G45">
            <v>21.715</v>
          </cell>
          <cell r="H45">
            <v>20.2225</v>
          </cell>
          <cell r="I45">
            <v>16.362499999999997</v>
          </cell>
        </row>
        <row r="51">
          <cell r="B51">
            <v>22.988</v>
          </cell>
          <cell r="C51">
            <v>22.344000000000001</v>
          </cell>
          <cell r="D51">
            <v>20.848000000000003</v>
          </cell>
          <cell r="E51">
            <v>16.971999999999998</v>
          </cell>
          <cell r="F51">
            <v>22.022000000000002</v>
          </cell>
          <cell r="G51">
            <v>21.541999999999998</v>
          </cell>
          <cell r="H51">
            <v>20.053999999999998</v>
          </cell>
          <cell r="I51">
            <v>16.218</v>
          </cell>
        </row>
        <row r="56">
          <cell r="B56">
            <v>23.669999999999998</v>
          </cell>
          <cell r="C56">
            <v>22.985000000000003</v>
          </cell>
          <cell r="D56">
            <v>21.497499999999995</v>
          </cell>
          <cell r="E56">
            <v>17.667499999999997</v>
          </cell>
          <cell r="F56">
            <v>22.6875</v>
          </cell>
          <cell r="G56">
            <v>22.164999999999999</v>
          </cell>
          <cell r="H56">
            <v>20.664999999999999</v>
          </cell>
          <cell r="I56">
            <v>16.8825</v>
          </cell>
        </row>
        <row r="62">
          <cell r="B62">
            <v>24.006</v>
          </cell>
          <cell r="C62">
            <v>23.355999999999998</v>
          </cell>
          <cell r="D62">
            <v>21.871999999999996</v>
          </cell>
          <cell r="E62">
            <v>18.346</v>
          </cell>
          <cell r="F62">
            <v>23.053999999999998</v>
          </cell>
          <cell r="G62">
            <v>22.541999999999998</v>
          </cell>
          <cell r="H62">
            <v>21.053999999999998</v>
          </cell>
          <cell r="I62">
            <v>17.572000000000003</v>
          </cell>
        </row>
        <row r="67">
          <cell r="B67">
            <v>23.3125</v>
          </cell>
          <cell r="C67">
            <v>22.68</v>
          </cell>
          <cell r="D67">
            <v>21.202500000000001</v>
          </cell>
          <cell r="E67">
            <v>17.987500000000001</v>
          </cell>
          <cell r="F67">
            <v>22.340000000000003</v>
          </cell>
          <cell r="G67">
            <v>21.844999999999999</v>
          </cell>
          <cell r="H67">
            <v>20.352499999999999</v>
          </cell>
          <cell r="I67">
            <v>17.175000000000001</v>
          </cell>
        </row>
        <row r="72">
          <cell r="B72">
            <v>24.264649122807018</v>
          </cell>
          <cell r="C72">
            <v>23.605</v>
          </cell>
          <cell r="D72">
            <v>22.115000000000002</v>
          </cell>
          <cell r="E72">
            <v>18.9175</v>
          </cell>
          <cell r="F72">
            <v>23.214749999999999</v>
          </cell>
          <cell r="G72">
            <v>22.795000000000002</v>
          </cell>
          <cell r="H72">
            <v>21.299999999999997</v>
          </cell>
          <cell r="I72">
            <v>18.149999999999999</v>
          </cell>
        </row>
      </sheetData>
      <sheetData sheetId="13">
        <row r="14">
          <cell r="B14">
            <v>25.31</v>
          </cell>
          <cell r="C14">
            <v>24.687999999999995</v>
          </cell>
          <cell r="D14">
            <v>23.187999999999999</v>
          </cell>
          <cell r="E14">
            <v>19.154</v>
          </cell>
          <cell r="F14">
            <v>24.356000000000002</v>
          </cell>
          <cell r="G14">
            <v>23.86</v>
          </cell>
          <cell r="H14">
            <v>22.357999999999997</v>
          </cell>
          <cell r="I14">
            <v>18.348000000000003</v>
          </cell>
        </row>
        <row r="19">
          <cell r="B19">
            <v>24.505000000000003</v>
          </cell>
          <cell r="C19">
            <v>23.875</v>
          </cell>
          <cell r="D19">
            <v>22.38</v>
          </cell>
          <cell r="E19">
            <v>18.695</v>
          </cell>
          <cell r="F19">
            <v>23.54</v>
          </cell>
          <cell r="G19">
            <v>23.040000000000003</v>
          </cell>
          <cell r="H19">
            <v>21.535</v>
          </cell>
          <cell r="I19">
            <v>17.89</v>
          </cell>
        </row>
        <row r="24">
          <cell r="B24">
            <v>24.024999999999999</v>
          </cell>
          <cell r="C24">
            <v>23.422499999999999</v>
          </cell>
          <cell r="D24">
            <v>21.945</v>
          </cell>
          <cell r="E24">
            <v>18.43</v>
          </cell>
          <cell r="F24">
            <v>23.065000000000001</v>
          </cell>
          <cell r="G24">
            <v>22.572499999999998</v>
          </cell>
          <cell r="H24">
            <v>21.087499999999999</v>
          </cell>
          <cell r="I24">
            <v>17.594999999999999</v>
          </cell>
        </row>
        <row r="29">
          <cell r="B29">
            <v>24.805</v>
          </cell>
          <cell r="C29">
            <v>24.197500000000002</v>
          </cell>
          <cell r="D29">
            <v>22.717499999999998</v>
          </cell>
          <cell r="E29">
            <v>18.424999999999997</v>
          </cell>
          <cell r="F29">
            <v>23.815000000000001</v>
          </cell>
          <cell r="G29">
            <v>23.352499999999999</v>
          </cell>
          <cell r="H29">
            <v>21.8675</v>
          </cell>
          <cell r="I29">
            <v>17.594999999999999</v>
          </cell>
        </row>
        <row r="35">
          <cell r="B35">
            <v>24.241999999999997</v>
          </cell>
          <cell r="C35">
            <v>23.635999999999999</v>
          </cell>
          <cell r="D35">
            <v>22.146000000000001</v>
          </cell>
          <cell r="E35">
            <v>17.762</v>
          </cell>
          <cell r="F35">
            <v>23.187999999999999</v>
          </cell>
          <cell r="G35">
            <v>22.732000000000003</v>
          </cell>
          <cell r="H35">
            <v>21.240000000000002</v>
          </cell>
          <cell r="I35">
            <v>16.857999999999997</v>
          </cell>
        </row>
        <row r="40">
          <cell r="B40">
            <v>23.934999999999999</v>
          </cell>
          <cell r="C40">
            <v>23.332500000000003</v>
          </cell>
          <cell r="D40">
            <v>21.827500000000001</v>
          </cell>
          <cell r="E40">
            <v>17.327500000000001</v>
          </cell>
          <cell r="F40">
            <v>22.897499999999997</v>
          </cell>
          <cell r="G40">
            <v>22.425000000000001</v>
          </cell>
          <cell r="H40">
            <v>20.93</v>
          </cell>
          <cell r="I40">
            <v>16.445</v>
          </cell>
        </row>
        <row r="46">
          <cell r="B46">
            <v>23.804000000000002</v>
          </cell>
          <cell r="C46">
            <v>23.148000000000003</v>
          </cell>
          <cell r="D46">
            <v>21.763999999999999</v>
          </cell>
          <cell r="E46">
            <v>17.472000000000001</v>
          </cell>
          <cell r="F46">
            <v>22.756</v>
          </cell>
          <cell r="G46">
            <v>22.26</v>
          </cell>
          <cell r="H46">
            <v>20.89</v>
          </cell>
          <cell r="I46">
            <v>16.606000000000002</v>
          </cell>
        </row>
        <row r="51">
          <cell r="B51">
            <v>24.377500000000001</v>
          </cell>
          <cell r="C51">
            <v>23.727499999999999</v>
          </cell>
          <cell r="D51">
            <v>22.434999999999999</v>
          </cell>
          <cell r="E51">
            <v>18.434999999999999</v>
          </cell>
          <cell r="F51">
            <v>23.31</v>
          </cell>
          <cell r="G51">
            <v>22.837499999999999</v>
          </cell>
          <cell r="H51">
            <v>21.549999999999997</v>
          </cell>
          <cell r="I51">
            <v>17.547500000000003</v>
          </cell>
        </row>
        <row r="56">
          <cell r="B56">
            <v>25.924999999999997</v>
          </cell>
          <cell r="C56">
            <v>25.32</v>
          </cell>
          <cell r="D56">
            <v>24.024999999999999</v>
          </cell>
          <cell r="E56">
            <v>19.182500000000001</v>
          </cell>
          <cell r="F56">
            <v>24.87</v>
          </cell>
          <cell r="G56">
            <v>24.422499999999999</v>
          </cell>
          <cell r="H56">
            <v>23.125</v>
          </cell>
          <cell r="I56">
            <v>18.302500000000002</v>
          </cell>
        </row>
        <row r="62">
          <cell r="B62">
            <v>25.084</v>
          </cell>
          <cell r="C62">
            <v>24.437999999999999</v>
          </cell>
          <cell r="D62">
            <v>23.152000000000001</v>
          </cell>
          <cell r="E62">
            <v>19.975999999999999</v>
          </cell>
          <cell r="F62">
            <v>24.056000000000004</v>
          </cell>
          <cell r="G62">
            <v>23.55</v>
          </cell>
          <cell r="H62">
            <v>22.256</v>
          </cell>
          <cell r="I62">
            <v>19.102</v>
          </cell>
        </row>
        <row r="67">
          <cell r="B67">
            <v>25.982499999999998</v>
          </cell>
          <cell r="C67">
            <v>25.365000000000002</v>
          </cell>
          <cell r="D67">
            <v>24.09</v>
          </cell>
          <cell r="E67">
            <v>20.805</v>
          </cell>
          <cell r="F67">
            <v>24.925000000000001</v>
          </cell>
          <cell r="G67">
            <v>24.475000000000001</v>
          </cell>
          <cell r="H67">
            <v>23.247499999999999</v>
          </cell>
          <cell r="I67">
            <v>19.93</v>
          </cell>
        </row>
        <row r="72">
          <cell r="B72">
            <v>25.75</v>
          </cell>
          <cell r="C72">
            <v>25.112500000000001</v>
          </cell>
          <cell r="D72">
            <v>24.105</v>
          </cell>
          <cell r="E72">
            <v>20.927500000000002</v>
          </cell>
          <cell r="F72">
            <v>24.700000000000003</v>
          </cell>
          <cell r="G72">
            <v>24.217499999999998</v>
          </cell>
          <cell r="H72">
            <v>23.2</v>
          </cell>
          <cell r="I72">
            <v>20.072499999999998</v>
          </cell>
        </row>
      </sheetData>
      <sheetData sheetId="14">
        <row r="14">
          <cell r="B14">
            <v>26.466000000000001</v>
          </cell>
          <cell r="C14">
            <v>25.827999999999996</v>
          </cell>
          <cell r="D14">
            <v>24.772000000000002</v>
          </cell>
          <cell r="E14">
            <v>21.619999999999997</v>
          </cell>
          <cell r="F14">
            <v>25.428000000000001</v>
          </cell>
          <cell r="G14">
            <v>24.928000000000004</v>
          </cell>
          <cell r="H14">
            <v>23.872</v>
          </cell>
          <cell r="I14">
            <v>20.74</v>
          </cell>
        </row>
        <row r="19">
          <cell r="B19">
            <v>26.265000000000001</v>
          </cell>
          <cell r="C19">
            <v>25.779999999999998</v>
          </cell>
          <cell r="D19">
            <v>24.692499999999999</v>
          </cell>
          <cell r="E19">
            <v>21.282499999999999</v>
          </cell>
          <cell r="F19">
            <v>25.337499999999999</v>
          </cell>
          <cell r="G19">
            <v>24.89</v>
          </cell>
          <cell r="H19">
            <v>23.79</v>
          </cell>
          <cell r="I19">
            <v>20.387500000000003</v>
          </cell>
        </row>
        <row r="24">
          <cell r="B24">
            <v>26.432499999999997</v>
          </cell>
          <cell r="C24">
            <v>25.795000000000002</v>
          </cell>
          <cell r="D24">
            <v>24.702500000000001</v>
          </cell>
          <cell r="E24">
            <v>20.9725</v>
          </cell>
          <cell r="F24">
            <v>25.387499999999999</v>
          </cell>
          <cell r="G24">
            <v>24.912500000000001</v>
          </cell>
          <cell r="H24">
            <v>23.817499999999999</v>
          </cell>
          <cell r="I24">
            <v>20.072499999999998</v>
          </cell>
        </row>
        <row r="29">
          <cell r="B29">
            <v>27.737499999999997</v>
          </cell>
          <cell r="C29">
            <v>27.095000000000002</v>
          </cell>
          <cell r="D29">
            <v>25.9925</v>
          </cell>
          <cell r="E29">
            <v>22.090000000000003</v>
          </cell>
          <cell r="F29">
            <v>26.704999999999998</v>
          </cell>
          <cell r="G29">
            <v>26.21</v>
          </cell>
          <cell r="H29">
            <v>25.112499999999997</v>
          </cell>
          <cell r="I29">
            <v>21.2225</v>
          </cell>
        </row>
        <row r="32">
          <cell r="G32">
            <v>27.4</v>
          </cell>
        </row>
        <row r="35">
          <cell r="B35">
            <v>28.566000000000003</v>
          </cell>
          <cell r="C35">
            <v>28.294</v>
          </cell>
          <cell r="D35">
            <v>27.225999999999999</v>
          </cell>
          <cell r="E35">
            <v>23.201999999999998</v>
          </cell>
          <cell r="F35">
            <v>27.931999999999999</v>
          </cell>
          <cell r="G35">
            <v>27.432000000000006</v>
          </cell>
          <cell r="H35">
            <v>26.336000000000002</v>
          </cell>
          <cell r="I35">
            <v>22.294</v>
          </cell>
        </row>
        <row r="40">
          <cell r="B40">
            <v>28.602499999999999</v>
          </cell>
          <cell r="C40">
            <v>27.945</v>
          </cell>
          <cell r="D40">
            <v>26.844999999999999</v>
          </cell>
          <cell r="E40">
            <v>22.965000000000003</v>
          </cell>
          <cell r="F40">
            <v>27.552500000000002</v>
          </cell>
          <cell r="G40">
            <v>27.0625</v>
          </cell>
          <cell r="H40">
            <v>25.967500000000001</v>
          </cell>
          <cell r="I40">
            <v>22.1</v>
          </cell>
        </row>
        <row r="46">
          <cell r="B46">
            <v>28.54</v>
          </cell>
          <cell r="C46">
            <v>27.868000000000002</v>
          </cell>
          <cell r="D46">
            <v>26.774000000000001</v>
          </cell>
          <cell r="E46">
            <v>22.928000000000001</v>
          </cell>
          <cell r="F46">
            <v>27.488</v>
          </cell>
          <cell r="G46">
            <v>26.99</v>
          </cell>
          <cell r="H46">
            <v>25.891999999999996</v>
          </cell>
          <cell r="I46">
            <v>22.095999999999997</v>
          </cell>
        </row>
        <row r="51">
          <cell r="B51">
            <v>28.6</v>
          </cell>
          <cell r="C51">
            <v>27.945</v>
          </cell>
          <cell r="D51">
            <v>26.807499999999997</v>
          </cell>
          <cell r="E51">
            <v>22.9175</v>
          </cell>
          <cell r="F51">
            <v>27.560000000000002</v>
          </cell>
          <cell r="G51">
            <v>27.055</v>
          </cell>
          <cell r="H51">
            <v>25.92</v>
          </cell>
          <cell r="I51">
            <v>22.055</v>
          </cell>
        </row>
        <row r="56">
          <cell r="B56">
            <v>28.857500000000002</v>
          </cell>
          <cell r="C56">
            <v>28.21</v>
          </cell>
          <cell r="D56">
            <v>27.017500000000002</v>
          </cell>
          <cell r="E56">
            <v>23.837499999999999</v>
          </cell>
          <cell r="F56">
            <v>27.8</v>
          </cell>
          <cell r="G56">
            <v>27.310000000000002</v>
          </cell>
          <cell r="H56">
            <v>26.112500000000001</v>
          </cell>
          <cell r="I56">
            <v>22.974999999999998</v>
          </cell>
        </row>
        <row r="62">
          <cell r="B62">
            <v>29.143999999999998</v>
          </cell>
          <cell r="C62">
            <v>28.542000000000002</v>
          </cell>
          <cell r="D62">
            <v>27.355999999999995</v>
          </cell>
          <cell r="E62">
            <v>25.044</v>
          </cell>
          <cell r="F62">
            <v>28.090000000000003</v>
          </cell>
          <cell r="G62">
            <v>27.655999999999999</v>
          </cell>
          <cell r="H62">
            <v>26.477999999999998</v>
          </cell>
          <cell r="I62">
            <v>24.192</v>
          </cell>
        </row>
        <row r="67">
          <cell r="B67">
            <v>26.434999999999999</v>
          </cell>
          <cell r="C67">
            <v>25.87</v>
          </cell>
          <cell r="D67">
            <v>24.675000000000001</v>
          </cell>
          <cell r="E67">
            <v>23.7775</v>
          </cell>
          <cell r="F67">
            <v>25.355</v>
          </cell>
          <cell r="G67">
            <v>24.947500000000002</v>
          </cell>
          <cell r="H67">
            <v>23.75</v>
          </cell>
          <cell r="I67">
            <v>22.872500000000002</v>
          </cell>
        </row>
        <row r="72">
          <cell r="B72">
            <v>24.495000000000001</v>
          </cell>
          <cell r="C72">
            <v>23.81</v>
          </cell>
          <cell r="D72">
            <v>22.62</v>
          </cell>
          <cell r="E72">
            <v>21.597500000000004</v>
          </cell>
          <cell r="F72">
            <v>23.419999999999998</v>
          </cell>
          <cell r="G72">
            <v>22.932499999999997</v>
          </cell>
          <cell r="H72">
            <v>21.737499999999997</v>
          </cell>
          <cell r="I72">
            <v>20.7225</v>
          </cell>
        </row>
      </sheetData>
      <sheetData sheetId="15">
        <row r="14">
          <cell r="B14">
            <v>23.723999999999997</v>
          </cell>
          <cell r="C14">
            <v>23.033999999999999</v>
          </cell>
          <cell r="D14">
            <v>21.868000000000002</v>
          </cell>
          <cell r="E14">
            <v>20.731999999999999</v>
          </cell>
          <cell r="F14">
            <v>22.661999999999999</v>
          </cell>
          <cell r="G14">
            <v>22.166000000000004</v>
          </cell>
          <cell r="H14">
            <v>20.972000000000001</v>
          </cell>
          <cell r="I14">
            <v>19.869999999999997</v>
          </cell>
        </row>
        <row r="19">
          <cell r="B19">
            <v>24.538250000000001</v>
          </cell>
          <cell r="C19">
            <v>23.865000000000002</v>
          </cell>
          <cell r="D19">
            <v>22.675000000000001</v>
          </cell>
          <cell r="E19">
            <v>21.9375</v>
          </cell>
          <cell r="F19">
            <v>23.495000000000001</v>
          </cell>
          <cell r="G19">
            <v>23</v>
          </cell>
          <cell r="H19">
            <v>21.799999999999997</v>
          </cell>
          <cell r="I19">
            <v>21.092500000000001</v>
          </cell>
        </row>
        <row r="24">
          <cell r="B24">
            <v>26.484999999999999</v>
          </cell>
          <cell r="C24">
            <v>25.8</v>
          </cell>
          <cell r="D24">
            <v>24.607500000000002</v>
          </cell>
          <cell r="E24">
            <v>22.7075</v>
          </cell>
          <cell r="F24">
            <v>25.457500000000003</v>
          </cell>
          <cell r="G24">
            <v>24.9375</v>
          </cell>
          <cell r="H24">
            <v>23.747499999999999</v>
          </cell>
          <cell r="I24">
            <v>21.857500000000002</v>
          </cell>
        </row>
        <row r="30">
          <cell r="B30">
            <v>28.48</v>
          </cell>
          <cell r="C30">
            <v>27.818000000000001</v>
          </cell>
          <cell r="D30">
            <v>26.630000000000003</v>
          </cell>
          <cell r="E30">
            <v>22.794000000000004</v>
          </cell>
          <cell r="F30">
            <v>27.436</v>
          </cell>
          <cell r="G30">
            <v>26.954000000000001</v>
          </cell>
          <cell r="H30">
            <v>25.764000000000003</v>
          </cell>
          <cell r="I30">
            <v>21.942</v>
          </cell>
        </row>
        <row r="35">
          <cell r="B35">
            <v>28.537500000000001</v>
          </cell>
          <cell r="C35">
            <v>27.8825</v>
          </cell>
          <cell r="D35">
            <v>26.6875</v>
          </cell>
          <cell r="E35">
            <v>22.83</v>
          </cell>
          <cell r="F35">
            <v>27.482500000000002</v>
          </cell>
          <cell r="G35">
            <v>26.995000000000001</v>
          </cell>
          <cell r="H35">
            <v>25.805</v>
          </cell>
          <cell r="I35">
            <v>21.965000000000003</v>
          </cell>
        </row>
        <row r="40">
          <cell r="B40">
            <v>27.089999999999996</v>
          </cell>
          <cell r="C40">
            <v>26.4375</v>
          </cell>
          <cell r="D40">
            <v>25.252500000000001</v>
          </cell>
          <cell r="E40">
            <v>21.63</v>
          </cell>
          <cell r="F40">
            <v>26.070000000000004</v>
          </cell>
          <cell r="G40">
            <v>25.545000000000002</v>
          </cell>
          <cell r="H40">
            <v>24.352499999999999</v>
          </cell>
          <cell r="I40">
            <v>20.75</v>
          </cell>
        </row>
        <row r="46">
          <cell r="B46">
            <v>27.748000000000001</v>
          </cell>
          <cell r="C46">
            <v>27.129999999999995</v>
          </cell>
          <cell r="D46">
            <v>25.929999999999996</v>
          </cell>
          <cell r="E46">
            <v>21.854000000000003</v>
          </cell>
          <cell r="F46">
            <v>26.706</v>
          </cell>
          <cell r="G46">
            <v>26.234000000000002</v>
          </cell>
          <cell r="H46">
            <v>25.033999999999999</v>
          </cell>
          <cell r="I46">
            <v>20.98</v>
          </cell>
        </row>
        <row r="51">
          <cell r="B51">
            <v>26.687500000000004</v>
          </cell>
          <cell r="C51">
            <v>26.07</v>
          </cell>
          <cell r="D51">
            <v>24.872499999999999</v>
          </cell>
          <cell r="E51">
            <v>21.107500000000002</v>
          </cell>
          <cell r="F51">
            <v>25.635000000000002</v>
          </cell>
          <cell r="G51">
            <v>25.160000000000004</v>
          </cell>
          <cell r="H51">
            <v>23.965</v>
          </cell>
          <cell r="I51">
            <v>20.205000000000002</v>
          </cell>
        </row>
        <row r="57">
          <cell r="B57">
            <v>26.534000000000002</v>
          </cell>
          <cell r="C57">
            <v>25.854000000000003</v>
          </cell>
          <cell r="D57">
            <v>24.659999999999997</v>
          </cell>
          <cell r="E57">
            <v>21.832000000000001</v>
          </cell>
          <cell r="F57">
            <v>25.497999999999998</v>
          </cell>
          <cell r="G57">
            <v>24.982000000000003</v>
          </cell>
          <cell r="H57">
            <v>23.788</v>
          </cell>
          <cell r="I57">
            <v>20.988</v>
          </cell>
        </row>
        <row r="61">
          <cell r="I61">
            <v>21.2</v>
          </cell>
        </row>
        <row r="62">
          <cell r="C62">
            <v>25.612499999999997</v>
          </cell>
          <cell r="D62">
            <v>24.4925</v>
          </cell>
          <cell r="E62">
            <v>22.0625</v>
          </cell>
          <cell r="F62">
            <v>25.21</v>
          </cell>
          <cell r="G62">
            <v>24.715000000000003</v>
          </cell>
          <cell r="H62">
            <v>23.607500000000002</v>
          </cell>
        </row>
        <row r="67">
          <cell r="B67">
            <v>26.164999999999999</v>
          </cell>
          <cell r="C67">
            <v>25.537500000000001</v>
          </cell>
          <cell r="D67">
            <v>24.434999999999995</v>
          </cell>
          <cell r="E67">
            <v>21.795000000000002</v>
          </cell>
          <cell r="F67">
            <v>25.157499999999999</v>
          </cell>
          <cell r="G67">
            <v>24.654999999999998</v>
          </cell>
          <cell r="H67">
            <v>23.57</v>
          </cell>
          <cell r="I67">
            <v>20.932500000000001</v>
          </cell>
        </row>
        <row r="73">
          <cell r="B73">
            <v>25.963999999999999</v>
          </cell>
          <cell r="C73">
            <v>25.387999999999998</v>
          </cell>
          <cell r="D73">
            <v>24.367999999999999</v>
          </cell>
          <cell r="E73">
            <v>21.919999999999998</v>
          </cell>
          <cell r="F73">
            <v>25.026</v>
          </cell>
          <cell r="G73">
            <v>24.544</v>
          </cell>
          <cell r="H73">
            <v>23.536000000000001</v>
          </cell>
          <cell r="I73">
            <v>21.088000000000001</v>
          </cell>
        </row>
      </sheetData>
      <sheetData sheetId="16">
        <row r="13">
          <cell r="B13">
            <v>26.17</v>
          </cell>
          <cell r="C13">
            <v>25.602499999999999</v>
          </cell>
          <cell r="D13">
            <v>24.585000000000001</v>
          </cell>
          <cell r="E13">
            <v>21.934999999999999</v>
          </cell>
          <cell r="F13">
            <v>25.234999999999999</v>
          </cell>
          <cell r="G13">
            <v>24.75</v>
          </cell>
          <cell r="H13">
            <v>23.74</v>
          </cell>
          <cell r="I13">
            <v>21.085000000000001</v>
          </cell>
        </row>
        <row r="18">
          <cell r="B18">
            <v>25.114999999999998</v>
          </cell>
          <cell r="C18">
            <v>24.505000000000003</v>
          </cell>
          <cell r="D18">
            <v>23.479999999999997</v>
          </cell>
          <cell r="E18">
            <v>19.57</v>
          </cell>
          <cell r="F18">
            <v>24.180000000000003</v>
          </cell>
          <cell r="G18">
            <v>23.667499999999997</v>
          </cell>
          <cell r="H18">
            <v>22.652499999999996</v>
          </cell>
          <cell r="I18">
            <v>18.7425</v>
          </cell>
        </row>
        <row r="24">
          <cell r="B24">
            <v>24.146000000000001</v>
          </cell>
          <cell r="C24">
            <v>23.596</v>
          </cell>
          <cell r="D24">
            <v>22.578000000000003</v>
          </cell>
          <cell r="F24">
            <v>23.114000000000004</v>
          </cell>
          <cell r="G24">
            <v>22.624000000000002</v>
          </cell>
          <cell r="H24">
            <v>21.624000000000002</v>
          </cell>
          <cell r="I24">
            <v>17.107999999999997</v>
          </cell>
        </row>
        <row r="29">
          <cell r="B29">
            <v>19.442500000000003</v>
          </cell>
          <cell r="C29">
            <v>18.967500000000001</v>
          </cell>
          <cell r="D29">
            <v>17.955000000000002</v>
          </cell>
          <cell r="E29">
            <v>15.952499999999999</v>
          </cell>
          <cell r="F29">
            <v>18.3</v>
          </cell>
          <cell r="G29">
            <v>17.884999999999998</v>
          </cell>
          <cell r="H29">
            <v>16.872499999999999</v>
          </cell>
          <cell r="I29">
            <v>14.907499999999999</v>
          </cell>
        </row>
        <row r="34">
          <cell r="B34">
            <v>19.362500000000001</v>
          </cell>
          <cell r="C34">
            <v>18.7425</v>
          </cell>
          <cell r="D34">
            <v>17.7075</v>
          </cell>
          <cell r="E34">
            <v>15.058499999999999</v>
          </cell>
          <cell r="F34">
            <v>18.215</v>
          </cell>
          <cell r="G34">
            <v>17.665000000000003</v>
          </cell>
          <cell r="H34">
            <v>16.655000000000001</v>
          </cell>
          <cell r="I34">
            <v>14.092500000000001</v>
          </cell>
        </row>
        <row r="40">
          <cell r="B40">
            <v>21.572146241439718</v>
          </cell>
          <cell r="C40">
            <v>21.08284068662913</v>
          </cell>
          <cell r="D40">
            <v>20.20442521271832</v>
          </cell>
          <cell r="E40">
            <v>16.393826370990659</v>
          </cell>
          <cell r="F40">
            <v>20.482761312371839</v>
          </cell>
          <cell r="G40">
            <v>20.044342195886315</v>
          </cell>
          <cell r="H40">
            <v>19.181410833843643</v>
          </cell>
          <cell r="I40">
            <v>15.340711456501191</v>
          </cell>
        </row>
        <row r="45">
          <cell r="B45">
            <v>23.167788461538464</v>
          </cell>
          <cell r="C45">
            <v>22.552500000000002</v>
          </cell>
          <cell r="D45">
            <v>21.747499999999999</v>
          </cell>
          <cell r="E45">
            <v>17.3825</v>
          </cell>
          <cell r="F45">
            <v>21.928913043478264</v>
          </cell>
          <cell r="G45">
            <v>21.497500000000002</v>
          </cell>
          <cell r="H45">
            <v>20.695</v>
          </cell>
          <cell r="I45">
            <v>16.342499999999998</v>
          </cell>
        </row>
        <row r="51">
          <cell r="D51">
            <v>21.401999999999997</v>
          </cell>
          <cell r="E51">
            <v>17.606000000000002</v>
          </cell>
          <cell r="F51">
            <v>21.657999999999998</v>
          </cell>
          <cell r="H51">
            <v>20.404000000000003</v>
          </cell>
          <cell r="I51">
            <v>16.622</v>
          </cell>
        </row>
        <row r="56">
          <cell r="B56">
            <v>22.634999999999998</v>
          </cell>
          <cell r="C56">
            <v>22.134999999999998</v>
          </cell>
          <cell r="D56">
            <v>21.314999999999998</v>
          </cell>
          <cell r="E56">
            <v>16.509999999999998</v>
          </cell>
          <cell r="F56">
            <v>21.537499999999998</v>
          </cell>
          <cell r="G56">
            <v>21.077500000000001</v>
          </cell>
          <cell r="H56">
            <v>20.282499999999999</v>
          </cell>
          <cell r="I56">
            <v>15.447500000000002</v>
          </cell>
        </row>
        <row r="72">
          <cell r="B72">
            <v>23.41</v>
          </cell>
          <cell r="C72">
            <v>22.757499999999997</v>
          </cell>
          <cell r="D72">
            <v>21.935000000000002</v>
          </cell>
          <cell r="E72">
            <v>18.37</v>
          </cell>
          <cell r="F72">
            <v>22.102499999999999</v>
          </cell>
          <cell r="G72">
            <v>21.604999999999997</v>
          </cell>
          <cell r="H72">
            <v>20.805</v>
          </cell>
          <cell r="I72">
            <v>17.225000000000001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ual"/>
      <sheetName val="GRAFICAS"/>
      <sheetName val="X-SEMANA-AS-SC"/>
      <sheetName val="Promedios-AS"/>
      <sheetName val="X-MES-AS"/>
      <sheetName val="X-SEMANA-SC"/>
      <sheetName val="X-MES-SC"/>
      <sheetName val="ANUALES"/>
      <sheetName val="PRECIOS SC-81-04"/>
    </sheetNames>
    <sheetDataSet>
      <sheetData sheetId="0"/>
      <sheetData sheetId="1"/>
      <sheetData sheetId="2">
        <row r="332">
          <cell r="G332">
            <v>38684</v>
          </cell>
          <cell r="H332">
            <v>24.92</v>
          </cell>
          <cell r="I332">
            <v>24.5</v>
          </cell>
          <cell r="J332">
            <v>24.02</v>
          </cell>
          <cell r="K332">
            <v>20.89</v>
          </cell>
        </row>
        <row r="333">
          <cell r="G333" t="str">
            <v>PROMEDIO</v>
          </cell>
          <cell r="H333">
            <v>26.595000000000002</v>
          </cell>
          <cell r="I333">
            <v>25.952500000000001</v>
          </cell>
          <cell r="J333">
            <v>25.47</v>
          </cell>
          <cell r="K333">
            <v>21.074999999999999</v>
          </cell>
        </row>
        <row r="334">
          <cell r="G334">
            <v>38691</v>
          </cell>
          <cell r="H334">
            <v>24.32</v>
          </cell>
          <cell r="I334">
            <v>23.79</v>
          </cell>
          <cell r="J334">
            <v>23.27</v>
          </cell>
          <cell r="K334">
            <v>20.73</v>
          </cell>
        </row>
        <row r="335">
          <cell r="G335">
            <v>38698</v>
          </cell>
          <cell r="H335">
            <v>24.08</v>
          </cell>
          <cell r="I335">
            <v>23.38</v>
          </cell>
          <cell r="J335">
            <v>22.88</v>
          </cell>
          <cell r="K335">
            <v>20.64</v>
          </cell>
        </row>
        <row r="336">
          <cell r="G336">
            <v>38705</v>
          </cell>
          <cell r="H336">
            <v>23.69</v>
          </cell>
          <cell r="I336">
            <v>23.13</v>
          </cell>
          <cell r="J336">
            <v>22.65</v>
          </cell>
          <cell r="K336">
            <v>20.57</v>
          </cell>
        </row>
        <row r="337">
          <cell r="G337">
            <v>38712</v>
          </cell>
          <cell r="H337">
            <v>23.61</v>
          </cell>
          <cell r="I337">
            <v>22.87</v>
          </cell>
          <cell r="J337">
            <v>22.38</v>
          </cell>
          <cell r="K337">
            <v>20.51</v>
          </cell>
        </row>
        <row r="338">
          <cell r="G338" t="str">
            <v>PROMEDIO</v>
          </cell>
          <cell r="H338">
            <v>23.925000000000001</v>
          </cell>
          <cell r="I338">
            <v>23.2925</v>
          </cell>
          <cell r="J338">
            <v>22.794999999999998</v>
          </cell>
          <cell r="K338">
            <v>20.612500000000001</v>
          </cell>
        </row>
        <row r="340">
          <cell r="G340" t="str">
            <v>AÑO 2006</v>
          </cell>
        </row>
        <row r="341">
          <cell r="G341">
            <v>38719</v>
          </cell>
          <cell r="H341">
            <v>23.53</v>
          </cell>
          <cell r="I341">
            <v>22.82</v>
          </cell>
          <cell r="J341">
            <v>22.31</v>
          </cell>
          <cell r="K341">
            <v>20.309999999999999</v>
          </cell>
        </row>
        <row r="342">
          <cell r="G342">
            <v>38726</v>
          </cell>
          <cell r="H342">
            <v>23.41</v>
          </cell>
          <cell r="I342">
            <v>22.74</v>
          </cell>
          <cell r="J342">
            <v>22.24</v>
          </cell>
          <cell r="K342">
            <v>19.89</v>
          </cell>
        </row>
        <row r="343">
          <cell r="G343">
            <v>38733</v>
          </cell>
          <cell r="H343">
            <v>23.34</v>
          </cell>
          <cell r="I343">
            <v>22.67</v>
          </cell>
          <cell r="J343">
            <v>22.17</v>
          </cell>
          <cell r="K343">
            <v>19.739999999999998</v>
          </cell>
        </row>
        <row r="344">
          <cell r="G344">
            <v>38740</v>
          </cell>
          <cell r="H344">
            <v>23.24</v>
          </cell>
          <cell r="I344">
            <v>22.58</v>
          </cell>
          <cell r="J344">
            <v>22.08</v>
          </cell>
          <cell r="K344">
            <v>19.62</v>
          </cell>
        </row>
        <row r="345">
          <cell r="G345">
            <v>38747</v>
          </cell>
          <cell r="H345">
            <v>23.03</v>
          </cell>
          <cell r="I345">
            <v>22.45</v>
          </cell>
          <cell r="J345">
            <v>21.95</v>
          </cell>
          <cell r="K345">
            <v>19.54</v>
          </cell>
        </row>
        <row r="346">
          <cell r="G346" t="str">
            <v>PROM/Enero06</v>
          </cell>
          <cell r="H346">
            <v>23.31</v>
          </cell>
          <cell r="I346">
            <v>22.652000000000001</v>
          </cell>
          <cell r="J346">
            <v>22.15</v>
          </cell>
          <cell r="K346">
            <v>19.82</v>
          </cell>
        </row>
        <row r="347">
          <cell r="G347">
            <v>38754</v>
          </cell>
          <cell r="H347">
            <v>23.05</v>
          </cell>
          <cell r="I347">
            <v>22.44</v>
          </cell>
          <cell r="J347">
            <v>21.96</v>
          </cell>
          <cell r="K347">
            <v>19.489999999999998</v>
          </cell>
        </row>
        <row r="348">
          <cell r="G348">
            <v>38761</v>
          </cell>
          <cell r="H348">
            <v>23</v>
          </cell>
          <cell r="I348">
            <v>22.39</v>
          </cell>
          <cell r="J348">
            <v>21.91</v>
          </cell>
          <cell r="K348">
            <v>19.37</v>
          </cell>
        </row>
        <row r="349">
          <cell r="G349">
            <v>38768</v>
          </cell>
          <cell r="H349">
            <v>22.97</v>
          </cell>
          <cell r="I349">
            <v>22.32</v>
          </cell>
          <cell r="J349">
            <v>21.82</v>
          </cell>
          <cell r="K349">
            <v>19.21</v>
          </cell>
        </row>
        <row r="350">
          <cell r="G350">
            <v>38775</v>
          </cell>
          <cell r="H350">
            <v>22.88</v>
          </cell>
          <cell r="I350">
            <v>22.25</v>
          </cell>
          <cell r="J350">
            <v>21.77</v>
          </cell>
          <cell r="K350">
            <v>19.05</v>
          </cell>
        </row>
        <row r="351">
          <cell r="G351" t="str">
            <v>PROM/Febrero06</v>
          </cell>
          <cell r="H351">
            <v>22.974999999999998</v>
          </cell>
          <cell r="I351">
            <v>22.35</v>
          </cell>
          <cell r="J351">
            <v>21.864999999999998</v>
          </cell>
          <cell r="K351">
            <v>19.28</v>
          </cell>
        </row>
        <row r="352">
          <cell r="G352">
            <v>38782</v>
          </cell>
          <cell r="H352">
            <v>22.6</v>
          </cell>
          <cell r="I352">
            <v>22.01</v>
          </cell>
          <cell r="J352">
            <v>21.53</v>
          </cell>
          <cell r="K352">
            <v>18.7</v>
          </cell>
        </row>
        <row r="353">
          <cell r="G353">
            <v>38789</v>
          </cell>
          <cell r="H353">
            <v>22.55</v>
          </cell>
          <cell r="I353">
            <v>21.92</v>
          </cell>
          <cell r="J353">
            <v>21.44</v>
          </cell>
          <cell r="K353">
            <v>18.559999999999999</v>
          </cell>
        </row>
        <row r="354">
          <cell r="G354">
            <v>38796</v>
          </cell>
          <cell r="H354">
            <v>22.74</v>
          </cell>
          <cell r="I354">
            <v>22.02</v>
          </cell>
          <cell r="J354">
            <v>21.55</v>
          </cell>
          <cell r="K354">
            <v>18.649999999999999</v>
          </cell>
        </row>
        <row r="355">
          <cell r="G355">
            <v>38803</v>
          </cell>
          <cell r="H355">
            <v>23.5</v>
          </cell>
          <cell r="I355">
            <v>22.69</v>
          </cell>
          <cell r="J355">
            <v>22.22</v>
          </cell>
          <cell r="K355">
            <v>18.940000000000001</v>
          </cell>
        </row>
        <row r="356">
          <cell r="G356" t="str">
            <v>PROM/Marzo06</v>
          </cell>
          <cell r="H356">
            <v>22.8475</v>
          </cell>
          <cell r="I356">
            <v>22.16</v>
          </cell>
          <cell r="J356">
            <v>21.684999999999999</v>
          </cell>
          <cell r="K356">
            <v>18.712499999999999</v>
          </cell>
        </row>
        <row r="357">
          <cell r="G357">
            <v>38810</v>
          </cell>
          <cell r="H357">
            <v>24.91</v>
          </cell>
          <cell r="I357">
            <v>23.48</v>
          </cell>
          <cell r="J357">
            <v>23</v>
          </cell>
          <cell r="K357">
            <v>19.23</v>
          </cell>
        </row>
        <row r="358">
          <cell r="G358">
            <v>38817</v>
          </cell>
          <cell r="H358">
            <v>25.02</v>
          </cell>
          <cell r="I358">
            <v>24.3</v>
          </cell>
          <cell r="J358">
            <v>23.81</v>
          </cell>
          <cell r="K358">
            <v>19.579999999999998</v>
          </cell>
        </row>
        <row r="359">
          <cell r="G359">
            <v>38824</v>
          </cell>
          <cell r="H359">
            <v>25.01</v>
          </cell>
          <cell r="I359">
            <v>24.35</v>
          </cell>
          <cell r="J359">
            <v>23.85</v>
          </cell>
          <cell r="K359">
            <v>19.600000000000001</v>
          </cell>
        </row>
        <row r="360">
          <cell r="G360">
            <v>38831</v>
          </cell>
          <cell r="H360">
            <v>26.49</v>
          </cell>
          <cell r="I360">
            <v>25.78</v>
          </cell>
          <cell r="J360">
            <v>25.28</v>
          </cell>
          <cell r="K360">
            <v>20.09</v>
          </cell>
        </row>
        <row r="361">
          <cell r="G361" t="str">
            <v>PROM/Abril06</v>
          </cell>
          <cell r="H361">
            <v>25.357499999999998</v>
          </cell>
          <cell r="I361">
            <v>24.477499999999999</v>
          </cell>
          <cell r="J361">
            <v>23.984999999999999</v>
          </cell>
          <cell r="K361">
            <v>19.625</v>
          </cell>
        </row>
        <row r="362">
          <cell r="G362">
            <v>38839</v>
          </cell>
          <cell r="H362">
            <v>26.5</v>
          </cell>
          <cell r="I362">
            <v>25.88</v>
          </cell>
          <cell r="J362">
            <v>25.4</v>
          </cell>
          <cell r="K362">
            <v>20.18</v>
          </cell>
        </row>
        <row r="363">
          <cell r="G363">
            <v>38845</v>
          </cell>
          <cell r="H363">
            <v>26.58</v>
          </cell>
          <cell r="I363">
            <v>26.01</v>
          </cell>
          <cell r="J363">
            <v>25.54</v>
          </cell>
          <cell r="K363">
            <v>20.420000000000002</v>
          </cell>
        </row>
        <row r="364">
          <cell r="G364">
            <v>38852</v>
          </cell>
          <cell r="H364">
            <v>28.36</v>
          </cell>
          <cell r="I364">
            <v>27.05</v>
          </cell>
          <cell r="J364">
            <v>26.56</v>
          </cell>
          <cell r="K364">
            <v>20.67</v>
          </cell>
        </row>
        <row r="365">
          <cell r="G365">
            <v>38859</v>
          </cell>
          <cell r="H365">
            <v>28.5</v>
          </cell>
          <cell r="I365">
            <v>27.65</v>
          </cell>
          <cell r="J365">
            <v>27.17</v>
          </cell>
          <cell r="K365">
            <v>20.89</v>
          </cell>
        </row>
        <row r="366">
          <cell r="G366">
            <v>38866</v>
          </cell>
          <cell r="H366">
            <v>28.47</v>
          </cell>
          <cell r="I366">
            <v>27.64</v>
          </cell>
          <cell r="J366">
            <v>27.16</v>
          </cell>
          <cell r="K366">
            <v>20.86</v>
          </cell>
        </row>
        <row r="367">
          <cell r="G367" t="str">
            <v>PROM/Mayo06</v>
          </cell>
          <cell r="H367">
            <v>27.681999999999999</v>
          </cell>
          <cell r="I367">
            <v>26.846000000000004</v>
          </cell>
          <cell r="J367">
            <v>26.366000000000003</v>
          </cell>
          <cell r="K367">
            <v>20.603999999999999</v>
          </cell>
        </row>
        <row r="368">
          <cell r="G368">
            <v>38873</v>
          </cell>
          <cell r="H368">
            <v>28</v>
          </cell>
          <cell r="I368">
            <v>27.34</v>
          </cell>
          <cell r="J368">
            <v>26.85</v>
          </cell>
          <cell r="K368">
            <v>20.81</v>
          </cell>
        </row>
        <row r="369">
          <cell r="G369">
            <v>38880</v>
          </cell>
          <cell r="H369">
            <v>27.93</v>
          </cell>
          <cell r="I369">
            <v>27.22</v>
          </cell>
          <cell r="J369">
            <v>26.73</v>
          </cell>
          <cell r="K369">
            <v>20.76</v>
          </cell>
        </row>
        <row r="370">
          <cell r="G370">
            <v>38887</v>
          </cell>
          <cell r="H370">
            <v>26.95</v>
          </cell>
          <cell r="I370">
            <v>26.32</v>
          </cell>
          <cell r="J370">
            <v>25.8</v>
          </cell>
          <cell r="K370">
            <v>20.62</v>
          </cell>
        </row>
        <row r="371">
          <cell r="G371">
            <v>38894</v>
          </cell>
          <cell r="H371">
            <v>26.88</v>
          </cell>
          <cell r="I371">
            <v>26.18</v>
          </cell>
          <cell r="J371">
            <v>25.66</v>
          </cell>
          <cell r="K371">
            <v>20.57</v>
          </cell>
        </row>
        <row r="372">
          <cell r="G372" t="str">
            <v>PROM/Junio06</v>
          </cell>
          <cell r="H372">
            <v>27.439999999999998</v>
          </cell>
          <cell r="I372">
            <v>26.765000000000001</v>
          </cell>
          <cell r="J372">
            <v>26.259999999999998</v>
          </cell>
          <cell r="K372">
            <v>20.689999999999998</v>
          </cell>
        </row>
        <row r="373">
          <cell r="G373">
            <v>38901</v>
          </cell>
          <cell r="H373">
            <v>26.87</v>
          </cell>
          <cell r="I373">
            <v>26.14</v>
          </cell>
          <cell r="J373">
            <v>25.64</v>
          </cell>
          <cell r="K373">
            <v>20.52</v>
          </cell>
        </row>
        <row r="374">
          <cell r="G374">
            <v>38908</v>
          </cell>
          <cell r="H374">
            <v>26.81</v>
          </cell>
          <cell r="I374">
            <v>26.13</v>
          </cell>
          <cell r="J374">
            <v>25.6</v>
          </cell>
          <cell r="K374">
            <v>20.51</v>
          </cell>
        </row>
        <row r="375">
          <cell r="G375">
            <v>38915</v>
          </cell>
          <cell r="H375">
            <v>26.78</v>
          </cell>
          <cell r="I375">
            <v>26.11</v>
          </cell>
          <cell r="J375">
            <v>25.58</v>
          </cell>
          <cell r="K375">
            <v>20.53</v>
          </cell>
        </row>
        <row r="376">
          <cell r="G376">
            <v>38922</v>
          </cell>
          <cell r="H376">
            <v>27.93</v>
          </cell>
          <cell r="I376">
            <v>27.21</v>
          </cell>
          <cell r="J376">
            <v>26.71</v>
          </cell>
          <cell r="K376">
            <v>21.1</v>
          </cell>
        </row>
        <row r="377">
          <cell r="G377">
            <v>38929</v>
          </cell>
          <cell r="H377">
            <v>27.96</v>
          </cell>
          <cell r="I377">
            <v>27.3</v>
          </cell>
          <cell r="J377">
            <v>26.81</v>
          </cell>
          <cell r="K377">
            <v>21.14</v>
          </cell>
        </row>
        <row r="378">
          <cell r="G378" t="str">
            <v>PROM/Julio06</v>
          </cell>
          <cell r="H378">
            <v>27.270000000000003</v>
          </cell>
          <cell r="I378">
            <v>26.578000000000003</v>
          </cell>
          <cell r="J378">
            <v>26.068000000000001</v>
          </cell>
          <cell r="K378">
            <v>20.759999999999998</v>
          </cell>
        </row>
        <row r="379">
          <cell r="G379">
            <v>38936</v>
          </cell>
          <cell r="H379">
            <v>28.99</v>
          </cell>
          <cell r="I379">
            <v>28.24</v>
          </cell>
          <cell r="J379">
            <v>27.75</v>
          </cell>
          <cell r="K379">
            <v>21.65</v>
          </cell>
        </row>
        <row r="380">
          <cell r="G380">
            <v>38943</v>
          </cell>
          <cell r="H380">
            <v>28.96</v>
          </cell>
          <cell r="I380">
            <v>28.21</v>
          </cell>
          <cell r="J380">
            <v>27.72</v>
          </cell>
          <cell r="K380">
            <v>21.61</v>
          </cell>
        </row>
        <row r="381">
          <cell r="G381">
            <v>38950</v>
          </cell>
          <cell r="H381">
            <v>28.92</v>
          </cell>
          <cell r="I381">
            <v>28.17</v>
          </cell>
          <cell r="J381">
            <v>27.66</v>
          </cell>
          <cell r="K381">
            <v>21.55</v>
          </cell>
        </row>
        <row r="382">
          <cell r="G382">
            <v>38957</v>
          </cell>
          <cell r="H382">
            <v>28.45</v>
          </cell>
          <cell r="I382">
            <v>27.86</v>
          </cell>
          <cell r="J382">
            <v>27.35</v>
          </cell>
          <cell r="K382">
            <v>21.44</v>
          </cell>
        </row>
        <row r="383">
          <cell r="G383" t="str">
            <v>PROM/Agosto06</v>
          </cell>
          <cell r="H383">
            <v>28.830000000000002</v>
          </cell>
          <cell r="I383">
            <v>28.12</v>
          </cell>
          <cell r="J383">
            <v>27.619999999999997</v>
          </cell>
          <cell r="K383">
            <v>21.5625</v>
          </cell>
        </row>
        <row r="384">
          <cell r="G384">
            <v>38964</v>
          </cell>
          <cell r="H384">
            <v>28.43</v>
          </cell>
          <cell r="I384">
            <v>27.75</v>
          </cell>
          <cell r="J384">
            <v>27.22</v>
          </cell>
          <cell r="K384">
            <v>21.38</v>
          </cell>
        </row>
        <row r="385">
          <cell r="G385">
            <v>38971</v>
          </cell>
          <cell r="H385">
            <v>28.41</v>
          </cell>
          <cell r="I385">
            <v>27.68</v>
          </cell>
          <cell r="J385">
            <v>27.17</v>
          </cell>
          <cell r="K385">
            <v>21.33</v>
          </cell>
        </row>
        <row r="386">
          <cell r="G386">
            <v>38978</v>
          </cell>
          <cell r="H386">
            <v>27.03</v>
          </cell>
          <cell r="I386">
            <v>27.11</v>
          </cell>
          <cell r="J386">
            <v>26.59</v>
          </cell>
          <cell r="K386">
            <v>21.04</v>
          </cell>
        </row>
        <row r="387">
          <cell r="G387">
            <v>38985</v>
          </cell>
          <cell r="H387">
            <v>27.02</v>
          </cell>
          <cell r="I387">
            <v>26.6</v>
          </cell>
          <cell r="J387">
            <v>26.09</v>
          </cell>
          <cell r="K387">
            <v>20.87</v>
          </cell>
        </row>
        <row r="388">
          <cell r="G388" t="str">
            <v>PROM/Septiembre06</v>
          </cell>
          <cell r="H388">
            <v>27.7225</v>
          </cell>
          <cell r="I388">
            <v>27.284999999999997</v>
          </cell>
          <cell r="J388">
            <v>26.767500000000002</v>
          </cell>
          <cell r="K388">
            <v>21.154999999999998</v>
          </cell>
        </row>
        <row r="389">
          <cell r="G389">
            <v>38992</v>
          </cell>
          <cell r="H389">
            <v>26.87</v>
          </cell>
          <cell r="I389">
            <v>26.16</v>
          </cell>
          <cell r="J389">
            <v>25.69</v>
          </cell>
          <cell r="K389">
            <v>20.67</v>
          </cell>
        </row>
        <row r="390">
          <cell r="G390">
            <v>38999</v>
          </cell>
          <cell r="H390">
            <v>26.21</v>
          </cell>
          <cell r="I390">
            <v>25.54</v>
          </cell>
          <cell r="J390">
            <v>25.05</v>
          </cell>
          <cell r="K390">
            <v>20.36</v>
          </cell>
        </row>
        <row r="391">
          <cell r="G391">
            <v>39006</v>
          </cell>
          <cell r="H391">
            <v>26.08</v>
          </cell>
          <cell r="I391">
            <v>25.27</v>
          </cell>
          <cell r="J391">
            <v>24.79</v>
          </cell>
          <cell r="K391">
            <v>20.13</v>
          </cell>
        </row>
        <row r="392">
          <cell r="G392">
            <v>39013</v>
          </cell>
          <cell r="H392">
            <v>24.02</v>
          </cell>
          <cell r="I392">
            <v>23.42</v>
          </cell>
          <cell r="J392">
            <v>22.93</v>
          </cell>
          <cell r="K392">
            <v>19.27</v>
          </cell>
        </row>
        <row r="393">
          <cell r="G393">
            <v>39020</v>
          </cell>
          <cell r="H393">
            <v>23.95</v>
          </cell>
          <cell r="I393">
            <v>23.25</v>
          </cell>
          <cell r="J393">
            <v>22.78</v>
          </cell>
          <cell r="K393">
            <v>19.12</v>
          </cell>
        </row>
        <row r="394">
          <cell r="G394" t="str">
            <v>PROM/Octubre06</v>
          </cell>
          <cell r="H394">
            <v>25.425999999999998</v>
          </cell>
          <cell r="I394">
            <v>24.728000000000002</v>
          </cell>
          <cell r="J394">
            <v>24.248000000000001</v>
          </cell>
          <cell r="K394">
            <v>19.91</v>
          </cell>
        </row>
        <row r="395">
          <cell r="G395">
            <v>39027</v>
          </cell>
          <cell r="H395">
            <v>23.91</v>
          </cell>
          <cell r="I395">
            <v>23.24</v>
          </cell>
          <cell r="J395">
            <v>22.76</v>
          </cell>
          <cell r="K395">
            <v>19.059999999999999</v>
          </cell>
        </row>
        <row r="396">
          <cell r="G396">
            <v>39034</v>
          </cell>
          <cell r="H396">
            <v>23.81</v>
          </cell>
          <cell r="I396">
            <v>23.19</v>
          </cell>
          <cell r="J396">
            <v>22.72</v>
          </cell>
          <cell r="K396">
            <v>19</v>
          </cell>
        </row>
        <row r="397">
          <cell r="G397">
            <v>39041</v>
          </cell>
          <cell r="H397">
            <v>23.8</v>
          </cell>
          <cell r="I397">
            <v>23.14</v>
          </cell>
          <cell r="J397">
            <v>22.69</v>
          </cell>
          <cell r="K397">
            <v>18.95</v>
          </cell>
        </row>
        <row r="398">
          <cell r="G398">
            <v>39048</v>
          </cell>
          <cell r="H398">
            <v>23.8</v>
          </cell>
          <cell r="I398">
            <v>23.14</v>
          </cell>
          <cell r="J398">
            <v>22.68</v>
          </cell>
          <cell r="K398">
            <v>18.670000000000002</v>
          </cell>
        </row>
        <row r="399">
          <cell r="G399" t="str">
            <v>PROM/Noviembre06</v>
          </cell>
          <cell r="H399">
            <v>23.83</v>
          </cell>
          <cell r="I399">
            <v>23.177499999999998</v>
          </cell>
          <cell r="J399">
            <v>22.712499999999999</v>
          </cell>
          <cell r="K399">
            <v>18.920000000000002</v>
          </cell>
        </row>
        <row r="400">
          <cell r="G400">
            <v>39055</v>
          </cell>
          <cell r="H400">
            <v>23.76</v>
          </cell>
          <cell r="I400">
            <v>23.08</v>
          </cell>
          <cell r="J400">
            <v>22.57</v>
          </cell>
          <cell r="K400">
            <v>18.47</v>
          </cell>
        </row>
        <row r="401">
          <cell r="G401">
            <v>39062</v>
          </cell>
          <cell r="H401">
            <v>23.73</v>
          </cell>
          <cell r="I401">
            <v>23.07</v>
          </cell>
          <cell r="J401">
            <v>22.56</v>
          </cell>
          <cell r="K401">
            <v>18.55</v>
          </cell>
        </row>
        <row r="402">
          <cell r="G402">
            <v>39069</v>
          </cell>
          <cell r="H402">
            <v>24.01</v>
          </cell>
          <cell r="I402">
            <v>23.22</v>
          </cell>
          <cell r="J402">
            <v>22.71</v>
          </cell>
          <cell r="K402">
            <v>19.059999999999999</v>
          </cell>
        </row>
        <row r="403">
          <cell r="G403">
            <v>39077</v>
          </cell>
          <cell r="H403">
            <v>23.97</v>
          </cell>
          <cell r="I403">
            <v>23.23</v>
          </cell>
          <cell r="J403">
            <v>22.71</v>
          </cell>
          <cell r="K403">
            <v>19.14</v>
          </cell>
        </row>
        <row r="404">
          <cell r="G404" t="str">
            <v>PROM/Noviembre06</v>
          </cell>
          <cell r="H404">
            <v>23.8675</v>
          </cell>
          <cell r="I404">
            <v>23.150000000000002</v>
          </cell>
          <cell r="J404">
            <v>22.637500000000003</v>
          </cell>
          <cell r="K404">
            <v>18.805</v>
          </cell>
        </row>
        <row r="405">
          <cell r="G405" t="str">
            <v>PROMEDIO ANUAL</v>
          </cell>
          <cell r="H405">
            <v>25.546499999999998</v>
          </cell>
          <cell r="I405">
            <v>24.857416666666666</v>
          </cell>
          <cell r="J405">
            <v>24.363708333333335</v>
          </cell>
          <cell r="K405">
            <v>19.986999999999998</v>
          </cell>
        </row>
        <row r="406">
          <cell r="G406" t="str">
            <v>AÑO 2007</v>
          </cell>
        </row>
        <row r="407">
          <cell r="G407">
            <v>39084</v>
          </cell>
          <cell r="H407">
            <v>23.96</v>
          </cell>
          <cell r="I407">
            <v>23.25</v>
          </cell>
          <cell r="J407">
            <v>22.74</v>
          </cell>
          <cell r="K407">
            <v>19.190000000000001</v>
          </cell>
        </row>
        <row r="408">
          <cell r="G408">
            <v>39092</v>
          </cell>
          <cell r="H408">
            <v>23.95</v>
          </cell>
          <cell r="I408">
            <v>23.24</v>
          </cell>
          <cell r="J408">
            <v>22.73</v>
          </cell>
          <cell r="K408">
            <v>19.309999999999999</v>
          </cell>
        </row>
        <row r="409">
          <cell r="G409">
            <v>39099</v>
          </cell>
          <cell r="H409">
            <v>23.57</v>
          </cell>
          <cell r="I409">
            <v>23.05</v>
          </cell>
          <cell r="J409">
            <v>22.55</v>
          </cell>
          <cell r="K409">
            <v>19.05</v>
          </cell>
        </row>
        <row r="410">
          <cell r="G410">
            <v>39106</v>
          </cell>
          <cell r="H410">
            <v>23.52</v>
          </cell>
          <cell r="I410">
            <v>22.86</v>
          </cell>
          <cell r="J410">
            <v>22.34</v>
          </cell>
          <cell r="K410">
            <v>18.73</v>
          </cell>
        </row>
        <row r="411">
          <cell r="G411">
            <v>39113</v>
          </cell>
          <cell r="H411">
            <v>23.11</v>
          </cell>
          <cell r="I411">
            <v>22.57</v>
          </cell>
          <cell r="J411">
            <v>22.06</v>
          </cell>
          <cell r="K411">
            <v>18.149999999999999</v>
          </cell>
        </row>
        <row r="412">
          <cell r="G412" t="str">
            <v>PROM/Enero07</v>
          </cell>
          <cell r="H412">
            <v>23.621999999999996</v>
          </cell>
          <cell r="I412">
            <v>22.994</v>
          </cell>
          <cell r="J412">
            <v>22.484000000000002</v>
          </cell>
          <cell r="K412">
            <v>18.886000000000003</v>
          </cell>
        </row>
        <row r="413">
          <cell r="G413">
            <v>39120</v>
          </cell>
          <cell r="H413">
            <v>22.59</v>
          </cell>
          <cell r="I413">
            <v>22.15</v>
          </cell>
          <cell r="J413">
            <v>21.63</v>
          </cell>
          <cell r="K413">
            <v>17.84</v>
          </cell>
        </row>
        <row r="414">
          <cell r="G414">
            <v>39127</v>
          </cell>
          <cell r="H414">
            <v>22.99</v>
          </cell>
          <cell r="I414">
            <v>22.16</v>
          </cell>
          <cell r="J414">
            <v>21.65</v>
          </cell>
          <cell r="K414">
            <v>17.989999999999998</v>
          </cell>
        </row>
        <row r="415">
          <cell r="G415">
            <v>39134</v>
          </cell>
          <cell r="H415">
            <v>22.56</v>
          </cell>
          <cell r="I415">
            <v>21.96</v>
          </cell>
          <cell r="J415">
            <v>21.44</v>
          </cell>
          <cell r="K415">
            <v>17.89</v>
          </cell>
        </row>
        <row r="416">
          <cell r="G416">
            <v>39141</v>
          </cell>
          <cell r="H416">
            <v>22.46</v>
          </cell>
          <cell r="I416">
            <v>21.88</v>
          </cell>
          <cell r="J416">
            <v>21.37</v>
          </cell>
          <cell r="K416">
            <v>17.82</v>
          </cell>
        </row>
        <row r="417">
          <cell r="G417" t="str">
            <v>PROM/Febrero07</v>
          </cell>
          <cell r="H417">
            <v>22.65</v>
          </cell>
          <cell r="I417">
            <v>22.037500000000001</v>
          </cell>
          <cell r="J417">
            <v>21.522500000000001</v>
          </cell>
          <cell r="K417">
            <v>17.884999999999998</v>
          </cell>
        </row>
        <row r="418">
          <cell r="G418">
            <v>39148</v>
          </cell>
          <cell r="H418">
            <v>23.49</v>
          </cell>
          <cell r="I418">
            <v>22.55</v>
          </cell>
          <cell r="J418">
            <v>22.05</v>
          </cell>
          <cell r="K418">
            <v>18.47</v>
          </cell>
        </row>
        <row r="419">
          <cell r="G419">
            <v>39155</v>
          </cell>
          <cell r="H419">
            <v>23.51</v>
          </cell>
          <cell r="I419">
            <v>22.8</v>
          </cell>
          <cell r="J419">
            <v>22.27</v>
          </cell>
          <cell r="K419">
            <v>18.690000000000001</v>
          </cell>
        </row>
        <row r="420">
          <cell r="G420">
            <v>39162</v>
          </cell>
          <cell r="H420">
            <v>24.48</v>
          </cell>
          <cell r="I420">
            <v>23.35</v>
          </cell>
          <cell r="J420">
            <v>22.82</v>
          </cell>
          <cell r="K420">
            <v>19.11</v>
          </cell>
        </row>
        <row r="421">
          <cell r="G421">
            <v>39169</v>
          </cell>
          <cell r="H421">
            <v>24.51</v>
          </cell>
          <cell r="I421">
            <v>23.81</v>
          </cell>
          <cell r="J421">
            <v>23.29</v>
          </cell>
          <cell r="K421">
            <v>19.48</v>
          </cell>
        </row>
        <row r="422">
          <cell r="G422" t="str">
            <v>PROM/Marzo07</v>
          </cell>
          <cell r="H422">
            <v>23.997500000000002</v>
          </cell>
          <cell r="I422">
            <v>23.127500000000001</v>
          </cell>
          <cell r="J422">
            <v>22.607500000000002</v>
          </cell>
          <cell r="K422">
            <v>18.9375</v>
          </cell>
        </row>
        <row r="423">
          <cell r="G423">
            <v>39176</v>
          </cell>
          <cell r="H423">
            <v>24.97</v>
          </cell>
          <cell r="I423">
            <v>24.2</v>
          </cell>
          <cell r="J423">
            <v>23.69</v>
          </cell>
          <cell r="K423">
            <v>19.829999999999998</v>
          </cell>
        </row>
        <row r="424">
          <cell r="G424">
            <v>39183</v>
          </cell>
          <cell r="H424">
            <v>26.46</v>
          </cell>
          <cell r="I424">
            <v>25.44</v>
          </cell>
          <cell r="J424">
            <v>24.95</v>
          </cell>
          <cell r="K424">
            <v>20.53</v>
          </cell>
        </row>
        <row r="425">
          <cell r="G425">
            <v>39190</v>
          </cell>
          <cell r="H425">
            <v>26.45</v>
          </cell>
          <cell r="I425">
            <v>25.8</v>
          </cell>
          <cell r="J425">
            <v>25.3</v>
          </cell>
          <cell r="K425">
            <v>20.59</v>
          </cell>
        </row>
        <row r="426">
          <cell r="G426">
            <v>39197</v>
          </cell>
          <cell r="H426">
            <v>27.51</v>
          </cell>
          <cell r="I426">
            <v>26.66</v>
          </cell>
          <cell r="J426">
            <v>26.1</v>
          </cell>
          <cell r="K426">
            <v>20.96</v>
          </cell>
        </row>
        <row r="427">
          <cell r="G427" t="str">
            <v>PROM/Abril07</v>
          </cell>
          <cell r="H427">
            <v>26.3475</v>
          </cell>
          <cell r="I427">
            <v>25.524999999999999</v>
          </cell>
          <cell r="J427">
            <v>25.009999999999998</v>
          </cell>
          <cell r="K427">
            <v>20.477499999999999</v>
          </cell>
        </row>
        <row r="428">
          <cell r="G428">
            <v>39204</v>
          </cell>
          <cell r="H428">
            <v>27.88</v>
          </cell>
          <cell r="I428">
            <v>26.99</v>
          </cell>
          <cell r="J428">
            <v>26.4</v>
          </cell>
          <cell r="K428">
            <v>21.03</v>
          </cell>
        </row>
        <row r="429">
          <cell r="G429">
            <v>39211</v>
          </cell>
          <cell r="H429">
            <v>28</v>
          </cell>
          <cell r="I429">
            <v>27.35</v>
          </cell>
          <cell r="J429">
            <v>26.76</v>
          </cell>
          <cell r="K429">
            <v>21.04</v>
          </cell>
        </row>
        <row r="430">
          <cell r="G430">
            <v>39218</v>
          </cell>
          <cell r="H430">
            <v>28.05</v>
          </cell>
          <cell r="I430">
            <v>27.35</v>
          </cell>
          <cell r="J430">
            <v>26.76</v>
          </cell>
          <cell r="K430">
            <v>21.07</v>
          </cell>
        </row>
        <row r="431">
          <cell r="G431">
            <v>39225</v>
          </cell>
          <cell r="H431">
            <v>29.02</v>
          </cell>
          <cell r="I431">
            <v>27.98</v>
          </cell>
          <cell r="J431">
            <v>27.38</v>
          </cell>
          <cell r="K431">
            <v>21.12</v>
          </cell>
        </row>
        <row r="432">
          <cell r="G432">
            <v>39232</v>
          </cell>
          <cell r="H432">
            <v>29.03</v>
          </cell>
          <cell r="I432">
            <v>28.28</v>
          </cell>
          <cell r="J432">
            <v>27.66</v>
          </cell>
          <cell r="K432">
            <v>21.15</v>
          </cell>
        </row>
        <row r="433">
          <cell r="G433" t="str">
            <v>PROM/Mayo07</v>
          </cell>
          <cell r="H433">
            <v>28.395999999999997</v>
          </cell>
          <cell r="I433">
            <v>27.589999999999996</v>
          </cell>
          <cell r="J433">
            <v>26.992000000000001</v>
          </cell>
          <cell r="K433">
            <v>21.082000000000001</v>
          </cell>
        </row>
        <row r="434">
          <cell r="G434">
            <v>39239</v>
          </cell>
          <cell r="H434">
            <v>29.78</v>
          </cell>
          <cell r="I434">
            <v>28.74</v>
          </cell>
          <cell r="J434">
            <v>28.12</v>
          </cell>
          <cell r="K434">
            <v>21.43</v>
          </cell>
        </row>
        <row r="435">
          <cell r="G435">
            <v>39246</v>
          </cell>
          <cell r="H435">
            <v>29.87</v>
          </cell>
          <cell r="I435">
            <v>29.01</v>
          </cell>
          <cell r="J435">
            <v>28.31</v>
          </cell>
          <cell r="K435">
            <v>21.6</v>
          </cell>
        </row>
        <row r="436">
          <cell r="G436">
            <v>39253</v>
          </cell>
          <cell r="H436">
            <v>29.21</v>
          </cell>
          <cell r="I436">
            <v>28.62</v>
          </cell>
          <cell r="J436">
            <v>27.94</v>
          </cell>
          <cell r="K436">
            <v>21.57</v>
          </cell>
        </row>
        <row r="437">
          <cell r="G437">
            <v>39260</v>
          </cell>
          <cell r="H437">
            <v>29.13</v>
          </cell>
          <cell r="I437">
            <v>28.38</v>
          </cell>
          <cell r="J437">
            <v>27.73</v>
          </cell>
          <cell r="K437">
            <v>21.52</v>
          </cell>
        </row>
        <row r="438">
          <cell r="G438" t="str">
            <v>PROM/Junio07</v>
          </cell>
          <cell r="H438">
            <v>29.497500000000002</v>
          </cell>
          <cell r="I438">
            <v>28.6875</v>
          </cell>
          <cell r="J438">
            <v>28.025000000000002</v>
          </cell>
          <cell r="K438">
            <v>21.529999999999998</v>
          </cell>
        </row>
        <row r="439">
          <cell r="G439">
            <v>39267</v>
          </cell>
          <cell r="H439">
            <v>29.05</v>
          </cell>
          <cell r="I439">
            <v>28.32</v>
          </cell>
          <cell r="J439">
            <v>27.66</v>
          </cell>
          <cell r="K439">
            <v>21.48</v>
          </cell>
        </row>
        <row r="440">
          <cell r="G440">
            <v>39274</v>
          </cell>
          <cell r="H440">
            <v>29.06</v>
          </cell>
          <cell r="I440">
            <v>28.32</v>
          </cell>
          <cell r="J440">
            <v>27.66</v>
          </cell>
          <cell r="K440">
            <v>21.52</v>
          </cell>
        </row>
        <row r="441">
          <cell r="G441">
            <v>39281</v>
          </cell>
          <cell r="H441">
            <v>29.08</v>
          </cell>
          <cell r="I441">
            <v>28.31</v>
          </cell>
          <cell r="J441">
            <v>27.65</v>
          </cell>
          <cell r="K441">
            <v>21.53</v>
          </cell>
        </row>
        <row r="442">
          <cell r="G442">
            <v>39288</v>
          </cell>
          <cell r="H442">
            <v>29.58</v>
          </cell>
          <cell r="I442">
            <v>28.67</v>
          </cell>
          <cell r="J442">
            <v>28.1</v>
          </cell>
          <cell r="K442">
            <v>21.96</v>
          </cell>
        </row>
        <row r="443">
          <cell r="G443" t="str">
            <v>PROM/Julio07</v>
          </cell>
          <cell r="H443">
            <v>29.192499999999999</v>
          </cell>
          <cell r="I443">
            <v>28.405000000000001</v>
          </cell>
          <cell r="J443">
            <v>27.767499999999998</v>
          </cell>
          <cell r="K443">
            <v>21.622500000000002</v>
          </cell>
        </row>
        <row r="444">
          <cell r="G444">
            <v>39295</v>
          </cell>
          <cell r="H444">
            <v>29.1</v>
          </cell>
          <cell r="I444">
            <v>28.45</v>
          </cell>
          <cell r="J444">
            <v>27.84</v>
          </cell>
          <cell r="K444">
            <v>22.02</v>
          </cell>
        </row>
        <row r="445">
          <cell r="G445">
            <v>39302</v>
          </cell>
          <cell r="H445">
            <v>28.39</v>
          </cell>
          <cell r="I445">
            <v>27.92</v>
          </cell>
          <cell r="J445">
            <v>27.24</v>
          </cell>
          <cell r="K445">
            <v>21.86</v>
          </cell>
        </row>
        <row r="446">
          <cell r="G446">
            <v>39309</v>
          </cell>
          <cell r="H446">
            <v>28.38</v>
          </cell>
          <cell r="I446">
            <v>27.8</v>
          </cell>
          <cell r="J446">
            <v>27.1</v>
          </cell>
          <cell r="K446">
            <v>21.83</v>
          </cell>
        </row>
        <row r="447">
          <cell r="G447">
            <v>39316</v>
          </cell>
          <cell r="H447">
            <v>28.37</v>
          </cell>
          <cell r="I447">
            <v>27.77</v>
          </cell>
          <cell r="J447">
            <v>27.05</v>
          </cell>
          <cell r="K447">
            <v>21.79</v>
          </cell>
        </row>
        <row r="448">
          <cell r="G448">
            <v>39323</v>
          </cell>
          <cell r="H448">
            <v>28.12</v>
          </cell>
          <cell r="I448">
            <v>27.59</v>
          </cell>
          <cell r="J448">
            <v>26.81</v>
          </cell>
          <cell r="K448">
            <v>21.67</v>
          </cell>
        </row>
        <row r="449">
          <cell r="G449" t="str">
            <v>PROM/Agosto07</v>
          </cell>
          <cell r="H449">
            <v>28.472000000000001</v>
          </cell>
          <cell r="I449">
            <v>27.905999999999999</v>
          </cell>
          <cell r="J449">
            <v>27.207999999999998</v>
          </cell>
          <cell r="K449">
            <v>21.834</v>
          </cell>
        </row>
        <row r="450">
          <cell r="G450">
            <v>39330</v>
          </cell>
          <cell r="H450">
            <v>27.86</v>
          </cell>
          <cell r="I450">
            <v>27.3</v>
          </cell>
          <cell r="J450">
            <v>26.38</v>
          </cell>
          <cell r="K450">
            <v>21.5</v>
          </cell>
        </row>
        <row r="451">
          <cell r="G451">
            <v>39337</v>
          </cell>
          <cell r="H451">
            <v>27.8</v>
          </cell>
          <cell r="I451">
            <v>27.15</v>
          </cell>
          <cell r="J451">
            <v>26.19</v>
          </cell>
          <cell r="K451">
            <v>21.37</v>
          </cell>
        </row>
        <row r="452">
          <cell r="G452">
            <v>39344</v>
          </cell>
          <cell r="H452">
            <v>27.79</v>
          </cell>
          <cell r="I452">
            <v>27.09</v>
          </cell>
          <cell r="J452">
            <v>26.13</v>
          </cell>
          <cell r="K452">
            <v>21.48</v>
          </cell>
        </row>
        <row r="453">
          <cell r="G453">
            <v>39351</v>
          </cell>
          <cell r="H453">
            <v>27.79</v>
          </cell>
          <cell r="I453">
            <v>27.08</v>
          </cell>
          <cell r="J453">
            <v>26.12</v>
          </cell>
          <cell r="K453">
            <v>21.79</v>
          </cell>
        </row>
        <row r="454">
          <cell r="G454" t="str">
            <v>PROM/Septiembre07</v>
          </cell>
          <cell r="H454">
            <v>27.809999999999995</v>
          </cell>
          <cell r="I454">
            <v>27.155000000000001</v>
          </cell>
          <cell r="J454">
            <v>26.205000000000002</v>
          </cell>
          <cell r="K454">
            <v>21.535000000000004</v>
          </cell>
        </row>
        <row r="455">
          <cell r="G455">
            <v>39358</v>
          </cell>
          <cell r="H455">
            <v>28.29</v>
          </cell>
          <cell r="I455">
            <v>27.34</v>
          </cell>
          <cell r="J455">
            <v>26.4</v>
          </cell>
          <cell r="K455">
            <v>22.18</v>
          </cell>
        </row>
        <row r="456">
          <cell r="G456">
            <v>39365</v>
          </cell>
          <cell r="H456">
            <v>28.1</v>
          </cell>
          <cell r="I456">
            <v>27.44</v>
          </cell>
          <cell r="J456">
            <v>26.5</v>
          </cell>
          <cell r="K456">
            <v>22.6</v>
          </cell>
        </row>
        <row r="457">
          <cell r="G457">
            <v>39372</v>
          </cell>
          <cell r="H457">
            <v>28.07</v>
          </cell>
          <cell r="I457">
            <v>27.33</v>
          </cell>
          <cell r="J457">
            <v>26.39</v>
          </cell>
          <cell r="K457">
            <v>22.73</v>
          </cell>
        </row>
        <row r="458">
          <cell r="G458">
            <v>39379</v>
          </cell>
          <cell r="H458">
            <v>28.06</v>
          </cell>
          <cell r="I458">
            <v>27.32</v>
          </cell>
          <cell r="J458">
            <v>26.38</v>
          </cell>
          <cell r="K458">
            <v>23.06</v>
          </cell>
        </row>
        <row r="459">
          <cell r="G459">
            <v>39386</v>
          </cell>
          <cell r="H459">
            <v>28.07</v>
          </cell>
          <cell r="I459">
            <v>27.29</v>
          </cell>
          <cell r="J459">
            <v>26.36</v>
          </cell>
          <cell r="K459">
            <v>23.74</v>
          </cell>
        </row>
        <row r="460">
          <cell r="G460" t="str">
            <v>PROM/Octubre07</v>
          </cell>
          <cell r="H460">
            <v>28.118000000000002</v>
          </cell>
          <cell r="I460">
            <v>27.344000000000001</v>
          </cell>
          <cell r="J460">
            <v>26.405999999999995</v>
          </cell>
          <cell r="K460">
            <v>22.862000000000002</v>
          </cell>
        </row>
        <row r="461">
          <cell r="G461">
            <v>39393</v>
          </cell>
          <cell r="H461">
            <v>28.3</v>
          </cell>
          <cell r="I461">
            <v>27.46</v>
          </cell>
          <cell r="J461">
            <v>26.52</v>
          </cell>
          <cell r="K461">
            <v>24.48</v>
          </cell>
        </row>
        <row r="462">
          <cell r="G462">
            <v>39400</v>
          </cell>
          <cell r="H462">
            <v>29.1</v>
          </cell>
          <cell r="I462">
            <v>28.24</v>
          </cell>
          <cell r="J462">
            <v>27.32</v>
          </cell>
          <cell r="K462">
            <v>25.15</v>
          </cell>
        </row>
        <row r="463">
          <cell r="G463">
            <v>39407</v>
          </cell>
          <cell r="H463">
            <v>29.6</v>
          </cell>
          <cell r="I463">
            <v>28.52</v>
          </cell>
          <cell r="J463">
            <v>27.58</v>
          </cell>
          <cell r="K463">
            <v>25.38</v>
          </cell>
        </row>
        <row r="464">
          <cell r="G464">
            <v>39414</v>
          </cell>
          <cell r="H464">
            <v>29.6</v>
          </cell>
          <cell r="I464">
            <v>28.73</v>
          </cell>
          <cell r="J464">
            <v>27.78</v>
          </cell>
          <cell r="K464">
            <v>25.62</v>
          </cell>
        </row>
        <row r="465">
          <cell r="G465" t="str">
            <v>PROM/Noviembre07</v>
          </cell>
          <cell r="H465">
            <v>29.15</v>
          </cell>
          <cell r="I465">
            <v>28.237500000000001</v>
          </cell>
          <cell r="J465">
            <v>27.3</v>
          </cell>
          <cell r="K465">
            <v>25.157499999999999</v>
          </cell>
        </row>
        <row r="466">
          <cell r="G466">
            <v>39421</v>
          </cell>
          <cell r="H466">
            <v>30.1</v>
          </cell>
          <cell r="I466">
            <v>29.23</v>
          </cell>
          <cell r="J466">
            <v>28.26</v>
          </cell>
          <cell r="K466">
            <v>26.12</v>
          </cell>
        </row>
        <row r="467">
          <cell r="G467">
            <v>39428</v>
          </cell>
          <cell r="H467">
            <v>29.74</v>
          </cell>
          <cell r="I467">
            <v>29.1</v>
          </cell>
          <cell r="J467">
            <v>28.26</v>
          </cell>
          <cell r="K467">
            <v>26.12</v>
          </cell>
        </row>
        <row r="468">
          <cell r="G468">
            <v>39435</v>
          </cell>
          <cell r="H468">
            <v>29.67</v>
          </cell>
          <cell r="I468">
            <v>28.94</v>
          </cell>
          <cell r="J468">
            <v>28.25</v>
          </cell>
          <cell r="K468">
            <v>26.12</v>
          </cell>
        </row>
        <row r="469">
          <cell r="G469">
            <v>39442</v>
          </cell>
          <cell r="H469">
            <v>29.65</v>
          </cell>
          <cell r="I469">
            <v>28.9</v>
          </cell>
          <cell r="J469">
            <v>28.23</v>
          </cell>
          <cell r="K469">
            <v>26.1</v>
          </cell>
        </row>
        <row r="470">
          <cell r="G470" t="str">
            <v>PROM/Diciembre07</v>
          </cell>
          <cell r="H470">
            <v>29.79</v>
          </cell>
          <cell r="I470">
            <v>29.042499999999997</v>
          </cell>
          <cell r="J470">
            <v>28.250000000000004</v>
          </cell>
          <cell r="K470">
            <v>26.115000000000002</v>
          </cell>
        </row>
        <row r="471">
          <cell r="G471" t="str">
            <v>PROMEDIO ANUAL</v>
          </cell>
          <cell r="H471">
            <v>27.253583333333335</v>
          </cell>
          <cell r="I471">
            <v>26.504291666666671</v>
          </cell>
          <cell r="J471">
            <v>25.814791666666668</v>
          </cell>
          <cell r="K471">
            <v>21.493666666666666</v>
          </cell>
        </row>
        <row r="472">
          <cell r="G472" t="str">
            <v>AÑO 2008</v>
          </cell>
        </row>
        <row r="473">
          <cell r="G473">
            <v>39449</v>
          </cell>
          <cell r="H473">
            <v>29.64</v>
          </cell>
          <cell r="I473">
            <v>28.89</v>
          </cell>
          <cell r="J473">
            <v>28.23</v>
          </cell>
          <cell r="K473">
            <v>26.1</v>
          </cell>
        </row>
        <row r="474">
          <cell r="G474">
            <v>39470</v>
          </cell>
          <cell r="H474">
            <v>29.46</v>
          </cell>
          <cell r="I474">
            <v>28.89</v>
          </cell>
          <cell r="J474">
            <v>28.33</v>
          </cell>
          <cell r="K474">
            <v>26.38</v>
          </cell>
        </row>
        <row r="475">
          <cell r="G475" t="str">
            <v>PROM/Enero08</v>
          </cell>
          <cell r="H475">
            <v>29.55</v>
          </cell>
          <cell r="I475">
            <v>28.89</v>
          </cell>
          <cell r="J475">
            <v>28.28</v>
          </cell>
          <cell r="K475">
            <v>26.240000000000002</v>
          </cell>
        </row>
        <row r="476">
          <cell r="G476">
            <v>39496</v>
          </cell>
          <cell r="H476">
            <v>29.48</v>
          </cell>
          <cell r="I476">
            <v>28.72</v>
          </cell>
          <cell r="J476">
            <v>28.2</v>
          </cell>
          <cell r="K476">
            <v>26.3</v>
          </cell>
        </row>
        <row r="477">
          <cell r="G477">
            <v>39503</v>
          </cell>
          <cell r="H477">
            <v>29.42</v>
          </cell>
          <cell r="I477">
            <v>28.69</v>
          </cell>
          <cell r="J477">
            <v>28.16</v>
          </cell>
          <cell r="K477">
            <v>26.32</v>
          </cell>
        </row>
        <row r="478">
          <cell r="G478" t="str">
            <v>PROM/Febrero08</v>
          </cell>
          <cell r="H478">
            <v>29.450000000000003</v>
          </cell>
          <cell r="I478">
            <v>28.704999999999998</v>
          </cell>
          <cell r="J478">
            <v>28.18</v>
          </cell>
          <cell r="K478">
            <v>26.310000000000002</v>
          </cell>
        </row>
        <row r="479">
          <cell r="G479">
            <v>39510</v>
          </cell>
          <cell r="H479">
            <v>30</v>
          </cell>
          <cell r="I479">
            <v>29.11</v>
          </cell>
          <cell r="J479">
            <v>28.6</v>
          </cell>
          <cell r="K479">
            <v>26.86</v>
          </cell>
        </row>
        <row r="480">
          <cell r="G480">
            <v>39517</v>
          </cell>
          <cell r="H480">
            <v>31.02</v>
          </cell>
          <cell r="I480">
            <v>30.12</v>
          </cell>
          <cell r="J480">
            <v>29.65</v>
          </cell>
          <cell r="K480">
            <v>27.93</v>
          </cell>
        </row>
        <row r="481">
          <cell r="G481">
            <v>39524</v>
          </cell>
          <cell r="H481">
            <v>31.03</v>
          </cell>
          <cell r="I481">
            <v>30.27</v>
          </cell>
          <cell r="J481">
            <v>29.78</v>
          </cell>
          <cell r="K481">
            <v>28.06</v>
          </cell>
        </row>
        <row r="482">
          <cell r="G482">
            <v>39531</v>
          </cell>
          <cell r="H482">
            <v>31.04</v>
          </cell>
          <cell r="I482">
            <v>30.3</v>
          </cell>
          <cell r="J482">
            <v>29.81</v>
          </cell>
          <cell r="K482">
            <v>28.15</v>
          </cell>
        </row>
        <row r="483">
          <cell r="G483">
            <v>39538</v>
          </cell>
          <cell r="H483">
            <v>31.07</v>
          </cell>
          <cell r="I483">
            <v>30.38</v>
          </cell>
          <cell r="J483">
            <v>29.89</v>
          </cell>
          <cell r="K483">
            <v>29.21</v>
          </cell>
        </row>
        <row r="484">
          <cell r="G484" t="str">
            <v>PROM/Marzo08</v>
          </cell>
          <cell r="H484">
            <v>30.832000000000001</v>
          </cell>
          <cell r="I484">
            <v>30.036000000000001</v>
          </cell>
          <cell r="J484">
            <v>29.546000000000003</v>
          </cell>
          <cell r="K484">
            <v>28.042000000000002</v>
          </cell>
        </row>
        <row r="485">
          <cell r="G485">
            <v>39545</v>
          </cell>
          <cell r="H485">
            <v>32.340000000000003</v>
          </cell>
          <cell r="I485">
            <v>31.5</v>
          </cell>
          <cell r="J485">
            <v>30.78</v>
          </cell>
          <cell r="K485">
            <v>30.34</v>
          </cell>
        </row>
        <row r="486">
          <cell r="G486">
            <v>39552</v>
          </cell>
          <cell r="H486">
            <v>32.29</v>
          </cell>
          <cell r="I486">
            <v>31.51</v>
          </cell>
          <cell r="J486">
            <v>30.77</v>
          </cell>
          <cell r="K486">
            <v>30.34</v>
          </cell>
        </row>
        <row r="487">
          <cell r="G487">
            <v>39559</v>
          </cell>
          <cell r="H487">
            <v>32.409999999999997</v>
          </cell>
          <cell r="I487">
            <v>31.71</v>
          </cell>
          <cell r="J487">
            <v>31.02</v>
          </cell>
          <cell r="K487">
            <v>30.73</v>
          </cell>
        </row>
        <row r="488">
          <cell r="G488">
            <v>39566</v>
          </cell>
          <cell r="H488">
            <v>32.770000000000003</v>
          </cell>
          <cell r="I488">
            <v>32.049999999999997</v>
          </cell>
          <cell r="J488">
            <v>31.37</v>
          </cell>
          <cell r="K488">
            <v>31.32</v>
          </cell>
        </row>
        <row r="489">
          <cell r="G489" t="str">
            <v>PROM/Abril08</v>
          </cell>
          <cell r="H489">
            <v>32.452500000000001</v>
          </cell>
          <cell r="I489">
            <v>31.692499999999999</v>
          </cell>
          <cell r="J489">
            <v>30.984999999999999</v>
          </cell>
          <cell r="K489">
            <v>30.682499999999997</v>
          </cell>
        </row>
        <row r="490">
          <cell r="G490">
            <v>39573</v>
          </cell>
          <cell r="H490">
            <v>32.79</v>
          </cell>
          <cell r="I490">
            <v>32.119999999999997</v>
          </cell>
          <cell r="J490">
            <v>31.46</v>
          </cell>
          <cell r="K490">
            <v>31.56</v>
          </cell>
        </row>
        <row r="491">
          <cell r="G491">
            <v>39580</v>
          </cell>
          <cell r="H491">
            <v>33.76</v>
          </cell>
          <cell r="I491">
            <v>32.979999999999997</v>
          </cell>
          <cell r="J491">
            <v>32.299999999999997</v>
          </cell>
          <cell r="K491">
            <v>32.08</v>
          </cell>
        </row>
        <row r="492">
          <cell r="G492">
            <v>39587</v>
          </cell>
          <cell r="H492">
            <v>33.76</v>
          </cell>
          <cell r="I492">
            <v>33.049999999999997</v>
          </cell>
          <cell r="J492">
            <v>32.36</v>
          </cell>
          <cell r="K492">
            <v>32.54</v>
          </cell>
        </row>
        <row r="493">
          <cell r="G493">
            <v>39594</v>
          </cell>
          <cell r="H493">
            <v>35.4</v>
          </cell>
          <cell r="I493">
            <v>34.340000000000003</v>
          </cell>
          <cell r="J493">
            <v>33.630000000000003</v>
          </cell>
          <cell r="K493">
            <v>34.1</v>
          </cell>
        </row>
        <row r="494">
          <cell r="G494" t="str">
            <v>PROM/Mayo08</v>
          </cell>
          <cell r="H494">
            <v>33.927500000000002</v>
          </cell>
          <cell r="I494">
            <v>33.122500000000002</v>
          </cell>
          <cell r="J494">
            <v>32.4375</v>
          </cell>
          <cell r="K494">
            <v>32.57</v>
          </cell>
        </row>
        <row r="495">
          <cell r="G495">
            <v>39601</v>
          </cell>
          <cell r="H495">
            <v>35.950000000000003</v>
          </cell>
          <cell r="I495">
            <v>34.92</v>
          </cell>
          <cell r="J495">
            <v>34.24</v>
          </cell>
          <cell r="K495">
            <v>35.4</v>
          </cell>
        </row>
        <row r="496">
          <cell r="G496">
            <v>39608</v>
          </cell>
          <cell r="H496">
            <v>35.97</v>
          </cell>
          <cell r="I496">
            <v>35.17</v>
          </cell>
          <cell r="J496">
            <v>34.46</v>
          </cell>
          <cell r="K496">
            <v>35.880000000000003</v>
          </cell>
        </row>
        <row r="497">
          <cell r="G497">
            <v>39615</v>
          </cell>
          <cell r="H497">
            <v>36.840000000000003</v>
          </cell>
          <cell r="I497">
            <v>35.97</v>
          </cell>
          <cell r="J497">
            <v>35.270000000000003</v>
          </cell>
          <cell r="K497">
            <v>37.14</v>
          </cell>
        </row>
        <row r="498">
          <cell r="G498">
            <v>39622</v>
          </cell>
          <cell r="H498">
            <v>36.78</v>
          </cell>
          <cell r="I498">
            <v>35.97</v>
          </cell>
          <cell r="J498">
            <v>35.31</v>
          </cell>
          <cell r="K498">
            <v>37.17</v>
          </cell>
        </row>
        <row r="499">
          <cell r="G499" t="str">
            <v>PROM/Junio08</v>
          </cell>
          <cell r="H499">
            <v>36.385000000000005</v>
          </cell>
          <cell r="I499">
            <v>35.5075</v>
          </cell>
          <cell r="J499">
            <v>34.82</v>
          </cell>
          <cell r="K499">
            <v>36.397500000000001</v>
          </cell>
        </row>
        <row r="500">
          <cell r="G500">
            <v>39631</v>
          </cell>
          <cell r="H500">
            <v>37.270000000000003</v>
          </cell>
          <cell r="I500">
            <v>36.25</v>
          </cell>
          <cell r="J500">
            <v>35.630000000000003</v>
          </cell>
          <cell r="K500">
            <v>37.21</v>
          </cell>
        </row>
        <row r="501">
          <cell r="G501">
            <v>39636</v>
          </cell>
          <cell r="H501">
            <v>37.29</v>
          </cell>
          <cell r="I501">
            <v>36.44</v>
          </cell>
          <cell r="J501">
            <v>35.78</v>
          </cell>
          <cell r="K501">
            <v>37.17</v>
          </cell>
        </row>
        <row r="502">
          <cell r="G502">
            <v>39643</v>
          </cell>
          <cell r="H502">
            <v>37.26</v>
          </cell>
          <cell r="I502">
            <v>36.46</v>
          </cell>
          <cell r="J502">
            <v>35.81</v>
          </cell>
          <cell r="K502">
            <v>37.15</v>
          </cell>
        </row>
        <row r="503">
          <cell r="G503">
            <v>39650</v>
          </cell>
          <cell r="H503">
            <v>37.24</v>
          </cell>
          <cell r="I503">
            <v>36.47</v>
          </cell>
          <cell r="J503">
            <v>35.799999999999997</v>
          </cell>
          <cell r="K503">
            <v>37.15</v>
          </cell>
        </row>
        <row r="504">
          <cell r="G504">
            <v>39657</v>
          </cell>
          <cell r="H504">
            <v>37.21</v>
          </cell>
          <cell r="I504">
            <v>36.479999999999997</v>
          </cell>
          <cell r="J504">
            <v>35.81</v>
          </cell>
          <cell r="K504">
            <v>37.159999999999997</v>
          </cell>
        </row>
        <row r="505">
          <cell r="G505" t="str">
            <v>PROM/Julio08</v>
          </cell>
          <cell r="H505">
            <v>37.254000000000005</v>
          </cell>
          <cell r="I505">
            <v>36.42</v>
          </cell>
          <cell r="J505">
            <v>35.765999999999998</v>
          </cell>
          <cell r="K505">
            <v>37.167999999999999</v>
          </cell>
        </row>
        <row r="506">
          <cell r="G506">
            <v>39664</v>
          </cell>
          <cell r="H506">
            <v>36.700000000000003</v>
          </cell>
          <cell r="I506">
            <v>35.950000000000003</v>
          </cell>
          <cell r="J506">
            <v>35.26</v>
          </cell>
          <cell r="K506">
            <v>36.54</v>
          </cell>
        </row>
        <row r="507">
          <cell r="G507">
            <v>39671</v>
          </cell>
          <cell r="H507">
            <v>36.71</v>
          </cell>
          <cell r="I507">
            <v>35.869999999999997</v>
          </cell>
          <cell r="J507">
            <v>35.200000000000003</v>
          </cell>
          <cell r="K507">
            <v>35.869999999999997</v>
          </cell>
        </row>
        <row r="508">
          <cell r="G508">
            <v>39678</v>
          </cell>
          <cell r="H508">
            <v>36.770000000000003</v>
          </cell>
          <cell r="I508">
            <v>35.840000000000003</v>
          </cell>
          <cell r="J508">
            <v>35.14</v>
          </cell>
          <cell r="K508">
            <v>34.76</v>
          </cell>
        </row>
        <row r="509">
          <cell r="G509">
            <v>39685</v>
          </cell>
          <cell r="H509">
            <v>36.299999999999997</v>
          </cell>
          <cell r="I509">
            <v>35.44</v>
          </cell>
          <cell r="J509">
            <v>34.89</v>
          </cell>
          <cell r="K509">
            <v>34.18</v>
          </cell>
        </row>
        <row r="510">
          <cell r="G510" t="str">
            <v>PROM/Agosto08</v>
          </cell>
          <cell r="H510">
            <v>36.620000000000005</v>
          </cell>
          <cell r="I510">
            <v>35.774999999999999</v>
          </cell>
          <cell r="J510">
            <v>35.122500000000002</v>
          </cell>
          <cell r="K510">
            <v>35.337499999999999</v>
          </cell>
        </row>
        <row r="511">
          <cell r="G511">
            <v>39692</v>
          </cell>
          <cell r="H511">
            <v>36.29</v>
          </cell>
          <cell r="I511">
            <v>35.340000000000003</v>
          </cell>
          <cell r="J511">
            <v>34.83</v>
          </cell>
          <cell r="K511">
            <v>33.6</v>
          </cell>
        </row>
        <row r="512">
          <cell r="G512">
            <v>39699</v>
          </cell>
          <cell r="H512">
            <v>36.14</v>
          </cell>
          <cell r="I512">
            <v>35.1</v>
          </cell>
          <cell r="J512">
            <v>34.47</v>
          </cell>
          <cell r="K512">
            <v>33.409999999999997</v>
          </cell>
        </row>
        <row r="513">
          <cell r="G513">
            <v>39707</v>
          </cell>
          <cell r="H513">
            <v>35.83</v>
          </cell>
          <cell r="I513">
            <v>34.770000000000003</v>
          </cell>
          <cell r="J513">
            <v>34.11</v>
          </cell>
          <cell r="K513">
            <v>33.03</v>
          </cell>
        </row>
        <row r="514">
          <cell r="G514">
            <v>39713</v>
          </cell>
          <cell r="H514">
            <v>35.83</v>
          </cell>
          <cell r="I514">
            <v>34.69</v>
          </cell>
          <cell r="J514">
            <v>34.03</v>
          </cell>
          <cell r="K514">
            <v>32.51</v>
          </cell>
        </row>
        <row r="515">
          <cell r="G515">
            <v>39720</v>
          </cell>
          <cell r="H515">
            <v>35.28</v>
          </cell>
          <cell r="I515">
            <v>34.26</v>
          </cell>
          <cell r="J515">
            <v>33.56</v>
          </cell>
          <cell r="K515">
            <v>31.82</v>
          </cell>
        </row>
        <row r="516">
          <cell r="G516" t="str">
            <v>PROM/Septiembre08</v>
          </cell>
          <cell r="H516">
            <v>35.874000000000002</v>
          </cell>
          <cell r="I516">
            <v>34.832000000000001</v>
          </cell>
          <cell r="J516">
            <v>34.200000000000003</v>
          </cell>
          <cell r="K516">
            <v>32.873999999999995</v>
          </cell>
        </row>
        <row r="517">
          <cell r="G517">
            <v>39727</v>
          </cell>
          <cell r="H517">
            <v>35.19</v>
          </cell>
          <cell r="I517">
            <v>34.01</v>
          </cell>
          <cell r="J517">
            <v>33.33</v>
          </cell>
          <cell r="K517">
            <v>31.48</v>
          </cell>
        </row>
        <row r="518">
          <cell r="G518">
            <v>39734</v>
          </cell>
          <cell r="H518">
            <v>33.56</v>
          </cell>
          <cell r="I518">
            <v>32.5</v>
          </cell>
          <cell r="J518">
            <v>31.81</v>
          </cell>
          <cell r="K518">
            <v>30.18</v>
          </cell>
        </row>
        <row r="519">
          <cell r="G519">
            <v>39742</v>
          </cell>
          <cell r="H519">
            <v>31.31</v>
          </cell>
          <cell r="I519">
            <v>30.06</v>
          </cell>
          <cell r="J519">
            <v>29.12</v>
          </cell>
          <cell r="K519">
            <v>28.45</v>
          </cell>
        </row>
        <row r="520">
          <cell r="G520">
            <v>39748</v>
          </cell>
          <cell r="H520">
            <v>29.87</v>
          </cell>
          <cell r="I520">
            <v>28.57</v>
          </cell>
          <cell r="J520">
            <v>27.64</v>
          </cell>
          <cell r="K520">
            <v>27.27</v>
          </cell>
        </row>
        <row r="521">
          <cell r="G521" t="str">
            <v>PROM/Octubre08</v>
          </cell>
          <cell r="H521">
            <v>32.482500000000002</v>
          </cell>
          <cell r="I521">
            <v>31.284999999999997</v>
          </cell>
          <cell r="J521">
            <v>30.475000000000001</v>
          </cell>
          <cell r="K521">
            <v>29.344999999999999</v>
          </cell>
        </row>
        <row r="522">
          <cell r="G522">
            <v>39755</v>
          </cell>
          <cell r="H522">
            <v>28.8</v>
          </cell>
          <cell r="I522">
            <v>27.5</v>
          </cell>
          <cell r="J522">
            <v>26.58</v>
          </cell>
          <cell r="K522">
            <v>26.5</v>
          </cell>
        </row>
        <row r="523">
          <cell r="G523">
            <v>39762</v>
          </cell>
          <cell r="H523">
            <v>27.91</v>
          </cell>
          <cell r="I523">
            <v>26.73</v>
          </cell>
          <cell r="J523">
            <v>25.79</v>
          </cell>
          <cell r="K523">
            <v>25.73</v>
          </cell>
        </row>
        <row r="524">
          <cell r="G524">
            <v>39769</v>
          </cell>
          <cell r="H524">
            <v>26.95</v>
          </cell>
          <cell r="I524">
            <v>25.98</v>
          </cell>
          <cell r="J524">
            <v>25.03</v>
          </cell>
          <cell r="K524">
            <v>24.81</v>
          </cell>
        </row>
        <row r="525">
          <cell r="G525">
            <v>39776</v>
          </cell>
          <cell r="H525">
            <v>26.15</v>
          </cell>
          <cell r="I525">
            <v>24.95</v>
          </cell>
          <cell r="J525">
            <v>24</v>
          </cell>
          <cell r="K525">
            <v>23.82</v>
          </cell>
        </row>
        <row r="526">
          <cell r="G526" t="str">
            <v>PROM/Noviembre08</v>
          </cell>
          <cell r="H526">
            <v>27.452500000000001</v>
          </cell>
          <cell r="I526">
            <v>26.290000000000003</v>
          </cell>
          <cell r="J526">
            <v>25.35</v>
          </cell>
          <cell r="K526">
            <v>25.215000000000003</v>
          </cell>
        </row>
        <row r="527">
          <cell r="G527">
            <v>39783</v>
          </cell>
          <cell r="H527">
            <v>25.11</v>
          </cell>
          <cell r="I527">
            <v>23.83</v>
          </cell>
          <cell r="J527">
            <v>23.11</v>
          </cell>
          <cell r="K527">
            <v>22.9</v>
          </cell>
        </row>
        <row r="528">
          <cell r="G528">
            <v>39790</v>
          </cell>
          <cell r="H528">
            <v>24.07</v>
          </cell>
          <cell r="I528">
            <v>22.92</v>
          </cell>
          <cell r="J528">
            <v>22.22</v>
          </cell>
          <cell r="K528">
            <v>21.82</v>
          </cell>
        </row>
        <row r="529">
          <cell r="G529">
            <v>39797</v>
          </cell>
          <cell r="H529">
            <v>23.75</v>
          </cell>
          <cell r="I529">
            <v>22.47</v>
          </cell>
          <cell r="J529">
            <v>21.74</v>
          </cell>
          <cell r="K529">
            <v>21.13</v>
          </cell>
        </row>
        <row r="530">
          <cell r="G530">
            <v>39804</v>
          </cell>
          <cell r="H530">
            <v>23.25</v>
          </cell>
          <cell r="I530">
            <v>22.03</v>
          </cell>
          <cell r="J530">
            <v>21.35</v>
          </cell>
          <cell r="K530">
            <v>20.37</v>
          </cell>
        </row>
        <row r="531">
          <cell r="G531">
            <v>39811</v>
          </cell>
          <cell r="H531">
            <v>22.82</v>
          </cell>
          <cell r="I531">
            <v>21.48</v>
          </cell>
          <cell r="J531">
            <v>20.62</v>
          </cell>
          <cell r="K531">
            <v>19.84</v>
          </cell>
        </row>
        <row r="532">
          <cell r="G532" t="str">
            <v>PROM/Diciembre08</v>
          </cell>
          <cell r="H532">
            <v>23.8</v>
          </cell>
          <cell r="I532">
            <v>22.545999999999999</v>
          </cell>
          <cell r="J532">
            <v>21.808</v>
          </cell>
          <cell r="K532">
            <v>21.212</v>
          </cell>
        </row>
        <row r="533">
          <cell r="G533" t="str">
            <v>PROMEDIO ANUAL08</v>
          </cell>
          <cell r="H533">
            <v>32.173333333333339</v>
          </cell>
          <cell r="I533">
            <v>31.258458333333333</v>
          </cell>
          <cell r="J533">
            <v>30.580833333333334</v>
          </cell>
          <cell r="K533">
            <v>30.116125</v>
          </cell>
        </row>
        <row r="534">
          <cell r="G534" t="str">
            <v>AÑO 2009</v>
          </cell>
        </row>
        <row r="535">
          <cell r="G535">
            <v>39818</v>
          </cell>
          <cell r="H535">
            <v>22.79</v>
          </cell>
          <cell r="I535">
            <v>21.52</v>
          </cell>
          <cell r="J535">
            <v>20.64</v>
          </cell>
          <cell r="K535">
            <v>19.760000000000002</v>
          </cell>
        </row>
        <row r="536">
          <cell r="G536">
            <v>39825</v>
          </cell>
          <cell r="H536">
            <v>22.92</v>
          </cell>
          <cell r="I536">
            <v>21.65</v>
          </cell>
          <cell r="J536">
            <v>20.74</v>
          </cell>
          <cell r="K536">
            <v>19.670000000000002</v>
          </cell>
        </row>
        <row r="537">
          <cell r="G537">
            <v>39832</v>
          </cell>
          <cell r="H537">
            <v>22.91</v>
          </cell>
          <cell r="I537">
            <v>21.67</v>
          </cell>
          <cell r="J537">
            <v>20.77</v>
          </cell>
          <cell r="K537">
            <v>19.600000000000001</v>
          </cell>
        </row>
        <row r="538">
          <cell r="G538">
            <v>39839</v>
          </cell>
          <cell r="H538">
            <v>22.83</v>
          </cell>
          <cell r="I538">
            <v>21.46</v>
          </cell>
          <cell r="J538">
            <v>20.55</v>
          </cell>
          <cell r="K538">
            <v>19.010000000000002</v>
          </cell>
        </row>
        <row r="539">
          <cell r="G539" t="str">
            <v>PROM/Enero09</v>
          </cell>
          <cell r="H539">
            <v>22.862500000000001</v>
          </cell>
          <cell r="I539">
            <v>21.575000000000003</v>
          </cell>
          <cell r="J539">
            <v>20.674999999999997</v>
          </cell>
          <cell r="K539">
            <v>19.510000000000002</v>
          </cell>
        </row>
        <row r="540">
          <cell r="G540">
            <v>39846</v>
          </cell>
          <cell r="H540">
            <v>22.77</v>
          </cell>
          <cell r="I540">
            <v>21.38</v>
          </cell>
          <cell r="J540">
            <v>20.49</v>
          </cell>
          <cell r="K540">
            <v>18.48</v>
          </cell>
        </row>
        <row r="541">
          <cell r="G541">
            <v>39853</v>
          </cell>
          <cell r="H541">
            <v>22.73</v>
          </cell>
          <cell r="I541">
            <v>21.35</v>
          </cell>
          <cell r="J541">
            <v>20.47</v>
          </cell>
          <cell r="K541">
            <v>18.38</v>
          </cell>
        </row>
        <row r="542">
          <cell r="G542">
            <v>39860</v>
          </cell>
          <cell r="H542">
            <v>22.68</v>
          </cell>
          <cell r="I542">
            <v>21.33</v>
          </cell>
          <cell r="J542">
            <v>20.440000000000001</v>
          </cell>
          <cell r="K542">
            <v>18.329999999999998</v>
          </cell>
        </row>
        <row r="543">
          <cell r="G543">
            <v>39867</v>
          </cell>
          <cell r="H543">
            <v>22.66</v>
          </cell>
          <cell r="I543">
            <v>21.35</v>
          </cell>
          <cell r="J543">
            <v>20.45</v>
          </cell>
          <cell r="K543">
            <v>18.21</v>
          </cell>
        </row>
        <row r="544">
          <cell r="G544" t="str">
            <v>PROM/Febrero09</v>
          </cell>
          <cell r="H544">
            <v>22.71</v>
          </cell>
          <cell r="I544">
            <v>21.352499999999999</v>
          </cell>
          <cell r="J544">
            <v>20.462499999999999</v>
          </cell>
          <cell r="K544">
            <v>18.350000000000001</v>
          </cell>
        </row>
        <row r="545">
          <cell r="G545">
            <v>39874</v>
          </cell>
          <cell r="H545">
            <v>22.66</v>
          </cell>
          <cell r="I545">
            <v>21.32</v>
          </cell>
          <cell r="J545">
            <v>20.420000000000002</v>
          </cell>
          <cell r="K545">
            <v>17.72</v>
          </cell>
        </row>
        <row r="546">
          <cell r="G546">
            <v>39881</v>
          </cell>
          <cell r="H546">
            <v>22.39</v>
          </cell>
          <cell r="I546">
            <v>21.16</v>
          </cell>
          <cell r="J546">
            <v>20.29</v>
          </cell>
          <cell r="K546">
            <v>17.350000000000001</v>
          </cell>
        </row>
        <row r="547">
          <cell r="G547">
            <v>39888</v>
          </cell>
          <cell r="H547">
            <v>22.38</v>
          </cell>
          <cell r="I547">
            <v>21.03</v>
          </cell>
          <cell r="J547">
            <v>20.16</v>
          </cell>
          <cell r="K547">
            <v>17.190000000000001</v>
          </cell>
        </row>
        <row r="548">
          <cell r="G548">
            <v>39895</v>
          </cell>
          <cell r="H548">
            <v>22.3</v>
          </cell>
          <cell r="I548">
            <v>20.91</v>
          </cell>
          <cell r="J548">
            <v>20.04</v>
          </cell>
          <cell r="K548">
            <v>16.88</v>
          </cell>
        </row>
        <row r="549">
          <cell r="G549">
            <v>39902</v>
          </cell>
          <cell r="H549">
            <v>22.2</v>
          </cell>
          <cell r="I549">
            <v>20.84</v>
          </cell>
          <cell r="J549">
            <v>19.98</v>
          </cell>
          <cell r="K549">
            <v>16.739999999999998</v>
          </cell>
        </row>
        <row r="550">
          <cell r="G550" t="str">
            <v>PROM/Marzo09</v>
          </cell>
          <cell r="H550">
            <v>22.385999999999999</v>
          </cell>
          <cell r="I550">
            <v>21.052</v>
          </cell>
          <cell r="J550">
            <v>20.178000000000001</v>
          </cell>
          <cell r="K550">
            <v>17.175999999999998</v>
          </cell>
        </row>
        <row r="551">
          <cell r="G551">
            <v>39909</v>
          </cell>
          <cell r="H551">
            <v>22.1</v>
          </cell>
          <cell r="I551">
            <v>20.79</v>
          </cell>
          <cell r="J551">
            <v>19.93</v>
          </cell>
          <cell r="K551">
            <v>16.670000000000002</v>
          </cell>
        </row>
        <row r="552">
          <cell r="G552">
            <v>39916</v>
          </cell>
          <cell r="H552">
            <v>22.65</v>
          </cell>
          <cell r="I552">
            <v>21.07</v>
          </cell>
          <cell r="J552">
            <v>20.16</v>
          </cell>
          <cell r="K552">
            <v>16.91</v>
          </cell>
        </row>
        <row r="553">
          <cell r="G553">
            <v>39923</v>
          </cell>
          <cell r="H553">
            <v>23.73</v>
          </cell>
          <cell r="I553">
            <v>22.22</v>
          </cell>
          <cell r="J553">
            <v>21.28</v>
          </cell>
          <cell r="K553">
            <v>17.239999999999998</v>
          </cell>
        </row>
        <row r="554">
          <cell r="G554">
            <v>39930</v>
          </cell>
          <cell r="H554">
            <v>23.7</v>
          </cell>
          <cell r="I554">
            <v>22.2</v>
          </cell>
          <cell r="J554">
            <v>21.29</v>
          </cell>
          <cell r="K554">
            <v>17.29</v>
          </cell>
        </row>
        <row r="555">
          <cell r="G555" t="str">
            <v>PROM/Abril09</v>
          </cell>
          <cell r="H555">
            <v>23.045000000000002</v>
          </cell>
          <cell r="I555">
            <v>21.57</v>
          </cell>
          <cell r="J555">
            <v>20.664999999999999</v>
          </cell>
          <cell r="K555">
            <v>17.027499999999996</v>
          </cell>
        </row>
        <row r="556">
          <cell r="G556">
            <v>39937</v>
          </cell>
          <cell r="H556">
            <v>23.7</v>
          </cell>
          <cell r="I556">
            <v>22.18</v>
          </cell>
          <cell r="J556">
            <v>21.29</v>
          </cell>
          <cell r="K556">
            <v>17.21</v>
          </cell>
        </row>
        <row r="557">
          <cell r="G557">
            <v>39944</v>
          </cell>
          <cell r="H557">
            <v>23.64</v>
          </cell>
          <cell r="I557">
            <v>22.17</v>
          </cell>
          <cell r="J557">
            <v>21.3</v>
          </cell>
          <cell r="K557">
            <v>17.2</v>
          </cell>
        </row>
        <row r="558">
          <cell r="G558">
            <v>39951</v>
          </cell>
          <cell r="H558">
            <v>24.41</v>
          </cell>
          <cell r="I558">
            <v>23.05</v>
          </cell>
          <cell r="J558">
            <v>22.1</v>
          </cell>
          <cell r="K558">
            <v>17.97</v>
          </cell>
        </row>
        <row r="559">
          <cell r="G559">
            <v>39958</v>
          </cell>
          <cell r="H559">
            <v>25.22</v>
          </cell>
          <cell r="I559">
            <v>23.85</v>
          </cell>
          <cell r="J559">
            <v>22.87</v>
          </cell>
          <cell r="K559">
            <v>18.32</v>
          </cell>
        </row>
        <row r="560">
          <cell r="G560" t="str">
            <v>PROM/Mayo09</v>
          </cell>
          <cell r="H560">
            <v>24.2425</v>
          </cell>
          <cell r="I560">
            <v>22.8125</v>
          </cell>
          <cell r="J560">
            <v>21.89</v>
          </cell>
          <cell r="K560">
            <v>17.674999999999997</v>
          </cell>
        </row>
        <row r="561">
          <cell r="G561">
            <v>39965</v>
          </cell>
          <cell r="H561">
            <v>25.15</v>
          </cell>
          <cell r="I561">
            <v>23.91</v>
          </cell>
          <cell r="J561">
            <v>22.94</v>
          </cell>
          <cell r="K561">
            <v>18.350000000000001</v>
          </cell>
        </row>
        <row r="562">
          <cell r="G562">
            <v>39972</v>
          </cell>
          <cell r="H562">
            <v>26.58</v>
          </cell>
          <cell r="I562">
            <v>25.15</v>
          </cell>
          <cell r="J562">
            <v>24.26</v>
          </cell>
          <cell r="K562">
            <v>19.579999999999998</v>
          </cell>
        </row>
        <row r="563">
          <cell r="G563">
            <v>39979</v>
          </cell>
          <cell r="H563">
            <v>27.99</v>
          </cell>
          <cell r="I563">
            <v>26.2</v>
          </cell>
          <cell r="J563">
            <v>25.24</v>
          </cell>
          <cell r="K563">
            <v>20.46</v>
          </cell>
        </row>
        <row r="564">
          <cell r="G564">
            <v>39986</v>
          </cell>
          <cell r="H564">
            <v>27.99</v>
          </cell>
          <cell r="I564">
            <v>26.71</v>
          </cell>
          <cell r="J564">
            <v>25.73</v>
          </cell>
          <cell r="K564">
            <v>20.86</v>
          </cell>
        </row>
        <row r="565">
          <cell r="G565" t="str">
            <v>PROM/Junio09</v>
          </cell>
          <cell r="H565">
            <v>26.927499999999998</v>
          </cell>
          <cell r="I565">
            <v>25.4925</v>
          </cell>
          <cell r="J565">
            <v>24.5425</v>
          </cell>
          <cell r="K565">
            <v>19.8125</v>
          </cell>
        </row>
        <row r="566">
          <cell r="G566">
            <v>39995</v>
          </cell>
          <cell r="H566">
            <v>28.92</v>
          </cell>
          <cell r="I566">
            <v>27.52</v>
          </cell>
          <cell r="J566">
            <v>26.55</v>
          </cell>
          <cell r="K566">
            <v>21.21</v>
          </cell>
        </row>
        <row r="567">
          <cell r="G567">
            <v>40000</v>
          </cell>
          <cell r="H567">
            <v>28.71</v>
          </cell>
          <cell r="I567">
            <v>27.48</v>
          </cell>
          <cell r="J567">
            <v>26.47</v>
          </cell>
          <cell r="K567">
            <v>21.17</v>
          </cell>
        </row>
        <row r="568">
          <cell r="G568">
            <v>40007</v>
          </cell>
          <cell r="H568">
            <v>27.64</v>
          </cell>
          <cell r="I568">
            <v>26.54</v>
          </cell>
          <cell r="J568">
            <v>25.57</v>
          </cell>
          <cell r="K568">
            <v>20.6</v>
          </cell>
        </row>
        <row r="569">
          <cell r="G569">
            <v>40014</v>
          </cell>
          <cell r="H569">
            <v>27.09</v>
          </cell>
          <cell r="I569">
            <v>26.19</v>
          </cell>
          <cell r="J569">
            <v>25.19</v>
          </cell>
          <cell r="K569">
            <v>20.69</v>
          </cell>
        </row>
        <row r="570">
          <cell r="G570">
            <v>40021</v>
          </cell>
          <cell r="H570">
            <v>26.29</v>
          </cell>
          <cell r="I570">
            <v>25.05</v>
          </cell>
          <cell r="J570">
            <v>24.09</v>
          </cell>
          <cell r="K570">
            <v>20.09</v>
          </cell>
        </row>
        <row r="571">
          <cell r="G571" t="str">
            <v>PROM/Julio09</v>
          </cell>
          <cell r="H571">
            <v>27.73</v>
          </cell>
          <cell r="I571">
            <v>26.556000000000001</v>
          </cell>
          <cell r="J571">
            <v>25.574000000000002</v>
          </cell>
          <cell r="K571">
            <v>20.752000000000002</v>
          </cell>
        </row>
        <row r="572">
          <cell r="G572">
            <v>40028</v>
          </cell>
          <cell r="H572">
            <v>26.21</v>
          </cell>
          <cell r="I572">
            <v>24.93</v>
          </cell>
          <cell r="J572">
            <v>23.97</v>
          </cell>
          <cell r="K572">
            <v>20.059999999999999</v>
          </cell>
        </row>
        <row r="573">
          <cell r="G573">
            <v>40035</v>
          </cell>
          <cell r="H573">
            <v>27.36</v>
          </cell>
          <cell r="I573">
            <v>25.93</v>
          </cell>
          <cell r="J573">
            <v>24.94</v>
          </cell>
          <cell r="K573">
            <v>21.17</v>
          </cell>
        </row>
        <row r="574">
          <cell r="G574">
            <v>40042</v>
          </cell>
          <cell r="H574">
            <v>28.11</v>
          </cell>
          <cell r="I574">
            <v>26.76</v>
          </cell>
          <cell r="J574">
            <v>25.82</v>
          </cell>
          <cell r="K574">
            <v>21.73</v>
          </cell>
        </row>
        <row r="575">
          <cell r="G575">
            <v>40049</v>
          </cell>
          <cell r="H575">
            <v>29.13</v>
          </cell>
          <cell r="I575">
            <v>27.74</v>
          </cell>
          <cell r="J575">
            <v>26.78</v>
          </cell>
          <cell r="K575">
            <v>22.95</v>
          </cell>
        </row>
        <row r="576">
          <cell r="G576">
            <v>40056</v>
          </cell>
          <cell r="H576">
            <v>28.83</v>
          </cell>
          <cell r="I576">
            <v>27.55</v>
          </cell>
          <cell r="J576">
            <v>26.59</v>
          </cell>
          <cell r="K576">
            <v>22.83</v>
          </cell>
        </row>
        <row r="577">
          <cell r="G577" t="str">
            <v>PROM/Agosto09</v>
          </cell>
          <cell r="H577">
            <v>27.927999999999997</v>
          </cell>
          <cell r="I577">
            <v>26.582000000000001</v>
          </cell>
          <cell r="J577">
            <v>25.619999999999997</v>
          </cell>
          <cell r="K577">
            <v>21.748000000000001</v>
          </cell>
        </row>
        <row r="578">
          <cell r="G578">
            <v>40063</v>
          </cell>
          <cell r="H578">
            <v>28.31</v>
          </cell>
          <cell r="I578">
            <v>26.99</v>
          </cell>
          <cell r="J578">
            <v>26.05</v>
          </cell>
          <cell r="K578">
            <v>22.26</v>
          </cell>
        </row>
        <row r="579">
          <cell r="G579">
            <v>40070</v>
          </cell>
          <cell r="H579">
            <v>28.2</v>
          </cell>
          <cell r="I579">
            <v>26.84</v>
          </cell>
          <cell r="J579">
            <v>25.89</v>
          </cell>
          <cell r="K579">
            <v>21.95</v>
          </cell>
        </row>
        <row r="580">
          <cell r="G580">
            <v>40077</v>
          </cell>
          <cell r="H580">
            <v>28.09</v>
          </cell>
          <cell r="I580">
            <v>26.76</v>
          </cell>
          <cell r="J580">
            <v>25.81</v>
          </cell>
          <cell r="K580">
            <v>21.82</v>
          </cell>
        </row>
        <row r="581">
          <cell r="G581">
            <v>40084</v>
          </cell>
          <cell r="H581">
            <v>27.41</v>
          </cell>
          <cell r="I581">
            <v>26.25</v>
          </cell>
          <cell r="J581">
            <v>25.3</v>
          </cell>
          <cell r="K581">
            <v>21.39</v>
          </cell>
        </row>
        <row r="582">
          <cell r="G582" t="str">
            <v>PROM/Septiembre09</v>
          </cell>
          <cell r="H582">
            <v>28.002499999999998</v>
          </cell>
          <cell r="I582">
            <v>26.71</v>
          </cell>
          <cell r="J582">
            <v>25.762499999999999</v>
          </cell>
          <cell r="K582">
            <v>21.855</v>
          </cell>
        </row>
        <row r="583">
          <cell r="G583">
            <v>40091</v>
          </cell>
          <cell r="H583">
            <v>27.29</v>
          </cell>
          <cell r="I583">
            <v>25.98</v>
          </cell>
          <cell r="J583">
            <v>25.07</v>
          </cell>
          <cell r="K583">
            <v>21.2</v>
          </cell>
        </row>
        <row r="584">
          <cell r="G584">
            <v>40098</v>
          </cell>
          <cell r="H584">
            <v>27.22</v>
          </cell>
          <cell r="I584">
            <v>25.88</v>
          </cell>
          <cell r="J584">
            <v>24.97</v>
          </cell>
          <cell r="K584">
            <v>21.13</v>
          </cell>
        </row>
        <row r="585">
          <cell r="G585">
            <v>40105</v>
          </cell>
          <cell r="H585">
            <v>27.22</v>
          </cell>
          <cell r="I585">
            <v>25.82</v>
          </cell>
          <cell r="J585">
            <v>24.91</v>
          </cell>
          <cell r="K585">
            <v>21.07</v>
          </cell>
        </row>
        <row r="586">
          <cell r="G586">
            <v>40112</v>
          </cell>
          <cell r="H586">
            <v>27.7</v>
          </cell>
          <cell r="I586">
            <v>26.4</v>
          </cell>
          <cell r="J586">
            <v>25.4</v>
          </cell>
          <cell r="K586">
            <v>22.13</v>
          </cell>
        </row>
        <row r="587">
          <cell r="G587" t="str">
            <v>PROM/Octubre09</v>
          </cell>
          <cell r="H587">
            <v>27.357499999999998</v>
          </cell>
          <cell r="I587">
            <v>26.020000000000003</v>
          </cell>
          <cell r="J587">
            <v>25.087499999999999</v>
          </cell>
          <cell r="K587">
            <v>21.3825</v>
          </cell>
        </row>
        <row r="588">
          <cell r="G588">
            <v>40120</v>
          </cell>
          <cell r="H588">
            <v>28.56</v>
          </cell>
          <cell r="I588">
            <v>27.24</v>
          </cell>
          <cell r="J588">
            <v>26.24</v>
          </cell>
          <cell r="K588">
            <v>23.44</v>
          </cell>
        </row>
        <row r="589">
          <cell r="G589">
            <v>40126</v>
          </cell>
          <cell r="H589">
            <v>29.58</v>
          </cell>
          <cell r="I589">
            <v>27.67</v>
          </cell>
          <cell r="J589">
            <v>26.71</v>
          </cell>
          <cell r="K589">
            <v>23.5</v>
          </cell>
        </row>
        <row r="590">
          <cell r="G590">
            <v>40133</v>
          </cell>
          <cell r="H590">
            <v>29.55</v>
          </cell>
          <cell r="I590">
            <v>28.15</v>
          </cell>
          <cell r="J590">
            <v>27.18</v>
          </cell>
          <cell r="K590">
            <v>23.54</v>
          </cell>
        </row>
        <row r="591">
          <cell r="G591">
            <v>40140</v>
          </cell>
          <cell r="H591">
            <v>29.44</v>
          </cell>
          <cell r="I591">
            <v>28.06</v>
          </cell>
          <cell r="J591">
            <v>27.09</v>
          </cell>
          <cell r="K591">
            <v>23.52</v>
          </cell>
        </row>
        <row r="592">
          <cell r="G592">
            <v>40147</v>
          </cell>
          <cell r="H592">
            <v>28.74</v>
          </cell>
          <cell r="I592">
            <v>27.54</v>
          </cell>
          <cell r="J592">
            <v>26.57</v>
          </cell>
          <cell r="K592">
            <v>23.5</v>
          </cell>
        </row>
        <row r="593">
          <cell r="G593" t="str">
            <v>PROM/Noviembre09</v>
          </cell>
          <cell r="H593">
            <v>29.173999999999999</v>
          </cell>
          <cell r="I593">
            <v>27.731999999999999</v>
          </cell>
          <cell r="J593">
            <v>26.757999999999999</v>
          </cell>
          <cell r="K593">
            <v>23.499999999999996</v>
          </cell>
        </row>
        <row r="594">
          <cell r="G594">
            <v>40154</v>
          </cell>
          <cell r="H594">
            <v>28.72</v>
          </cell>
          <cell r="I594">
            <v>27.46</v>
          </cell>
          <cell r="J594">
            <v>26.5</v>
          </cell>
          <cell r="K594">
            <v>23.52</v>
          </cell>
        </row>
        <row r="595">
          <cell r="G595">
            <v>40161</v>
          </cell>
          <cell r="H595">
            <v>28.7</v>
          </cell>
          <cell r="I595">
            <v>27.42</v>
          </cell>
          <cell r="J595">
            <v>26.46</v>
          </cell>
          <cell r="K595">
            <v>23.49</v>
          </cell>
        </row>
        <row r="596">
          <cell r="G596">
            <v>40168</v>
          </cell>
          <cell r="H596">
            <v>28.7</v>
          </cell>
          <cell r="I596">
            <v>27.39</v>
          </cell>
          <cell r="J596">
            <v>26.42</v>
          </cell>
          <cell r="K596">
            <v>23.43</v>
          </cell>
        </row>
        <row r="597">
          <cell r="G597">
            <v>40175</v>
          </cell>
          <cell r="H597">
            <v>28.69</v>
          </cell>
          <cell r="I597">
            <v>27.4</v>
          </cell>
          <cell r="J597">
            <v>26.43</v>
          </cell>
          <cell r="K597">
            <v>23.44</v>
          </cell>
        </row>
        <row r="598">
          <cell r="G598" t="str">
            <v>PROM/Diciembre09</v>
          </cell>
          <cell r="H598">
            <v>28.702500000000001</v>
          </cell>
          <cell r="I598">
            <v>27.417500000000004</v>
          </cell>
          <cell r="J598">
            <v>26.452500000000001</v>
          </cell>
          <cell r="K598">
            <v>23.47</v>
          </cell>
        </row>
        <row r="599">
          <cell r="G599" t="str">
            <v>PROMEDIO ANUAL09</v>
          </cell>
          <cell r="H599">
            <v>25.922333333333331</v>
          </cell>
          <cell r="I599">
            <v>24.572666666666674</v>
          </cell>
          <cell r="J599">
            <v>23.638958333333335</v>
          </cell>
          <cell r="K599">
            <v>20.188208333333332</v>
          </cell>
        </row>
        <row r="600">
          <cell r="G600" t="str">
            <v>AÑO 2010</v>
          </cell>
        </row>
        <row r="601">
          <cell r="G601">
            <v>40182</v>
          </cell>
          <cell r="H601">
            <v>28.67</v>
          </cell>
          <cell r="I601">
            <v>27.38</v>
          </cell>
          <cell r="J601">
            <v>26.44</v>
          </cell>
          <cell r="K601">
            <v>23.42</v>
          </cell>
        </row>
        <row r="602">
          <cell r="G602">
            <v>40189</v>
          </cell>
          <cell r="H602">
            <v>29.35</v>
          </cell>
          <cell r="I602">
            <v>28.16</v>
          </cell>
          <cell r="J602">
            <v>27.23</v>
          </cell>
          <cell r="K602">
            <v>24.15</v>
          </cell>
        </row>
        <row r="603">
          <cell r="G603">
            <v>40196</v>
          </cell>
          <cell r="H603">
            <v>30.24</v>
          </cell>
          <cell r="I603">
            <v>28.96</v>
          </cell>
          <cell r="J603">
            <v>28.05</v>
          </cell>
          <cell r="K603">
            <v>25.35</v>
          </cell>
        </row>
        <row r="604">
          <cell r="G604">
            <v>40203</v>
          </cell>
          <cell r="H604">
            <v>30.2</v>
          </cell>
          <cell r="I604">
            <v>28.92</v>
          </cell>
          <cell r="J604">
            <v>27.98</v>
          </cell>
          <cell r="K604">
            <v>25.04</v>
          </cell>
        </row>
        <row r="605">
          <cell r="G605" t="str">
            <v>PROM/Enero10</v>
          </cell>
          <cell r="H605">
            <v>29.615000000000002</v>
          </cell>
          <cell r="I605">
            <v>28.355</v>
          </cell>
          <cell r="J605">
            <v>27.425000000000001</v>
          </cell>
          <cell r="K605">
            <v>24.490000000000002</v>
          </cell>
        </row>
        <row r="606">
          <cell r="G606">
            <v>40210</v>
          </cell>
          <cell r="H606">
            <v>29.76</v>
          </cell>
          <cell r="I606">
            <v>28.57</v>
          </cell>
          <cell r="J606">
            <v>27.71</v>
          </cell>
          <cell r="K606">
            <v>24.7</v>
          </cell>
        </row>
        <row r="607">
          <cell r="G607">
            <v>40217</v>
          </cell>
          <cell r="H607">
            <v>29.27</v>
          </cell>
          <cell r="I607">
            <v>28.17</v>
          </cell>
          <cell r="J607">
            <v>27.33</v>
          </cell>
          <cell r="K607">
            <v>24.3</v>
          </cell>
        </row>
        <row r="608">
          <cell r="G608">
            <v>40224</v>
          </cell>
          <cell r="H608">
            <v>28.79</v>
          </cell>
          <cell r="I608">
            <v>27.72</v>
          </cell>
          <cell r="J608">
            <v>26.88</v>
          </cell>
          <cell r="K608">
            <v>23.73</v>
          </cell>
        </row>
        <row r="609">
          <cell r="G609">
            <v>40231</v>
          </cell>
          <cell r="H609">
            <v>28.72</v>
          </cell>
          <cell r="I609">
            <v>27.5</v>
          </cell>
          <cell r="J609">
            <v>26.65</v>
          </cell>
          <cell r="K609">
            <v>23.4</v>
          </cell>
        </row>
        <row r="610">
          <cell r="G610" t="str">
            <v>PROM/Febrero10</v>
          </cell>
          <cell r="H610">
            <v>29.134999999999998</v>
          </cell>
          <cell r="I610">
            <v>27.990000000000002</v>
          </cell>
          <cell r="J610">
            <v>27.142499999999998</v>
          </cell>
          <cell r="K610">
            <v>24.032499999999999</v>
          </cell>
        </row>
        <row r="611">
          <cell r="G611">
            <v>40238</v>
          </cell>
          <cell r="H611">
            <v>28.73</v>
          </cell>
          <cell r="I611">
            <v>28.16</v>
          </cell>
          <cell r="J611">
            <v>27.314</v>
          </cell>
          <cell r="K611">
            <v>23.72</v>
          </cell>
        </row>
        <row r="612">
          <cell r="G612">
            <v>40245</v>
          </cell>
          <cell r="H612">
            <v>30.01</v>
          </cell>
          <cell r="I612">
            <v>28.66</v>
          </cell>
          <cell r="J612">
            <v>27.79</v>
          </cell>
          <cell r="K612">
            <v>24.09</v>
          </cell>
        </row>
        <row r="613">
          <cell r="G613">
            <v>40252</v>
          </cell>
          <cell r="H613">
            <v>31.02</v>
          </cell>
          <cell r="I613">
            <v>29.55</v>
          </cell>
          <cell r="J613">
            <v>28.32</v>
          </cell>
          <cell r="K613">
            <v>24.31</v>
          </cell>
        </row>
        <row r="614">
          <cell r="G614">
            <v>40259</v>
          </cell>
          <cell r="H614">
            <v>31.9</v>
          </cell>
          <cell r="I614">
            <v>30.09</v>
          </cell>
          <cell r="J614">
            <v>28.81</v>
          </cell>
          <cell r="K614">
            <v>24.57</v>
          </cell>
        </row>
        <row r="615">
          <cell r="G615">
            <v>40266</v>
          </cell>
          <cell r="H615">
            <v>31.9</v>
          </cell>
          <cell r="I615">
            <v>30.49</v>
          </cell>
          <cell r="J615">
            <v>29.2</v>
          </cell>
          <cell r="K615">
            <v>24.75</v>
          </cell>
        </row>
        <row r="616">
          <cell r="G616" t="str">
            <v>PROM/Marzo10</v>
          </cell>
          <cell r="H616">
            <v>30.712</v>
          </cell>
          <cell r="I616">
            <v>29.390000000000004</v>
          </cell>
          <cell r="J616">
            <v>28.286799999999999</v>
          </cell>
          <cell r="K616">
            <v>24.288</v>
          </cell>
        </row>
        <row r="617">
          <cell r="G617">
            <v>40273</v>
          </cell>
          <cell r="H617">
            <v>31.99</v>
          </cell>
          <cell r="I617">
            <v>30.6</v>
          </cell>
          <cell r="J617">
            <v>29.35</v>
          </cell>
          <cell r="K617">
            <v>24.81</v>
          </cell>
        </row>
        <row r="618">
          <cell r="G618">
            <v>40280</v>
          </cell>
          <cell r="H618">
            <v>31.94</v>
          </cell>
          <cell r="I618">
            <v>30.6</v>
          </cell>
          <cell r="J618">
            <v>29.33</v>
          </cell>
          <cell r="K618">
            <v>24.82</v>
          </cell>
        </row>
        <row r="619">
          <cell r="G619">
            <v>40287</v>
          </cell>
          <cell r="H619">
            <v>31.92</v>
          </cell>
          <cell r="I619">
            <v>30.58</v>
          </cell>
          <cell r="J619">
            <v>29.31</v>
          </cell>
          <cell r="K619">
            <v>24.8</v>
          </cell>
        </row>
        <row r="620">
          <cell r="G620">
            <v>40294</v>
          </cell>
          <cell r="H620">
            <v>31.65</v>
          </cell>
          <cell r="I620">
            <v>30.45</v>
          </cell>
          <cell r="J620">
            <v>29.33</v>
          </cell>
          <cell r="K620">
            <v>25.3</v>
          </cell>
        </row>
        <row r="621">
          <cell r="G621" t="str">
            <v>PROM/Abril10</v>
          </cell>
          <cell r="H621">
            <v>31.875</v>
          </cell>
          <cell r="I621">
            <v>30.557500000000001</v>
          </cell>
          <cell r="J621">
            <v>29.33</v>
          </cell>
          <cell r="K621">
            <v>24.932499999999997</v>
          </cell>
        </row>
        <row r="622">
          <cell r="G622">
            <v>40301</v>
          </cell>
          <cell r="H622">
            <v>31.61</v>
          </cell>
          <cell r="I622">
            <v>30.39</v>
          </cell>
          <cell r="J622">
            <v>29.33</v>
          </cell>
          <cell r="K622">
            <v>25.3</v>
          </cell>
        </row>
        <row r="623">
          <cell r="G623">
            <v>40308</v>
          </cell>
          <cell r="H623">
            <v>31.58</v>
          </cell>
          <cell r="I623">
            <v>30.38</v>
          </cell>
          <cell r="J623">
            <v>29.35</v>
          </cell>
          <cell r="K623">
            <v>25.34</v>
          </cell>
        </row>
        <row r="624">
          <cell r="G624">
            <v>40315</v>
          </cell>
          <cell r="H624">
            <v>31.35</v>
          </cell>
          <cell r="I624">
            <v>30.25</v>
          </cell>
          <cell r="J624">
            <v>29.23</v>
          </cell>
          <cell r="K624">
            <v>25.23</v>
          </cell>
        </row>
        <row r="625">
          <cell r="G625">
            <v>40322</v>
          </cell>
          <cell r="H625">
            <v>30.35</v>
          </cell>
          <cell r="I625">
            <v>29.4</v>
          </cell>
          <cell r="J625">
            <v>28.43</v>
          </cell>
          <cell r="K625">
            <v>24.55</v>
          </cell>
        </row>
        <row r="626">
          <cell r="G626">
            <v>40329</v>
          </cell>
          <cell r="H626">
            <v>29.71</v>
          </cell>
          <cell r="I626">
            <v>28.78</v>
          </cell>
          <cell r="J626">
            <v>27.82</v>
          </cell>
          <cell r="K626">
            <v>23.82</v>
          </cell>
        </row>
        <row r="627">
          <cell r="G627" t="str">
            <v>PROM/Mayo10</v>
          </cell>
          <cell r="H627">
            <v>30.919999999999998</v>
          </cell>
          <cell r="I627">
            <v>29.839999999999996</v>
          </cell>
          <cell r="J627">
            <v>28.832000000000001</v>
          </cell>
          <cell r="K627">
            <v>24.848000000000003</v>
          </cell>
        </row>
        <row r="628">
          <cell r="G628">
            <v>40336</v>
          </cell>
          <cell r="H628">
            <v>29.23</v>
          </cell>
          <cell r="I628">
            <v>28.2</v>
          </cell>
          <cell r="J628">
            <v>27.22</v>
          </cell>
          <cell r="K628">
            <v>23.25</v>
          </cell>
        </row>
        <row r="629">
          <cell r="G629">
            <v>40343</v>
          </cell>
          <cell r="H629">
            <v>28.88</v>
          </cell>
          <cell r="I629">
            <v>27.84</v>
          </cell>
          <cell r="J629">
            <v>26.82</v>
          </cell>
          <cell r="K629">
            <v>22.96</v>
          </cell>
        </row>
        <row r="630">
          <cell r="G630">
            <v>40350</v>
          </cell>
          <cell r="H630">
            <v>29.36</v>
          </cell>
          <cell r="I630">
            <v>27.96</v>
          </cell>
          <cell r="J630">
            <v>26.96</v>
          </cell>
          <cell r="K630">
            <v>23.17</v>
          </cell>
        </row>
        <row r="631">
          <cell r="G631">
            <v>40357</v>
          </cell>
          <cell r="H631">
            <v>29.3</v>
          </cell>
          <cell r="I631">
            <v>28.13</v>
          </cell>
          <cell r="J631">
            <v>27.14</v>
          </cell>
          <cell r="K631">
            <v>23.35</v>
          </cell>
        </row>
        <row r="632">
          <cell r="G632" t="str">
            <v>PROM/Junio10</v>
          </cell>
          <cell r="H632">
            <v>29.192499999999999</v>
          </cell>
          <cell r="I632">
            <v>28.032499999999999</v>
          </cell>
          <cell r="J632">
            <v>27.035</v>
          </cell>
          <cell r="K632">
            <v>23.182499999999997</v>
          </cell>
        </row>
        <row r="633">
          <cell r="G633">
            <v>40364</v>
          </cell>
          <cell r="H633">
            <v>29.22</v>
          </cell>
          <cell r="I633">
            <v>28.3</v>
          </cell>
          <cell r="J633">
            <v>27.32</v>
          </cell>
          <cell r="K633">
            <v>23.72</v>
          </cell>
        </row>
        <row r="634">
          <cell r="G634">
            <v>40371</v>
          </cell>
          <cell r="H634">
            <v>28.91</v>
          </cell>
          <cell r="I634">
            <v>27.99</v>
          </cell>
          <cell r="J634">
            <v>26.99</v>
          </cell>
          <cell r="K634">
            <v>23.45</v>
          </cell>
        </row>
        <row r="635">
          <cell r="G635">
            <v>40379</v>
          </cell>
          <cell r="H635">
            <v>28.59</v>
          </cell>
          <cell r="I635">
            <v>27.56</v>
          </cell>
          <cell r="J635">
            <v>26.48</v>
          </cell>
          <cell r="K635">
            <v>23.04</v>
          </cell>
        </row>
        <row r="636">
          <cell r="G636">
            <v>40386</v>
          </cell>
          <cell r="H636">
            <v>29.07</v>
          </cell>
          <cell r="I636">
            <v>27.87</v>
          </cell>
          <cell r="J636">
            <v>26.86</v>
          </cell>
          <cell r="K636">
            <v>23.32</v>
          </cell>
        </row>
        <row r="637">
          <cell r="G637" t="str">
            <v>PROM/Julio10</v>
          </cell>
          <cell r="H637">
            <v>28.947499999999998</v>
          </cell>
          <cell r="I637">
            <v>27.93</v>
          </cell>
          <cell r="J637">
            <v>26.912500000000001</v>
          </cell>
          <cell r="K637">
            <v>23.3825</v>
          </cell>
        </row>
        <row r="638">
          <cell r="G638">
            <v>40393</v>
          </cell>
          <cell r="H638">
            <v>29.02</v>
          </cell>
          <cell r="I638">
            <v>27.8</v>
          </cell>
          <cell r="J638">
            <v>26.81</v>
          </cell>
          <cell r="K638">
            <v>23.28</v>
          </cell>
        </row>
        <row r="639">
          <cell r="G639">
            <v>40400</v>
          </cell>
          <cell r="H639">
            <v>30.21</v>
          </cell>
          <cell r="I639">
            <v>28.67</v>
          </cell>
          <cell r="J639">
            <v>27.68</v>
          </cell>
          <cell r="K639">
            <v>24.09</v>
          </cell>
        </row>
        <row r="640">
          <cell r="G640">
            <v>40407</v>
          </cell>
          <cell r="H640">
            <v>29.69</v>
          </cell>
          <cell r="I640">
            <v>28.52</v>
          </cell>
          <cell r="J640">
            <v>27.52</v>
          </cell>
          <cell r="K640">
            <v>23.97</v>
          </cell>
        </row>
        <row r="641">
          <cell r="G641">
            <v>40414</v>
          </cell>
          <cell r="H641">
            <v>29.03</v>
          </cell>
          <cell r="I641">
            <v>28.23</v>
          </cell>
          <cell r="J641">
            <v>27.13</v>
          </cell>
          <cell r="K641">
            <v>23.62</v>
          </cell>
        </row>
        <row r="642">
          <cell r="G642">
            <v>40421</v>
          </cell>
          <cell r="H642">
            <v>28.25</v>
          </cell>
          <cell r="I642">
            <v>27.45</v>
          </cell>
          <cell r="J642">
            <v>26.51</v>
          </cell>
          <cell r="K642">
            <v>23.03</v>
          </cell>
        </row>
        <row r="643">
          <cell r="G643" t="str">
            <v>PROM/Agosto10</v>
          </cell>
          <cell r="H643">
            <v>29.24</v>
          </cell>
          <cell r="I643">
            <v>28.133999999999997</v>
          </cell>
          <cell r="J643">
            <v>27.129999999999995</v>
          </cell>
          <cell r="K643">
            <v>23.598000000000003</v>
          </cell>
        </row>
        <row r="644">
          <cell r="G644">
            <v>40428</v>
          </cell>
          <cell r="H644">
            <v>28.13</v>
          </cell>
          <cell r="I644">
            <v>27.33</v>
          </cell>
          <cell r="J644">
            <v>26.33</v>
          </cell>
          <cell r="K644">
            <v>22.83</v>
          </cell>
        </row>
        <row r="645">
          <cell r="G645">
            <v>40435</v>
          </cell>
          <cell r="H645">
            <v>27.900000000000002</v>
          </cell>
          <cell r="I645">
            <v>27.1</v>
          </cell>
          <cell r="J645">
            <v>26.12</v>
          </cell>
          <cell r="K645">
            <v>22.73</v>
          </cell>
        </row>
        <row r="646">
          <cell r="G646">
            <v>40442</v>
          </cell>
          <cell r="H646">
            <v>27.87</v>
          </cell>
          <cell r="I646">
            <v>27.07</v>
          </cell>
          <cell r="J646">
            <v>26.08</v>
          </cell>
          <cell r="K646">
            <v>22.73</v>
          </cell>
        </row>
        <row r="647">
          <cell r="G647">
            <v>40449</v>
          </cell>
          <cell r="H647">
            <v>28.19</v>
          </cell>
          <cell r="I647">
            <v>27.39</v>
          </cell>
          <cell r="J647">
            <v>26.39</v>
          </cell>
          <cell r="K647">
            <v>23.27</v>
          </cell>
        </row>
        <row r="648">
          <cell r="G648" t="str">
            <v>PROM/Septiembre10</v>
          </cell>
          <cell r="H648">
            <v>28.022500000000001</v>
          </cell>
          <cell r="I648">
            <v>27.2225</v>
          </cell>
          <cell r="J648">
            <v>26.23</v>
          </cell>
          <cell r="K648">
            <v>22.89</v>
          </cell>
        </row>
        <row r="649">
          <cell r="G649">
            <v>40456</v>
          </cell>
          <cell r="H649">
            <v>28.830000000000002</v>
          </cell>
          <cell r="I649">
            <v>28.03</v>
          </cell>
          <cell r="J649">
            <v>27</v>
          </cell>
          <cell r="K649">
            <v>23.98</v>
          </cell>
        </row>
        <row r="650">
          <cell r="G650">
            <v>40458</v>
          </cell>
          <cell r="H650">
            <v>29.44</v>
          </cell>
          <cell r="I650">
            <v>28.64</v>
          </cell>
          <cell r="J650">
            <v>27.64</v>
          </cell>
          <cell r="K650">
            <v>24.7</v>
          </cell>
        </row>
        <row r="651">
          <cell r="G651">
            <v>40463</v>
          </cell>
          <cell r="H651">
            <v>30.16</v>
          </cell>
          <cell r="I651">
            <v>28.81</v>
          </cell>
          <cell r="J651">
            <v>27.82</v>
          </cell>
          <cell r="K651">
            <v>24.92</v>
          </cell>
        </row>
        <row r="652">
          <cell r="G652">
            <v>40472</v>
          </cell>
          <cell r="H652">
            <v>30.67</v>
          </cell>
          <cell r="I652">
            <v>29.35</v>
          </cell>
          <cell r="J652">
            <v>28.34</v>
          </cell>
          <cell r="K652">
            <v>25.32</v>
          </cell>
        </row>
        <row r="653">
          <cell r="G653">
            <v>40477</v>
          </cell>
          <cell r="H653">
            <v>30.44</v>
          </cell>
          <cell r="I653">
            <v>29.18</v>
          </cell>
          <cell r="J653">
            <v>28.19</v>
          </cell>
          <cell r="K653">
            <v>25.22</v>
          </cell>
        </row>
        <row r="654">
          <cell r="G654" t="str">
            <v>PROM/Octubre10</v>
          </cell>
          <cell r="H654">
            <v>29.908000000000005</v>
          </cell>
          <cell r="I654">
            <v>28.802000000000003</v>
          </cell>
          <cell r="J654">
            <v>27.798000000000002</v>
          </cell>
          <cell r="K654">
            <v>24.827999999999996</v>
          </cell>
        </row>
        <row r="655">
          <cell r="G655">
            <v>40484</v>
          </cell>
          <cell r="H655">
            <v>30.02</v>
          </cell>
          <cell r="I655">
            <v>28.87</v>
          </cell>
          <cell r="J655">
            <v>27.88</v>
          </cell>
          <cell r="K655">
            <v>25.01</v>
          </cell>
        </row>
        <row r="656">
          <cell r="G656">
            <v>40491</v>
          </cell>
          <cell r="H656">
            <v>30.02</v>
          </cell>
          <cell r="I656">
            <v>28.81</v>
          </cell>
          <cell r="J656">
            <v>27.81</v>
          </cell>
          <cell r="K656">
            <v>25</v>
          </cell>
        </row>
        <row r="657">
          <cell r="G657">
            <v>40498</v>
          </cell>
          <cell r="H657">
            <v>30.03</v>
          </cell>
          <cell r="I657">
            <v>28.83</v>
          </cell>
          <cell r="J657">
            <v>27.84</v>
          </cell>
          <cell r="K657">
            <v>25.72</v>
          </cell>
        </row>
        <row r="658">
          <cell r="G658">
            <v>40505</v>
          </cell>
          <cell r="H658">
            <v>30.62</v>
          </cell>
          <cell r="I658">
            <v>29.13</v>
          </cell>
          <cell r="J658">
            <v>28.15</v>
          </cell>
          <cell r="K658">
            <v>26</v>
          </cell>
        </row>
        <row r="659">
          <cell r="G659">
            <v>40512</v>
          </cell>
          <cell r="H659">
            <v>30.02</v>
          </cell>
          <cell r="I659">
            <v>29.15</v>
          </cell>
          <cell r="J659">
            <v>28.17</v>
          </cell>
          <cell r="K659">
            <v>26.69</v>
          </cell>
        </row>
        <row r="660">
          <cell r="G660" t="str">
            <v>PROM/Noviembre10</v>
          </cell>
          <cell r="H660">
            <v>30.142000000000003</v>
          </cell>
          <cell r="I660">
            <v>28.957999999999998</v>
          </cell>
          <cell r="J660">
            <v>27.970000000000006</v>
          </cell>
          <cell r="K660">
            <v>25.684000000000005</v>
          </cell>
        </row>
        <row r="661">
          <cell r="G661">
            <v>40519</v>
          </cell>
          <cell r="H661">
            <v>30.8</v>
          </cell>
          <cell r="I661">
            <v>29.28</v>
          </cell>
          <cell r="J661">
            <v>28.3</v>
          </cell>
          <cell r="K661">
            <v>26.27</v>
          </cell>
        </row>
        <row r="662">
          <cell r="G662">
            <v>40526</v>
          </cell>
          <cell r="H662">
            <v>30.79</v>
          </cell>
          <cell r="I662">
            <v>29.7</v>
          </cell>
          <cell r="J662">
            <v>28.72</v>
          </cell>
          <cell r="K662">
            <v>26.74</v>
          </cell>
        </row>
        <row r="663">
          <cell r="G663">
            <v>40534</v>
          </cell>
          <cell r="H663">
            <v>31.17</v>
          </cell>
          <cell r="I663">
            <v>29.96</v>
          </cell>
          <cell r="J663">
            <v>28.97</v>
          </cell>
          <cell r="K663">
            <v>27.05</v>
          </cell>
        </row>
        <row r="664">
          <cell r="G664">
            <v>40540</v>
          </cell>
          <cell r="H664">
            <v>31.57</v>
          </cell>
          <cell r="I664">
            <v>30.32</v>
          </cell>
          <cell r="J664">
            <v>29.35</v>
          </cell>
          <cell r="K664">
            <v>27.46</v>
          </cell>
        </row>
        <row r="665">
          <cell r="G665" t="str">
            <v>PROM/Diciembre10</v>
          </cell>
          <cell r="H665">
            <v>31.082500000000003</v>
          </cell>
          <cell r="I665">
            <v>29.814999999999998</v>
          </cell>
          <cell r="J665">
            <v>28.835000000000001</v>
          </cell>
          <cell r="K665">
            <v>26.880000000000003</v>
          </cell>
        </row>
        <row r="666">
          <cell r="G666" t="str">
            <v>PROMEDIO ANUAL10</v>
          </cell>
          <cell r="H666">
            <v>29.899333333333331</v>
          </cell>
          <cell r="I666">
            <v>28.752208333333332</v>
          </cell>
          <cell r="J666">
            <v>27.7439</v>
          </cell>
          <cell r="K666">
            <v>24.419666666666668</v>
          </cell>
        </row>
        <row r="667">
          <cell r="G667" t="str">
            <v>AÑO 2011</v>
          </cell>
        </row>
        <row r="668">
          <cell r="G668">
            <v>40547</v>
          </cell>
          <cell r="H668">
            <v>31.57</v>
          </cell>
          <cell r="I668">
            <v>30.32</v>
          </cell>
          <cell r="J668">
            <v>29.35</v>
          </cell>
          <cell r="K668">
            <v>27.46</v>
          </cell>
        </row>
        <row r="669">
          <cell r="G669">
            <v>40554</v>
          </cell>
          <cell r="H669">
            <v>31.72</v>
          </cell>
          <cell r="I669">
            <v>30.49</v>
          </cell>
          <cell r="J669">
            <v>29.48</v>
          </cell>
          <cell r="K669">
            <v>27.65</v>
          </cell>
        </row>
        <row r="670">
          <cell r="G670">
            <v>40561</v>
          </cell>
          <cell r="H670">
            <v>32.71</v>
          </cell>
          <cell r="I670">
            <v>31.37</v>
          </cell>
          <cell r="J670">
            <v>30.4</v>
          </cell>
          <cell r="K670">
            <v>28.06</v>
          </cell>
        </row>
        <row r="671">
          <cell r="G671">
            <v>40568</v>
          </cell>
          <cell r="H671">
            <v>32.71</v>
          </cell>
          <cell r="I671">
            <v>31.36</v>
          </cell>
          <cell r="J671">
            <v>30.38</v>
          </cell>
          <cell r="K671">
            <v>28.06</v>
          </cell>
        </row>
        <row r="672">
          <cell r="G672">
            <v>40574</v>
          </cell>
          <cell r="H672">
            <v>31.67</v>
          </cell>
          <cell r="I672">
            <v>30.69</v>
          </cell>
          <cell r="J672">
            <v>28.38</v>
          </cell>
          <cell r="K672">
            <v>28.5</v>
          </cell>
        </row>
        <row r="673">
          <cell r="G673" t="str">
            <v>PROM/Enero11</v>
          </cell>
          <cell r="H673">
            <v>32.177500000000002</v>
          </cell>
          <cell r="I673">
            <v>30.885000000000002</v>
          </cell>
          <cell r="J673">
            <v>29.902499999999996</v>
          </cell>
          <cell r="K673">
            <v>27.807500000000001</v>
          </cell>
        </row>
        <row r="674">
          <cell r="G674">
            <v>40582</v>
          </cell>
          <cell r="H674">
            <v>32.82</v>
          </cell>
          <cell r="I674">
            <v>31.78</v>
          </cell>
          <cell r="J674">
            <v>30.81</v>
          </cell>
          <cell r="K674">
            <v>28.5</v>
          </cell>
        </row>
        <row r="675">
          <cell r="G675">
            <v>40588</v>
          </cell>
          <cell r="H675">
            <v>32.75</v>
          </cell>
          <cell r="I675">
            <v>31.79</v>
          </cell>
          <cell r="J675">
            <v>30.86</v>
          </cell>
          <cell r="K675">
            <v>28.55</v>
          </cell>
        </row>
        <row r="676">
          <cell r="G676">
            <v>40596</v>
          </cell>
          <cell r="H676">
            <v>32.74</v>
          </cell>
          <cell r="I676">
            <v>31.72</v>
          </cell>
          <cell r="J676">
            <v>30.75</v>
          </cell>
          <cell r="K676">
            <v>28.53</v>
          </cell>
        </row>
        <row r="677">
          <cell r="G677">
            <v>40602</v>
          </cell>
          <cell r="H677">
            <v>33.29</v>
          </cell>
          <cell r="I677">
            <v>32.14</v>
          </cell>
          <cell r="J677">
            <v>31.16</v>
          </cell>
          <cell r="K677">
            <v>29.19</v>
          </cell>
        </row>
        <row r="678">
          <cell r="G678" t="str">
            <v>PROM/Febrero11</v>
          </cell>
          <cell r="H678">
            <v>32.9</v>
          </cell>
          <cell r="I678">
            <v>31.857499999999998</v>
          </cell>
          <cell r="J678">
            <v>30.895</v>
          </cell>
          <cell r="K678">
            <v>28.692499999999999</v>
          </cell>
        </row>
        <row r="679">
          <cell r="G679">
            <v>40609</v>
          </cell>
          <cell r="H679">
            <v>34.56</v>
          </cell>
          <cell r="I679">
            <v>33.24</v>
          </cell>
          <cell r="J679">
            <v>32.26</v>
          </cell>
          <cell r="K679">
            <v>30.56</v>
          </cell>
        </row>
        <row r="680">
          <cell r="G680">
            <v>40616</v>
          </cell>
          <cell r="H680">
            <v>36.130000000000003</v>
          </cell>
          <cell r="I680">
            <v>34.78</v>
          </cell>
          <cell r="J680">
            <v>34.130000000000003</v>
          </cell>
          <cell r="K680">
            <v>31.95</v>
          </cell>
        </row>
        <row r="681">
          <cell r="G681">
            <v>40623</v>
          </cell>
          <cell r="H681">
            <v>36</v>
          </cell>
          <cell r="I681">
            <v>35.1</v>
          </cell>
          <cell r="J681">
            <v>34.549999999999997</v>
          </cell>
          <cell r="K681">
            <v>32.17</v>
          </cell>
        </row>
        <row r="682">
          <cell r="G682">
            <v>40630</v>
          </cell>
          <cell r="H682">
            <v>35.67</v>
          </cell>
          <cell r="I682">
            <v>34.94</v>
          </cell>
          <cell r="J682">
            <v>34.35</v>
          </cell>
          <cell r="K682">
            <v>32</v>
          </cell>
        </row>
        <row r="683">
          <cell r="G683" t="str">
            <v>PROM/Marzo11</v>
          </cell>
          <cell r="H683">
            <v>35.590000000000003</v>
          </cell>
          <cell r="I683">
            <v>34.515000000000001</v>
          </cell>
          <cell r="J683">
            <v>33.822499999999998</v>
          </cell>
          <cell r="K683">
            <v>31.67</v>
          </cell>
        </row>
        <row r="684">
          <cell r="G684">
            <v>40637</v>
          </cell>
          <cell r="H684">
            <v>35.51</v>
          </cell>
          <cell r="I684">
            <v>34.619999999999997</v>
          </cell>
          <cell r="J684">
            <v>34.03</v>
          </cell>
          <cell r="K684">
            <v>31.76</v>
          </cell>
        </row>
        <row r="685">
          <cell r="G685">
            <v>40644</v>
          </cell>
          <cell r="H685">
            <v>36.659999999999997</v>
          </cell>
          <cell r="I685">
            <v>35.51</v>
          </cell>
          <cell r="J685">
            <v>34.9</v>
          </cell>
          <cell r="K685">
            <v>32.619999999999997</v>
          </cell>
        </row>
        <row r="686">
          <cell r="G686">
            <v>40651</v>
          </cell>
          <cell r="H686">
            <v>36.770000000000003</v>
          </cell>
          <cell r="I686">
            <v>35.880000000000003</v>
          </cell>
          <cell r="J686">
            <v>35.340000000000003</v>
          </cell>
          <cell r="K686">
            <v>32.840000000000003</v>
          </cell>
        </row>
        <row r="687">
          <cell r="G687">
            <v>40658</v>
          </cell>
          <cell r="H687">
            <v>36.770000000000003</v>
          </cell>
          <cell r="I687">
            <v>35.880000000000003</v>
          </cell>
          <cell r="J687">
            <v>35.340000000000003</v>
          </cell>
          <cell r="K687">
            <v>32.840000000000003</v>
          </cell>
        </row>
        <row r="688">
          <cell r="G688" t="str">
            <v>PROM/Abril11</v>
          </cell>
          <cell r="H688">
            <v>36.427500000000002</v>
          </cell>
          <cell r="I688">
            <v>35.472499999999997</v>
          </cell>
          <cell r="J688">
            <v>34.902500000000003</v>
          </cell>
          <cell r="K688">
            <v>32.515000000000001</v>
          </cell>
        </row>
        <row r="689">
          <cell r="G689">
            <v>40666</v>
          </cell>
          <cell r="H689">
            <v>36.770000000000003</v>
          </cell>
          <cell r="I689">
            <v>35.880000000000003</v>
          </cell>
          <cell r="J689">
            <v>35.340000000000003</v>
          </cell>
          <cell r="K689">
            <v>32.840000000000003</v>
          </cell>
        </row>
        <row r="690">
          <cell r="G690">
            <v>40672</v>
          </cell>
          <cell r="H690">
            <v>37.19</v>
          </cell>
          <cell r="I690">
            <v>36.520000000000003</v>
          </cell>
          <cell r="J690">
            <v>35.92</v>
          </cell>
          <cell r="K690">
            <v>33.07</v>
          </cell>
        </row>
        <row r="691">
          <cell r="G691">
            <v>40680</v>
          </cell>
          <cell r="H691">
            <v>36.380000000000003</v>
          </cell>
          <cell r="I691">
            <v>35.79</v>
          </cell>
          <cell r="J691">
            <v>35.25</v>
          </cell>
          <cell r="K691">
            <v>32.6</v>
          </cell>
        </row>
        <row r="692">
          <cell r="G692">
            <v>40687</v>
          </cell>
          <cell r="H692">
            <v>35.89</v>
          </cell>
          <cell r="I692">
            <v>35.11</v>
          </cell>
          <cell r="J692">
            <v>34.53</v>
          </cell>
          <cell r="K692">
            <v>31.66</v>
          </cell>
        </row>
        <row r="693">
          <cell r="G693">
            <v>40694</v>
          </cell>
          <cell r="H693">
            <v>35.409999999999997</v>
          </cell>
          <cell r="I693">
            <v>34.729999999999997</v>
          </cell>
          <cell r="J693">
            <v>34.119999999999997</v>
          </cell>
          <cell r="K693">
            <v>31.19</v>
          </cell>
        </row>
        <row r="694">
          <cell r="G694" t="str">
            <v>PROM/Mayo11</v>
          </cell>
          <cell r="H694">
            <v>36.328000000000003</v>
          </cell>
          <cell r="I694">
            <v>35.606000000000002</v>
          </cell>
          <cell r="J694">
            <v>35.032000000000004</v>
          </cell>
          <cell r="K694">
            <v>32.271999999999998</v>
          </cell>
        </row>
        <row r="695">
          <cell r="G695">
            <v>40700</v>
          </cell>
          <cell r="H695">
            <v>35.33</v>
          </cell>
          <cell r="I695">
            <v>34.54</v>
          </cell>
          <cell r="J695">
            <v>33.93</v>
          </cell>
          <cell r="K695">
            <v>31</v>
          </cell>
        </row>
        <row r="696">
          <cell r="G696">
            <v>40708</v>
          </cell>
          <cell r="H696">
            <v>35.83</v>
          </cell>
          <cell r="I696">
            <v>34.89</v>
          </cell>
          <cell r="J696">
            <v>34.299999999999997</v>
          </cell>
          <cell r="K696">
            <v>31.25</v>
          </cell>
        </row>
        <row r="697">
          <cell r="G697">
            <v>40715</v>
          </cell>
          <cell r="H697">
            <v>35.83</v>
          </cell>
          <cell r="I697">
            <v>34.96</v>
          </cell>
          <cell r="J697">
            <v>34.39</v>
          </cell>
          <cell r="K697">
            <v>31.7</v>
          </cell>
        </row>
        <row r="698">
          <cell r="G698">
            <v>40721</v>
          </cell>
          <cell r="H698">
            <v>35.380000000000003</v>
          </cell>
          <cell r="I698">
            <v>34.65</v>
          </cell>
          <cell r="J698">
            <v>34.07</v>
          </cell>
          <cell r="K698">
            <v>31.19</v>
          </cell>
        </row>
        <row r="699">
          <cell r="G699" t="str">
            <v>PROM/Junio11</v>
          </cell>
          <cell r="H699">
            <v>35.592500000000001</v>
          </cell>
          <cell r="I699">
            <v>34.760000000000005</v>
          </cell>
          <cell r="J699">
            <v>34.172499999999999</v>
          </cell>
          <cell r="K699">
            <v>31.285</v>
          </cell>
        </row>
        <row r="700">
          <cell r="G700">
            <v>40728</v>
          </cell>
          <cell r="H700">
            <v>35.340000000000003</v>
          </cell>
          <cell r="I700">
            <v>34.57</v>
          </cell>
          <cell r="J700">
            <v>33.94</v>
          </cell>
          <cell r="K700">
            <v>31.05</v>
          </cell>
        </row>
        <row r="701">
          <cell r="G701">
            <v>40735</v>
          </cell>
          <cell r="H701">
            <v>35.32</v>
          </cell>
          <cell r="I701">
            <v>34.46</v>
          </cell>
          <cell r="J701">
            <v>33.89</v>
          </cell>
          <cell r="K701">
            <v>30.98</v>
          </cell>
        </row>
        <row r="702">
          <cell r="G702">
            <v>40742</v>
          </cell>
          <cell r="H702">
            <v>36.18</v>
          </cell>
          <cell r="I702">
            <v>34.83</v>
          </cell>
          <cell r="J702">
            <v>34.25</v>
          </cell>
          <cell r="K702">
            <v>31.35</v>
          </cell>
        </row>
        <row r="703">
          <cell r="G703">
            <v>40750</v>
          </cell>
          <cell r="H703">
            <v>37.32</v>
          </cell>
          <cell r="I703">
            <v>36.03</v>
          </cell>
          <cell r="J703">
            <v>35.46</v>
          </cell>
          <cell r="K703">
            <v>32.53</v>
          </cell>
        </row>
        <row r="704">
          <cell r="G704" t="str">
            <v>PROM/Julio11</v>
          </cell>
          <cell r="H704">
            <v>36.04</v>
          </cell>
          <cell r="I704">
            <v>34.972499999999997</v>
          </cell>
          <cell r="J704">
            <v>34.384999999999998</v>
          </cell>
          <cell r="K704">
            <v>31.477499999999999</v>
          </cell>
        </row>
        <row r="705">
          <cell r="A705">
            <v>40756</v>
          </cell>
          <cell r="G705">
            <v>40756</v>
          </cell>
          <cell r="H705">
            <v>36.840000000000003</v>
          </cell>
          <cell r="I705">
            <v>36.01</v>
          </cell>
          <cell r="J705">
            <v>35.44</v>
          </cell>
          <cell r="K705">
            <v>32.47</v>
          </cell>
        </row>
        <row r="706">
          <cell r="A706">
            <v>40763</v>
          </cell>
          <cell r="G706">
            <v>40763</v>
          </cell>
          <cell r="H706">
            <v>36.36</v>
          </cell>
          <cell r="I706">
            <v>35.57</v>
          </cell>
          <cell r="J706">
            <v>34.99</v>
          </cell>
          <cell r="K706">
            <v>32.090000000000003</v>
          </cell>
        </row>
        <row r="707">
          <cell r="A707">
            <v>40771</v>
          </cell>
          <cell r="G707">
            <v>40771</v>
          </cell>
          <cell r="H707">
            <v>35.78</v>
          </cell>
          <cell r="I707">
            <v>35.049999999999997</v>
          </cell>
          <cell r="J707">
            <v>34.479999999999997</v>
          </cell>
          <cell r="K707">
            <v>31.52</v>
          </cell>
        </row>
        <row r="708">
          <cell r="A708">
            <v>40777</v>
          </cell>
          <cell r="G708">
            <v>40777</v>
          </cell>
          <cell r="H708">
            <v>35.380000000000003</v>
          </cell>
          <cell r="I708">
            <v>34.75</v>
          </cell>
          <cell r="J708">
            <v>34.159999999999997</v>
          </cell>
          <cell r="K708">
            <v>31.21</v>
          </cell>
        </row>
        <row r="709">
          <cell r="A709">
            <v>40784</v>
          </cell>
          <cell r="G709">
            <v>40784</v>
          </cell>
          <cell r="H709">
            <v>34.909999999999997</v>
          </cell>
          <cell r="I709">
            <v>34.31</v>
          </cell>
          <cell r="J709">
            <v>33.74</v>
          </cell>
          <cell r="K709">
            <v>30.73</v>
          </cell>
        </row>
        <row r="710">
          <cell r="G710" t="str">
            <v>PROM/Agosto11</v>
          </cell>
          <cell r="H710">
            <v>35.853999999999999</v>
          </cell>
          <cell r="I710">
            <v>35.137999999999998</v>
          </cell>
          <cell r="J710">
            <v>34.561999999999998</v>
          </cell>
          <cell r="K710">
            <v>31.603999999999996</v>
          </cell>
        </row>
        <row r="711">
          <cell r="G711">
            <v>40791</v>
          </cell>
          <cell r="H711">
            <v>35.4</v>
          </cell>
          <cell r="I711">
            <v>34.520000000000003</v>
          </cell>
          <cell r="J711">
            <v>33.93</v>
          </cell>
          <cell r="K711">
            <v>30.95</v>
          </cell>
        </row>
        <row r="712">
          <cell r="G712">
            <v>40799</v>
          </cell>
          <cell r="H712">
            <v>35.83</v>
          </cell>
          <cell r="I712">
            <v>34.979999999999997</v>
          </cell>
          <cell r="J712">
            <v>34.36</v>
          </cell>
          <cell r="K712">
            <v>31.41</v>
          </cell>
        </row>
        <row r="713">
          <cell r="G713">
            <v>40805</v>
          </cell>
          <cell r="H713">
            <v>35.83</v>
          </cell>
          <cell r="I713">
            <v>34.94</v>
          </cell>
          <cell r="J713">
            <v>34.369999999999997</v>
          </cell>
          <cell r="K713">
            <v>31.36</v>
          </cell>
        </row>
        <row r="714">
          <cell r="G714">
            <v>40812</v>
          </cell>
          <cell r="H714">
            <v>35.369999999999997</v>
          </cell>
          <cell r="I714">
            <v>34.53</v>
          </cell>
          <cell r="J714">
            <v>33.93</v>
          </cell>
          <cell r="K714">
            <v>30.96</v>
          </cell>
        </row>
        <row r="715">
          <cell r="G715" t="str">
            <v>PROM/Septiembre11</v>
          </cell>
          <cell r="H715">
            <v>35.607499999999995</v>
          </cell>
          <cell r="I715">
            <v>34.7425</v>
          </cell>
          <cell r="J715">
            <v>34.147500000000001</v>
          </cell>
          <cell r="K715">
            <v>31.17</v>
          </cell>
        </row>
        <row r="716">
          <cell r="G716">
            <v>40819</v>
          </cell>
          <cell r="H716">
            <v>34.82</v>
          </cell>
          <cell r="I716">
            <v>34.1</v>
          </cell>
          <cell r="J716">
            <v>33.47</v>
          </cell>
          <cell r="K716">
            <v>30.54</v>
          </cell>
        </row>
        <row r="717">
          <cell r="G717">
            <v>40826</v>
          </cell>
          <cell r="H717">
            <v>34.369999999999997</v>
          </cell>
          <cell r="I717">
            <v>33.53</v>
          </cell>
          <cell r="J717">
            <v>32.9</v>
          </cell>
          <cell r="K717">
            <v>29.96</v>
          </cell>
        </row>
        <row r="718">
          <cell r="G718">
            <v>40833</v>
          </cell>
          <cell r="H718">
            <v>35.31</v>
          </cell>
          <cell r="I718">
            <v>34.22</v>
          </cell>
          <cell r="J718">
            <v>33.590000000000003</v>
          </cell>
          <cell r="K718">
            <v>30.69</v>
          </cell>
        </row>
        <row r="719">
          <cell r="G719">
            <v>40840</v>
          </cell>
          <cell r="H719">
            <v>35.299999999999997</v>
          </cell>
          <cell r="I719">
            <v>34.36</v>
          </cell>
          <cell r="J719">
            <v>33.69</v>
          </cell>
          <cell r="K719">
            <v>31.26</v>
          </cell>
        </row>
        <row r="720">
          <cell r="G720">
            <v>40847</v>
          </cell>
          <cell r="H720">
            <v>35.22</v>
          </cell>
          <cell r="I720">
            <v>34.36</v>
          </cell>
          <cell r="J720">
            <v>33.700000000000003</v>
          </cell>
          <cell r="K720">
            <v>31.73</v>
          </cell>
        </row>
        <row r="721">
          <cell r="G721" t="str">
            <v>PROM/Octubre11</v>
          </cell>
          <cell r="H721">
            <v>35.004000000000005</v>
          </cell>
          <cell r="I721">
            <v>34.113999999999997</v>
          </cell>
          <cell r="J721">
            <v>33.470000000000006</v>
          </cell>
          <cell r="K721">
            <v>30.836000000000002</v>
          </cell>
        </row>
        <row r="722">
          <cell r="G722">
            <v>40854</v>
          </cell>
          <cell r="H722">
            <v>35.130000000000003</v>
          </cell>
          <cell r="I722">
            <v>34.369999999999997</v>
          </cell>
          <cell r="J722">
            <v>33.74</v>
          </cell>
          <cell r="K722">
            <v>31.8</v>
          </cell>
        </row>
        <row r="723">
          <cell r="G723">
            <v>40861</v>
          </cell>
          <cell r="H723">
            <v>35.79</v>
          </cell>
          <cell r="I723">
            <v>34.67</v>
          </cell>
          <cell r="J723">
            <v>34.020000000000003</v>
          </cell>
          <cell r="K723">
            <v>32.28</v>
          </cell>
        </row>
        <row r="724">
          <cell r="G724">
            <v>40868</v>
          </cell>
          <cell r="H724">
            <v>35.590000000000003</v>
          </cell>
          <cell r="I724">
            <v>34.75</v>
          </cell>
          <cell r="J724">
            <v>34.119999999999997</v>
          </cell>
          <cell r="K724">
            <v>32.69</v>
          </cell>
        </row>
        <row r="725">
          <cell r="G725">
            <v>40875</v>
          </cell>
          <cell r="H725">
            <v>35.21</v>
          </cell>
          <cell r="I725">
            <v>34.43</v>
          </cell>
          <cell r="J725">
            <v>33.840000000000003</v>
          </cell>
          <cell r="K725">
            <v>32.1</v>
          </cell>
        </row>
        <row r="726">
          <cell r="G726" t="str">
            <v>PROM/Noviembre11</v>
          </cell>
          <cell r="H726">
            <v>35.43</v>
          </cell>
          <cell r="I726">
            <v>34.555</v>
          </cell>
          <cell r="J726">
            <v>33.93</v>
          </cell>
          <cell r="K726">
            <v>32.217500000000001</v>
          </cell>
        </row>
        <row r="727">
          <cell r="G727">
            <v>40882</v>
          </cell>
          <cell r="H727">
            <v>34.799999999999997</v>
          </cell>
          <cell r="I727">
            <v>34.07</v>
          </cell>
          <cell r="J727">
            <v>33.47</v>
          </cell>
          <cell r="K727">
            <v>31.89</v>
          </cell>
        </row>
        <row r="728">
          <cell r="G728">
            <v>40889</v>
          </cell>
          <cell r="H728">
            <v>34.32</v>
          </cell>
          <cell r="I728">
            <v>33.56</v>
          </cell>
          <cell r="J728">
            <v>32.94</v>
          </cell>
          <cell r="K728">
            <v>31.12</v>
          </cell>
        </row>
        <row r="729">
          <cell r="G729">
            <v>40896</v>
          </cell>
          <cell r="H729">
            <v>34.32</v>
          </cell>
          <cell r="I729">
            <v>33.56</v>
          </cell>
          <cell r="J729">
            <v>32.92</v>
          </cell>
          <cell r="K729">
            <v>31.04</v>
          </cell>
        </row>
        <row r="730">
          <cell r="G730">
            <v>40903</v>
          </cell>
          <cell r="H730">
            <v>32.909999999999997</v>
          </cell>
          <cell r="I730">
            <v>32.299999999999997</v>
          </cell>
          <cell r="J730">
            <v>31.68</v>
          </cell>
          <cell r="K730">
            <v>30.24</v>
          </cell>
        </row>
        <row r="731">
          <cell r="G731" t="str">
            <v>PROM/Diciembre11</v>
          </cell>
          <cell r="H731">
            <v>34.087499999999999</v>
          </cell>
          <cell r="I731">
            <v>33.372500000000002</v>
          </cell>
          <cell r="J731">
            <v>32.752499999999998</v>
          </cell>
          <cell r="K731">
            <v>31.072500000000002</v>
          </cell>
        </row>
        <row r="732">
          <cell r="G732" t="str">
            <v>PROMEDIO ANUAL11</v>
          </cell>
          <cell r="H732">
            <v>35.086541666666669</v>
          </cell>
          <cell r="I732">
            <v>34.165875</v>
          </cell>
          <cell r="J732">
            <v>33.49783333333334</v>
          </cell>
          <cell r="K732">
            <v>31.051625000000001</v>
          </cell>
        </row>
        <row r="733">
          <cell r="G733" t="str">
            <v>AÑO 2012</v>
          </cell>
        </row>
        <row r="734">
          <cell r="G734">
            <v>40911</v>
          </cell>
          <cell r="H734">
            <v>33.340000000000003</v>
          </cell>
          <cell r="I734">
            <v>32.5</v>
          </cell>
          <cell r="J734">
            <v>31.83</v>
          </cell>
          <cell r="K734">
            <v>30.39</v>
          </cell>
        </row>
        <row r="735">
          <cell r="G735">
            <v>40917</v>
          </cell>
          <cell r="H735">
            <v>34.29</v>
          </cell>
          <cell r="I735">
            <v>33.43</v>
          </cell>
          <cell r="J735">
            <v>32.78</v>
          </cell>
          <cell r="K735">
            <v>31.34</v>
          </cell>
        </row>
        <row r="736">
          <cell r="G736">
            <v>40925</v>
          </cell>
          <cell r="H736">
            <v>34.29</v>
          </cell>
          <cell r="I736">
            <v>33.43</v>
          </cell>
          <cell r="J736">
            <v>32.78</v>
          </cell>
          <cell r="K736">
            <v>31.34</v>
          </cell>
        </row>
        <row r="737">
          <cell r="G737">
            <v>40931</v>
          </cell>
          <cell r="H737">
            <v>34.29</v>
          </cell>
          <cell r="I737">
            <v>33.43</v>
          </cell>
          <cell r="J737">
            <v>32.78</v>
          </cell>
          <cell r="K737">
            <v>31.34</v>
          </cell>
        </row>
        <row r="738">
          <cell r="G738">
            <v>40938</v>
          </cell>
          <cell r="H738">
            <v>33.17</v>
          </cell>
          <cell r="I738">
            <v>32.770000000000003</v>
          </cell>
          <cell r="J738">
            <v>32.159999999999997</v>
          </cell>
          <cell r="K738">
            <v>30.17</v>
          </cell>
        </row>
        <row r="739">
          <cell r="G739" t="str">
            <v>PROM/Enero12</v>
          </cell>
          <cell r="H739">
            <v>33.875999999999998</v>
          </cell>
          <cell r="I739">
            <v>33.112000000000009</v>
          </cell>
          <cell r="J739">
            <v>32.466000000000001</v>
          </cell>
          <cell r="K739">
            <v>30.916000000000004</v>
          </cell>
        </row>
        <row r="740">
          <cell r="G740">
            <v>40945</v>
          </cell>
          <cell r="H740">
            <v>34.659999999999997</v>
          </cell>
          <cell r="I740">
            <v>33.94</v>
          </cell>
          <cell r="J740">
            <v>33.29</v>
          </cell>
          <cell r="K740">
            <v>31.78</v>
          </cell>
        </row>
        <row r="741">
          <cell r="G741">
            <v>40952</v>
          </cell>
          <cell r="H741">
            <v>36.72</v>
          </cell>
          <cell r="I741">
            <v>35.51</v>
          </cell>
          <cell r="J741">
            <v>34.799999999999997</v>
          </cell>
          <cell r="K741">
            <v>32.69</v>
          </cell>
        </row>
        <row r="742">
          <cell r="G742">
            <v>40959</v>
          </cell>
          <cell r="H742">
            <v>36.67</v>
          </cell>
          <cell r="I742">
            <v>35.869999999999997</v>
          </cell>
          <cell r="J742">
            <v>35.17</v>
          </cell>
          <cell r="K742">
            <v>32.81</v>
          </cell>
        </row>
        <row r="743">
          <cell r="G743">
            <v>40966</v>
          </cell>
          <cell r="H743">
            <v>36.67</v>
          </cell>
          <cell r="I743">
            <v>35.869999999999997</v>
          </cell>
          <cell r="J743">
            <v>35.17</v>
          </cell>
          <cell r="K743">
            <v>32.81</v>
          </cell>
        </row>
        <row r="744">
          <cell r="G744" t="str">
            <v>PROM/Febrero12</v>
          </cell>
          <cell r="H744">
            <v>36.18</v>
          </cell>
          <cell r="I744">
            <v>35.297499999999999</v>
          </cell>
          <cell r="J744">
            <v>34.607500000000002</v>
          </cell>
          <cell r="K744">
            <v>32.522500000000001</v>
          </cell>
        </row>
        <row r="745">
          <cell r="G745">
            <v>40973</v>
          </cell>
          <cell r="H745">
            <v>36.67</v>
          </cell>
          <cell r="I745">
            <v>35.869999999999997</v>
          </cell>
          <cell r="J745">
            <v>35.17</v>
          </cell>
          <cell r="K745">
            <v>32.81</v>
          </cell>
        </row>
        <row r="746">
          <cell r="G746">
            <v>40980</v>
          </cell>
          <cell r="H746">
            <v>38.28</v>
          </cell>
          <cell r="I746">
            <v>36.92</v>
          </cell>
          <cell r="J746">
            <v>36.340000000000003</v>
          </cell>
          <cell r="K746">
            <v>33.18</v>
          </cell>
        </row>
        <row r="747">
          <cell r="G747">
            <v>40987</v>
          </cell>
          <cell r="H747">
            <v>38.18</v>
          </cell>
          <cell r="I747">
            <v>37.380000000000003</v>
          </cell>
          <cell r="J747">
            <v>36.82</v>
          </cell>
          <cell r="K747">
            <v>33.369999999999997</v>
          </cell>
        </row>
        <row r="748">
          <cell r="G748">
            <v>40994</v>
          </cell>
          <cell r="H748">
            <v>37.020000000000003</v>
          </cell>
          <cell r="I748">
            <v>36.65</v>
          </cell>
          <cell r="J748">
            <v>36.119999999999997</v>
          </cell>
          <cell r="K748">
            <v>32.82</v>
          </cell>
        </row>
        <row r="749">
          <cell r="G749" t="str">
            <v>PROM/Marzo12</v>
          </cell>
          <cell r="H749">
            <v>37.537500000000001</v>
          </cell>
          <cell r="I749">
            <v>36.704999999999998</v>
          </cell>
          <cell r="J749">
            <v>36.112500000000004</v>
          </cell>
          <cell r="K749">
            <v>33.045000000000002</v>
          </cell>
        </row>
        <row r="750">
          <cell r="G750">
            <v>41001</v>
          </cell>
          <cell r="H750">
            <v>38.46</v>
          </cell>
          <cell r="I750">
            <v>37.68</v>
          </cell>
          <cell r="J750">
            <v>37.15</v>
          </cell>
          <cell r="K750">
            <v>33.56</v>
          </cell>
        </row>
        <row r="751">
          <cell r="G751">
            <v>41008</v>
          </cell>
          <cell r="H751">
            <v>38.42</v>
          </cell>
          <cell r="I751">
            <v>37.659999999999997</v>
          </cell>
          <cell r="J751">
            <v>37.119999999999997</v>
          </cell>
          <cell r="K751">
            <v>33.21</v>
          </cell>
        </row>
        <row r="752">
          <cell r="G752">
            <v>41015</v>
          </cell>
          <cell r="H752">
            <v>38.5</v>
          </cell>
          <cell r="I752">
            <v>37.78</v>
          </cell>
          <cell r="J752">
            <v>37.22</v>
          </cell>
          <cell r="K752">
            <v>33.03</v>
          </cell>
        </row>
        <row r="753">
          <cell r="G753">
            <v>41022</v>
          </cell>
          <cell r="H753">
            <v>38.22</v>
          </cell>
          <cell r="I753">
            <v>37.46</v>
          </cell>
          <cell r="J753">
            <v>36.909999999999997</v>
          </cell>
          <cell r="K753">
            <v>32.69</v>
          </cell>
        </row>
        <row r="754">
          <cell r="G754">
            <v>41029</v>
          </cell>
          <cell r="H754">
            <v>38.07</v>
          </cell>
          <cell r="I754">
            <v>37.299999999999997</v>
          </cell>
          <cell r="J754">
            <v>36.72</v>
          </cell>
          <cell r="K754">
            <v>32.590000000000003</v>
          </cell>
        </row>
        <row r="755">
          <cell r="G755" t="str">
            <v>PROM/Abril12</v>
          </cell>
          <cell r="H755">
            <v>38.333999999999996</v>
          </cell>
          <cell r="I755">
            <v>37.576000000000001</v>
          </cell>
          <cell r="J755">
            <v>37.023999999999994</v>
          </cell>
          <cell r="K755">
            <v>33.016000000000005</v>
          </cell>
        </row>
        <row r="756">
          <cell r="G756">
            <v>41036</v>
          </cell>
          <cell r="H756">
            <v>37.44</v>
          </cell>
          <cell r="I756">
            <v>36.92</v>
          </cell>
          <cell r="J756">
            <v>36.33</v>
          </cell>
          <cell r="K756">
            <v>32.74</v>
          </cell>
        </row>
        <row r="757">
          <cell r="G757">
            <v>41043</v>
          </cell>
          <cell r="H757">
            <v>36.880000000000003</v>
          </cell>
          <cell r="I757">
            <v>36.14</v>
          </cell>
          <cell r="J757">
            <v>35.57</v>
          </cell>
          <cell r="K757">
            <v>32.06</v>
          </cell>
        </row>
        <row r="758">
          <cell r="G758">
            <v>41050</v>
          </cell>
          <cell r="H758">
            <v>35.93</v>
          </cell>
          <cell r="I758">
            <v>35.97</v>
          </cell>
          <cell r="J758">
            <v>34.78</v>
          </cell>
          <cell r="K758">
            <v>31.25</v>
          </cell>
        </row>
        <row r="759">
          <cell r="G759">
            <v>41057</v>
          </cell>
          <cell r="H759">
            <v>35.75</v>
          </cell>
          <cell r="I759">
            <v>34.97</v>
          </cell>
          <cell r="J759">
            <v>34.35</v>
          </cell>
          <cell r="K759">
            <v>30.59</v>
          </cell>
        </row>
        <row r="760">
          <cell r="G760" t="str">
            <v>PROM/Mayo12</v>
          </cell>
          <cell r="H760">
            <v>36.5</v>
          </cell>
          <cell r="I760">
            <v>36</v>
          </cell>
          <cell r="J760">
            <v>35.2575</v>
          </cell>
          <cell r="K760">
            <v>31.660000000000004</v>
          </cell>
        </row>
        <row r="761">
          <cell r="G761">
            <v>41064</v>
          </cell>
          <cell r="H761">
            <v>34.880000000000003</v>
          </cell>
          <cell r="I761">
            <v>34.08</v>
          </cell>
          <cell r="J761">
            <v>33.42</v>
          </cell>
          <cell r="K761">
            <v>29.67</v>
          </cell>
        </row>
        <row r="762">
          <cell r="G762">
            <v>41071</v>
          </cell>
          <cell r="H762">
            <v>34</v>
          </cell>
          <cell r="I762">
            <v>33.340000000000003</v>
          </cell>
          <cell r="J762">
            <v>32.700000000000003</v>
          </cell>
          <cell r="K762">
            <v>28.71</v>
          </cell>
        </row>
        <row r="763">
          <cell r="G763">
            <v>41078</v>
          </cell>
          <cell r="H763">
            <v>34.479999999999997</v>
          </cell>
          <cell r="I763">
            <v>33.450000000000003</v>
          </cell>
          <cell r="J763">
            <v>32.76</v>
          </cell>
          <cell r="K763">
            <v>29.11</v>
          </cell>
        </row>
        <row r="764">
          <cell r="G764">
            <v>41085</v>
          </cell>
          <cell r="H764">
            <v>34.68</v>
          </cell>
          <cell r="I764">
            <v>33.99</v>
          </cell>
          <cell r="J764">
            <v>33.33</v>
          </cell>
          <cell r="K764">
            <v>29.32</v>
          </cell>
        </row>
        <row r="765">
          <cell r="G765" t="str">
            <v>PROM/Junio12</v>
          </cell>
          <cell r="H765">
            <v>34.51</v>
          </cell>
          <cell r="I765">
            <v>33.715000000000003</v>
          </cell>
          <cell r="J765">
            <v>33.052499999999995</v>
          </cell>
          <cell r="K765">
            <v>29.202500000000001</v>
          </cell>
        </row>
        <row r="766">
          <cell r="G766">
            <v>41092</v>
          </cell>
        </row>
        <row r="767">
          <cell r="G767">
            <v>41099</v>
          </cell>
        </row>
        <row r="768">
          <cell r="G768">
            <v>41106</v>
          </cell>
        </row>
        <row r="769">
          <cell r="G769">
            <v>41113</v>
          </cell>
        </row>
        <row r="770">
          <cell r="G770">
            <v>41120</v>
          </cell>
        </row>
        <row r="771">
          <cell r="G771" t="str">
            <v>PROM/Julio12</v>
          </cell>
          <cell r="H771" t="e">
            <v>#DIV/0!</v>
          </cell>
          <cell r="I771" t="e">
            <v>#DIV/0!</v>
          </cell>
          <cell r="J771" t="e">
            <v>#DIV/0!</v>
          </cell>
          <cell r="K771" t="e">
            <v>#DIV/0!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nker"/>
      <sheetName val="graficodiario2014y2015"/>
      <sheetName val="graficosemanal2014y2015"/>
    </sheetNames>
    <sheetDataSet>
      <sheetData sheetId="0">
        <row r="2303">
          <cell r="G2303">
            <v>15.5</v>
          </cell>
          <cell r="H2303">
            <v>16.350000000000001</v>
          </cell>
        </row>
        <row r="2304">
          <cell r="G2304">
            <v>15.5</v>
          </cell>
          <cell r="H2304">
            <v>16.350000000000001</v>
          </cell>
        </row>
        <row r="2306">
          <cell r="G2306">
            <v>15.5</v>
          </cell>
        </row>
        <row r="2307">
          <cell r="G2307">
            <v>15</v>
          </cell>
        </row>
        <row r="2308">
          <cell r="G2308">
            <v>14.5</v>
          </cell>
        </row>
        <row r="2309">
          <cell r="G2309">
            <v>14.5</v>
          </cell>
        </row>
        <row r="2310">
          <cell r="G2310">
            <v>14</v>
          </cell>
        </row>
        <row r="2313">
          <cell r="H2313">
            <v>15.4</v>
          </cell>
        </row>
        <row r="2314">
          <cell r="H2314">
            <v>15.4</v>
          </cell>
        </row>
        <row r="2315">
          <cell r="H2315">
            <v>15.25</v>
          </cell>
        </row>
        <row r="2316">
          <cell r="H2316">
            <v>15.25</v>
          </cell>
        </row>
        <row r="2317">
          <cell r="H2317">
            <v>15.25</v>
          </cell>
        </row>
        <row r="2318">
          <cell r="H2318">
            <v>15.25</v>
          </cell>
        </row>
        <row r="2320">
          <cell r="H2320">
            <v>15.25</v>
          </cell>
        </row>
        <row r="2321">
          <cell r="H2321">
            <v>15.25</v>
          </cell>
        </row>
        <row r="2322">
          <cell r="H2322">
            <v>15.225</v>
          </cell>
        </row>
        <row r="2323">
          <cell r="H2323">
            <v>15.225</v>
          </cell>
        </row>
        <row r="2324">
          <cell r="H2324">
            <v>15.05</v>
          </cell>
        </row>
        <row r="2325">
          <cell r="H2325">
            <v>15.05</v>
          </cell>
        </row>
        <row r="3092">
          <cell r="H3092">
            <v>11.51</v>
          </cell>
        </row>
        <row r="3093">
          <cell r="H3093">
            <v>11.51</v>
          </cell>
        </row>
        <row r="3094">
          <cell r="H3094">
            <v>11.51</v>
          </cell>
        </row>
        <row r="3095">
          <cell r="H3095">
            <v>11.51</v>
          </cell>
        </row>
        <row r="3097">
          <cell r="H3097">
            <v>11.51</v>
          </cell>
        </row>
        <row r="3098">
          <cell r="H3098">
            <v>11.51</v>
          </cell>
        </row>
        <row r="3099">
          <cell r="H3099">
            <v>11.574999999999999</v>
          </cell>
        </row>
        <row r="3100">
          <cell r="H3100">
            <v>11.574999999999999</v>
          </cell>
        </row>
        <row r="3101">
          <cell r="H3101">
            <v>11.574999999999999</v>
          </cell>
        </row>
        <row r="3102">
          <cell r="H3102">
            <v>11.574999999999999</v>
          </cell>
        </row>
        <row r="3104">
          <cell r="H3104">
            <v>11.574999999999999</v>
          </cell>
        </row>
        <row r="3105">
          <cell r="H3105">
            <v>11.574999999999999</v>
          </cell>
        </row>
        <row r="3106">
          <cell r="H3106">
            <v>11.375</v>
          </cell>
        </row>
        <row r="3107">
          <cell r="H3107">
            <v>11.375</v>
          </cell>
        </row>
        <row r="3108">
          <cell r="H3108">
            <v>11.375</v>
          </cell>
        </row>
        <row r="3109">
          <cell r="H3109">
            <v>11.375</v>
          </cell>
        </row>
        <row r="3118">
          <cell r="H3118">
            <v>11.35</v>
          </cell>
        </row>
        <row r="3119">
          <cell r="H3119">
            <v>11.35</v>
          </cell>
        </row>
        <row r="3120">
          <cell r="H3120">
            <v>11.175000000000001</v>
          </cell>
        </row>
        <row r="3121">
          <cell r="H3121">
            <v>11.175000000000001</v>
          </cell>
        </row>
        <row r="3122">
          <cell r="H3122">
            <v>11.175000000000001</v>
          </cell>
        </row>
        <row r="3123">
          <cell r="H3123">
            <v>11.175000000000001</v>
          </cell>
        </row>
        <row r="3125">
          <cell r="H3125">
            <v>11.175000000000001</v>
          </cell>
        </row>
        <row r="3126">
          <cell r="H3126">
            <v>11.175000000000001</v>
          </cell>
        </row>
        <row r="3127">
          <cell r="H3127">
            <v>11.175000000000001</v>
          </cell>
        </row>
        <row r="3128">
          <cell r="H3128">
            <v>11.175000000000001</v>
          </cell>
        </row>
        <row r="3129">
          <cell r="H3129">
            <v>11.225</v>
          </cell>
        </row>
        <row r="3130">
          <cell r="H3130">
            <v>11.225</v>
          </cell>
        </row>
        <row r="3132">
          <cell r="H3132">
            <v>11.225</v>
          </cell>
        </row>
        <row r="3133">
          <cell r="H3133">
            <v>11.225</v>
          </cell>
        </row>
        <row r="3134">
          <cell r="H3134">
            <v>11.225</v>
          </cell>
        </row>
        <row r="3135">
          <cell r="H3135">
            <v>11.225</v>
          </cell>
        </row>
        <row r="3136">
          <cell r="H3136">
            <v>11.225</v>
          </cell>
        </row>
        <row r="3137">
          <cell r="H3137">
            <v>11.225</v>
          </cell>
        </row>
        <row r="3139">
          <cell r="H3139">
            <v>11.375</v>
          </cell>
        </row>
        <row r="3140">
          <cell r="H3140">
            <v>11.375</v>
          </cell>
        </row>
        <row r="3141">
          <cell r="H3141">
            <v>11.375</v>
          </cell>
        </row>
        <row r="3142">
          <cell r="H3142">
            <v>11.375</v>
          </cell>
        </row>
        <row r="3143">
          <cell r="H3143">
            <v>11.375</v>
          </cell>
        </row>
        <row r="3144">
          <cell r="H3144">
            <v>11.375</v>
          </cell>
        </row>
        <row r="3146">
          <cell r="H3146">
            <v>11.274999999999999</v>
          </cell>
        </row>
        <row r="3147">
          <cell r="H3147">
            <v>11.274999999999999</v>
          </cell>
        </row>
        <row r="3148">
          <cell r="H3148">
            <v>11.274999999999999</v>
          </cell>
        </row>
        <row r="3149">
          <cell r="H3149">
            <v>11.274999999999999</v>
          </cell>
        </row>
        <row r="3150">
          <cell r="H3150">
            <v>11.274999999999999</v>
          </cell>
        </row>
        <row r="3151">
          <cell r="H3151">
            <v>11.274999999999999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>
        <row r="10">
          <cell r="D10">
            <v>18.149999999999999</v>
          </cell>
        </row>
        <row r="11">
          <cell r="D11">
            <v>18.149999999999999</v>
          </cell>
        </row>
        <row r="12">
          <cell r="D12">
            <v>18.149999999999999</v>
          </cell>
        </row>
        <row r="13">
          <cell r="D13">
            <v>18.149999999999999</v>
          </cell>
        </row>
        <row r="14">
          <cell r="D14">
            <v>18.149999999999999</v>
          </cell>
        </row>
        <row r="15">
          <cell r="D15" t="str">
            <v>nv</v>
          </cell>
        </row>
        <row r="16">
          <cell r="D16">
            <v>18.95</v>
          </cell>
        </row>
        <row r="24">
          <cell r="D24">
            <v>19.05</v>
          </cell>
        </row>
        <row r="25">
          <cell r="D25">
            <v>19.05</v>
          </cell>
        </row>
        <row r="26">
          <cell r="D26">
            <v>19.05</v>
          </cell>
        </row>
        <row r="27">
          <cell r="D27">
            <v>19.05</v>
          </cell>
        </row>
        <row r="28">
          <cell r="D28">
            <v>19.05</v>
          </cell>
        </row>
        <row r="29">
          <cell r="D29" t="str">
            <v>nv</v>
          </cell>
        </row>
        <row r="30">
          <cell r="D30">
            <v>18.82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ual"/>
      <sheetName val="GRAFICAS"/>
      <sheetName val="X-SEMANA-AS-SC"/>
      <sheetName val="Promedios-AS"/>
      <sheetName val="X-MES-AS"/>
      <sheetName val="X-SEMANA-SC"/>
      <sheetName val="X-MES-SC"/>
      <sheetName val="ANUALES"/>
      <sheetName val="PRECIOS SC-81-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191">
          <cell r="A1191" t="str">
            <v>FECHA</v>
          </cell>
          <cell r="B1191" t="str">
            <v>SUPERIOR 98</v>
          </cell>
          <cell r="C1191" t="str">
            <v>SUPERIOR 95</v>
          </cell>
          <cell r="D1191" t="str">
            <v>REGULAR</v>
          </cell>
          <cell r="E1191" t="str">
            <v>DIESEL</v>
          </cell>
          <cell r="F1191" t="str">
            <v>KEROSINA</v>
          </cell>
          <cell r="G1191" t="str">
            <v>BUNKER Rack</v>
          </cell>
          <cell r="H1191" t="str">
            <v>AV-GAS</v>
          </cell>
          <cell r="I1191" t="str">
            <v>AV-JET</v>
          </cell>
          <cell r="J1191" t="str">
            <v>GLP</v>
          </cell>
        </row>
        <row r="1192">
          <cell r="B1192" t="str">
            <v>Q/GALON</v>
          </cell>
          <cell r="C1192" t="str">
            <v>Q/GALON</v>
          </cell>
          <cell r="D1192" t="str">
            <v>Q/GALON</v>
          </cell>
          <cell r="E1192" t="str">
            <v>Q/GALON</v>
          </cell>
          <cell r="F1192" t="str">
            <v>Q/GALON</v>
          </cell>
          <cell r="G1192" t="str">
            <v>Q/GALON</v>
          </cell>
          <cell r="H1192" t="str">
            <v>Q/GALON</v>
          </cell>
          <cell r="I1192" t="str">
            <v>Q/GALON</v>
          </cell>
          <cell r="J1192" t="str">
            <v>Q/GALON</v>
          </cell>
        </row>
        <row r="1193">
          <cell r="A1193">
            <v>39818</v>
          </cell>
          <cell r="B1193">
            <v>22.79</v>
          </cell>
          <cell r="C1193">
            <v>21.52</v>
          </cell>
          <cell r="D1193">
            <v>20.64</v>
          </cell>
          <cell r="E1193">
            <v>19.760000000000002</v>
          </cell>
          <cell r="F1193">
            <v>25.95</v>
          </cell>
          <cell r="G1193">
            <v>8.6</v>
          </cell>
          <cell r="H1193">
            <v>30.64</v>
          </cell>
          <cell r="I1193">
            <v>19.079999999999998</v>
          </cell>
          <cell r="J1193">
            <v>16.68458</v>
          </cell>
        </row>
        <row r="1194">
          <cell r="A1194">
            <v>39825</v>
          </cell>
          <cell r="B1194">
            <v>22.92</v>
          </cell>
          <cell r="C1194">
            <v>21.65</v>
          </cell>
          <cell r="D1194">
            <v>20.74</v>
          </cell>
          <cell r="E1194">
            <v>19.670000000000002</v>
          </cell>
          <cell r="F1194">
            <v>20.95</v>
          </cell>
          <cell r="G1194">
            <v>8.66</v>
          </cell>
          <cell r="H1194">
            <v>30.97</v>
          </cell>
          <cell r="I1194">
            <v>19.28</v>
          </cell>
          <cell r="J1194">
            <v>16.719776000000003</v>
          </cell>
        </row>
        <row r="1195">
          <cell r="A1195">
            <v>39832</v>
          </cell>
          <cell r="B1195">
            <v>22.91</v>
          </cell>
          <cell r="C1195">
            <v>21.67</v>
          </cell>
          <cell r="D1195">
            <v>20.77</v>
          </cell>
          <cell r="E1195">
            <v>19.600000000000001</v>
          </cell>
          <cell r="F1195">
            <v>20.95</v>
          </cell>
          <cell r="G1195">
            <v>9.44</v>
          </cell>
          <cell r="H1195">
            <v>30.55</v>
          </cell>
          <cell r="I1195">
            <v>20.56</v>
          </cell>
          <cell r="J1195">
            <v>16.703016000000002</v>
          </cell>
        </row>
        <row r="1196">
          <cell r="A1196">
            <v>39839</v>
          </cell>
          <cell r="B1196">
            <v>22.83</v>
          </cell>
          <cell r="C1196">
            <v>21.46</v>
          </cell>
          <cell r="D1196">
            <v>20.55</v>
          </cell>
          <cell r="E1196">
            <v>19.010000000000002</v>
          </cell>
          <cell r="F1196">
            <v>20.95</v>
          </cell>
          <cell r="G1196">
            <v>9.44</v>
          </cell>
          <cell r="H1196">
            <v>31</v>
          </cell>
          <cell r="I1196">
            <v>20.86</v>
          </cell>
          <cell r="J1196">
            <v>15.566688000000001</v>
          </cell>
        </row>
        <row r="1197">
          <cell r="A1197" t="str">
            <v>Promedio1-9</v>
          </cell>
          <cell r="B1197">
            <v>22.862500000000001</v>
          </cell>
          <cell r="C1197">
            <v>21.575000000000003</v>
          </cell>
          <cell r="D1197">
            <v>20.674999999999997</v>
          </cell>
          <cell r="E1197">
            <v>19.510000000000002</v>
          </cell>
          <cell r="F1197">
            <v>22.2</v>
          </cell>
          <cell r="G1197">
            <v>9.0349999999999984</v>
          </cell>
          <cell r="H1197">
            <v>30.79</v>
          </cell>
          <cell r="I1197">
            <v>19.945</v>
          </cell>
          <cell r="J1197">
            <v>16.418515000000003</v>
          </cell>
        </row>
        <row r="1199">
          <cell r="A1199" t="str">
            <v>FECHA</v>
          </cell>
          <cell r="B1199" t="str">
            <v>SUPERIOR 98</v>
          </cell>
          <cell r="C1199" t="str">
            <v>SUPERIOR 95</v>
          </cell>
          <cell r="D1199" t="str">
            <v>REGULAR</v>
          </cell>
          <cell r="E1199" t="str">
            <v>DIESEL</v>
          </cell>
          <cell r="F1199" t="str">
            <v>KEROSINA</v>
          </cell>
          <cell r="G1199" t="str">
            <v>BUNKER Rack</v>
          </cell>
          <cell r="H1199" t="str">
            <v>AV-GAS</v>
          </cell>
          <cell r="I1199" t="str">
            <v>AV-JET</v>
          </cell>
          <cell r="J1199" t="str">
            <v>GLP</v>
          </cell>
        </row>
        <row r="1200">
          <cell r="B1200" t="str">
            <v>Q/GALON</v>
          </cell>
          <cell r="C1200" t="str">
            <v>Q/GALON</v>
          </cell>
          <cell r="D1200" t="str">
            <v>Q/GALON</v>
          </cell>
          <cell r="E1200" t="str">
            <v>Q/GALON</v>
          </cell>
          <cell r="F1200" t="str">
            <v>Q/GALON</v>
          </cell>
          <cell r="G1200" t="str">
            <v>Q/GALON</v>
          </cell>
          <cell r="H1200" t="str">
            <v>Q/GALON</v>
          </cell>
          <cell r="I1200" t="str">
            <v>Q/GALON</v>
          </cell>
          <cell r="J1200" t="str">
            <v>Q/GALON</v>
          </cell>
        </row>
        <row r="1201">
          <cell r="A1201">
            <v>39846</v>
          </cell>
          <cell r="B1201">
            <v>22.77</v>
          </cell>
          <cell r="C1201">
            <v>21.38</v>
          </cell>
          <cell r="D1201">
            <v>20.49</v>
          </cell>
          <cell r="E1201">
            <v>18.48</v>
          </cell>
          <cell r="F1201">
            <v>21.95</v>
          </cell>
          <cell r="G1201">
            <v>9.61</v>
          </cell>
          <cell r="H1201">
            <v>31.03</v>
          </cell>
          <cell r="I1201">
            <v>19.86</v>
          </cell>
          <cell r="J1201">
            <v>15.414172000000002</v>
          </cell>
        </row>
        <row r="1202">
          <cell r="A1202">
            <v>39853</v>
          </cell>
          <cell r="B1202">
            <v>22.73</v>
          </cell>
          <cell r="C1202">
            <v>21.35</v>
          </cell>
          <cell r="D1202">
            <v>20.47</v>
          </cell>
          <cell r="E1202">
            <v>18.38</v>
          </cell>
          <cell r="F1202">
            <v>21.95</v>
          </cell>
          <cell r="G1202">
            <v>9.91</v>
          </cell>
          <cell r="H1202">
            <v>31.1</v>
          </cell>
          <cell r="I1202">
            <v>19.22</v>
          </cell>
          <cell r="J1202">
            <v>15.157744000000003</v>
          </cell>
        </row>
        <row r="1203">
          <cell r="A1203">
            <v>39860</v>
          </cell>
          <cell r="B1203">
            <v>22.68</v>
          </cell>
          <cell r="C1203">
            <v>21.33</v>
          </cell>
          <cell r="D1203">
            <v>20.440000000000001</v>
          </cell>
          <cell r="E1203">
            <v>18.329999999999998</v>
          </cell>
          <cell r="F1203">
            <v>21.95</v>
          </cell>
          <cell r="G1203">
            <v>10.94</v>
          </cell>
          <cell r="H1203">
            <v>31.33</v>
          </cell>
          <cell r="I1203">
            <v>19.37</v>
          </cell>
          <cell r="J1203">
            <v>15.157744000000003</v>
          </cell>
        </row>
        <row r="1204">
          <cell r="A1204">
            <v>39867</v>
          </cell>
          <cell r="B1204">
            <v>22.66</v>
          </cell>
          <cell r="C1204">
            <v>21.35</v>
          </cell>
          <cell r="D1204">
            <v>20.45</v>
          </cell>
          <cell r="E1204">
            <v>18.21</v>
          </cell>
          <cell r="F1204">
            <v>21.95</v>
          </cell>
          <cell r="G1204">
            <v>10.94</v>
          </cell>
          <cell r="H1204">
            <v>31.53</v>
          </cell>
          <cell r="I1204">
            <v>19.48</v>
          </cell>
          <cell r="J1204">
            <v>15.186236000000003</v>
          </cell>
        </row>
        <row r="1205">
          <cell r="A1205" t="str">
            <v>Promedio2-9</v>
          </cell>
          <cell r="B1205">
            <v>22.71</v>
          </cell>
          <cell r="C1205">
            <v>21.352499999999999</v>
          </cell>
          <cell r="D1205">
            <v>20.462499999999999</v>
          </cell>
          <cell r="E1205">
            <v>18.350000000000001</v>
          </cell>
          <cell r="F1205">
            <v>21.95</v>
          </cell>
          <cell r="G1205">
            <v>10.35</v>
          </cell>
          <cell r="H1205">
            <v>31.247500000000002</v>
          </cell>
          <cell r="I1205">
            <v>19.482500000000002</v>
          </cell>
          <cell r="J1205">
            <v>15.228974000000003</v>
          </cell>
        </row>
        <row r="1207">
          <cell r="A1207" t="str">
            <v>FECHA</v>
          </cell>
          <cell r="B1207" t="str">
            <v>SUPERIOR 98</v>
          </cell>
          <cell r="C1207" t="str">
            <v>SUPERIOR 95</v>
          </cell>
          <cell r="D1207" t="str">
            <v>REGULAR</v>
          </cell>
          <cell r="E1207" t="str">
            <v>DIESEL</v>
          </cell>
          <cell r="F1207" t="str">
            <v>KEROSINA</v>
          </cell>
          <cell r="G1207" t="str">
            <v>BUNKER Rack</v>
          </cell>
          <cell r="H1207" t="str">
            <v>AV-GAS</v>
          </cell>
          <cell r="I1207" t="str">
            <v>AV-JET</v>
          </cell>
          <cell r="J1207" t="str">
            <v>GLP</v>
          </cell>
        </row>
        <row r="1208">
          <cell r="B1208" t="str">
            <v>Q/GALON</v>
          </cell>
          <cell r="C1208" t="str">
            <v>Q/GALON</v>
          </cell>
          <cell r="D1208" t="str">
            <v>Q/GALON</v>
          </cell>
          <cell r="E1208" t="str">
            <v>Q/GALON</v>
          </cell>
          <cell r="F1208" t="str">
            <v>Q/GALON</v>
          </cell>
          <cell r="G1208" t="str">
            <v>Q/GALON</v>
          </cell>
          <cell r="H1208" t="str">
            <v>Q/GALON</v>
          </cell>
          <cell r="I1208" t="str">
            <v>Q/GALON</v>
          </cell>
          <cell r="J1208" t="str">
            <v>Q/GALON</v>
          </cell>
        </row>
        <row r="1209">
          <cell r="A1209">
            <v>39874</v>
          </cell>
          <cell r="B1209">
            <v>22.66</v>
          </cell>
          <cell r="C1209">
            <v>21.32</v>
          </cell>
          <cell r="D1209">
            <v>20.420000000000002</v>
          </cell>
          <cell r="E1209">
            <v>17.72</v>
          </cell>
          <cell r="F1209">
            <v>21.95</v>
          </cell>
          <cell r="G1209">
            <v>10.93</v>
          </cell>
          <cell r="H1209">
            <v>31.49</v>
          </cell>
          <cell r="I1209">
            <v>18.73</v>
          </cell>
          <cell r="J1209">
            <v>15.186236000000003</v>
          </cell>
        </row>
        <row r="1210">
          <cell r="A1210">
            <v>39881</v>
          </cell>
          <cell r="B1210">
            <v>22.39</v>
          </cell>
          <cell r="C1210">
            <v>21.16</v>
          </cell>
          <cell r="D1210">
            <v>20.29</v>
          </cell>
          <cell r="E1210">
            <v>17.350000000000001</v>
          </cell>
          <cell r="F1210">
            <v>20.95</v>
          </cell>
          <cell r="G1210">
            <v>10.6</v>
          </cell>
          <cell r="H1210">
            <v>31.62</v>
          </cell>
          <cell r="I1210">
            <v>18.809999999999999</v>
          </cell>
          <cell r="J1210">
            <v>15.171152000000001</v>
          </cell>
        </row>
        <row r="1211">
          <cell r="A1211">
            <v>39888</v>
          </cell>
          <cell r="B1211">
            <v>22.38</v>
          </cell>
          <cell r="C1211">
            <v>21.03</v>
          </cell>
          <cell r="D1211">
            <v>20.16</v>
          </cell>
          <cell r="E1211">
            <v>17.190000000000001</v>
          </cell>
          <cell r="F1211">
            <v>20.95</v>
          </cell>
          <cell r="G1211">
            <v>10.58</v>
          </cell>
          <cell r="H1211">
            <v>31.76</v>
          </cell>
          <cell r="I1211">
            <v>18.420000000000002</v>
          </cell>
          <cell r="J1211">
            <v>15.171152000000001</v>
          </cell>
        </row>
        <row r="1212">
          <cell r="A1212">
            <v>39895</v>
          </cell>
          <cell r="B1212">
            <v>22.3</v>
          </cell>
          <cell r="C1212">
            <v>20.91</v>
          </cell>
          <cell r="D1212">
            <v>20.04</v>
          </cell>
          <cell r="E1212">
            <v>16.88</v>
          </cell>
          <cell r="F1212">
            <v>20.95</v>
          </cell>
          <cell r="G1212">
            <v>10.050000000000001</v>
          </cell>
          <cell r="H1212">
            <v>31.82</v>
          </cell>
          <cell r="I1212">
            <v>18.46</v>
          </cell>
          <cell r="J1212">
            <v>15.167800000000002</v>
          </cell>
        </row>
        <row r="1213">
          <cell r="A1213">
            <v>39902</v>
          </cell>
          <cell r="B1213">
            <v>22.2</v>
          </cell>
          <cell r="C1213">
            <v>20.84</v>
          </cell>
          <cell r="D1213">
            <v>19.98</v>
          </cell>
          <cell r="E1213">
            <v>16.739999999999998</v>
          </cell>
          <cell r="F1213">
            <v>20.95</v>
          </cell>
          <cell r="G1213">
            <v>10.3</v>
          </cell>
          <cell r="H1213">
            <v>31.92</v>
          </cell>
          <cell r="I1213">
            <v>18.510000000000002</v>
          </cell>
          <cell r="J1213">
            <v>15.167800000000002</v>
          </cell>
        </row>
        <row r="1214">
          <cell r="A1214" t="str">
            <v>Promedio3-9</v>
          </cell>
          <cell r="B1214">
            <v>22.385999999999999</v>
          </cell>
          <cell r="C1214">
            <v>21.052</v>
          </cell>
          <cell r="D1214">
            <v>20.178000000000001</v>
          </cell>
          <cell r="E1214">
            <v>17.175999999999998</v>
          </cell>
          <cell r="F1214">
            <v>21.15</v>
          </cell>
          <cell r="G1214">
            <v>10.491999999999999</v>
          </cell>
          <cell r="H1214">
            <v>31.722000000000001</v>
          </cell>
          <cell r="I1214">
            <v>18.586000000000002</v>
          </cell>
          <cell r="J1214">
            <v>15.172828000000001</v>
          </cell>
        </row>
        <row r="1216">
          <cell r="A1216" t="str">
            <v>FECHA</v>
          </cell>
          <cell r="B1216" t="str">
            <v>SUPERIOR 98</v>
          </cell>
          <cell r="C1216" t="str">
            <v>SUPERIOR 95</v>
          </cell>
          <cell r="D1216" t="str">
            <v>REGULAR</v>
          </cell>
          <cell r="E1216" t="str">
            <v>DIESEL</v>
          </cell>
          <cell r="F1216" t="str">
            <v>KEROSINA</v>
          </cell>
          <cell r="G1216" t="str">
            <v>BUNKER Rack</v>
          </cell>
          <cell r="H1216" t="str">
            <v>AV-GAS</v>
          </cell>
          <cell r="I1216" t="str">
            <v>AV-JET</v>
          </cell>
          <cell r="J1216" t="str">
            <v>GLP</v>
          </cell>
        </row>
        <row r="1217">
          <cell r="B1217" t="str">
            <v>Q/GALON</v>
          </cell>
          <cell r="C1217" t="str">
            <v>Q/GALON</v>
          </cell>
          <cell r="D1217" t="str">
            <v>Q/GALON</v>
          </cell>
          <cell r="E1217" t="str">
            <v>Q/GALON</v>
          </cell>
          <cell r="F1217" t="str">
            <v>Q/GALON</v>
          </cell>
          <cell r="G1217" t="str">
            <v>Q/GALON</v>
          </cell>
          <cell r="H1217" t="str">
            <v>Q/GALON</v>
          </cell>
          <cell r="I1217" t="str">
            <v>Q/GALON</v>
          </cell>
          <cell r="J1217" t="str">
            <v>Q/GALON</v>
          </cell>
        </row>
        <row r="1218">
          <cell r="A1218">
            <v>39909</v>
          </cell>
          <cell r="B1218">
            <v>22.1</v>
          </cell>
          <cell r="C1218">
            <v>20.79</v>
          </cell>
          <cell r="D1218">
            <v>19.93</v>
          </cell>
          <cell r="E1218">
            <v>16.670000000000002</v>
          </cell>
          <cell r="F1218">
            <v>20.95</v>
          </cell>
          <cell r="G1218">
            <v>9.91</v>
          </cell>
          <cell r="H1218">
            <v>33.49</v>
          </cell>
          <cell r="I1218">
            <v>20.16</v>
          </cell>
          <cell r="J1218">
            <v>15.167800000000002</v>
          </cell>
        </row>
        <row r="1219">
          <cell r="A1219">
            <v>39916</v>
          </cell>
          <cell r="B1219">
            <v>22.65</v>
          </cell>
          <cell r="C1219">
            <v>21.07</v>
          </cell>
          <cell r="D1219">
            <v>20.16</v>
          </cell>
          <cell r="E1219">
            <v>16.91</v>
          </cell>
          <cell r="F1219">
            <v>20.95</v>
          </cell>
          <cell r="G1219">
            <v>10.1</v>
          </cell>
          <cell r="H1219">
            <v>33.47</v>
          </cell>
          <cell r="I1219">
            <v>20.149999999999999</v>
          </cell>
          <cell r="J1219">
            <v>15.166124000000002</v>
          </cell>
        </row>
        <row r="1220">
          <cell r="A1220">
            <v>39923</v>
          </cell>
          <cell r="B1220">
            <v>23.73</v>
          </cell>
          <cell r="C1220">
            <v>22.22</v>
          </cell>
          <cell r="D1220">
            <v>21.28</v>
          </cell>
          <cell r="E1220">
            <v>17.239999999999998</v>
          </cell>
          <cell r="F1220">
            <v>20.95</v>
          </cell>
          <cell r="G1220">
            <v>10.47</v>
          </cell>
          <cell r="H1220">
            <v>33.380000000000003</v>
          </cell>
          <cell r="I1220">
            <v>20.38</v>
          </cell>
          <cell r="J1220">
            <v>15.166124000000002</v>
          </cell>
        </row>
        <row r="1221">
          <cell r="A1221">
            <v>39930</v>
          </cell>
          <cell r="B1221">
            <v>23.7</v>
          </cell>
          <cell r="C1221">
            <v>22.2</v>
          </cell>
          <cell r="D1221">
            <v>21.29</v>
          </cell>
          <cell r="E1221">
            <v>17.29</v>
          </cell>
          <cell r="F1221">
            <v>20.95</v>
          </cell>
          <cell r="G1221">
            <v>10.57</v>
          </cell>
          <cell r="H1221">
            <v>33.42</v>
          </cell>
          <cell r="I1221">
            <v>20.41</v>
          </cell>
          <cell r="J1221">
            <v>15.166124000000002</v>
          </cell>
        </row>
        <row r="1222">
          <cell r="A1222" t="str">
            <v>Promedio4-9</v>
          </cell>
          <cell r="B1222">
            <v>23.045000000000002</v>
          </cell>
          <cell r="C1222">
            <v>21.57</v>
          </cell>
          <cell r="D1222">
            <v>20.664999999999999</v>
          </cell>
          <cell r="E1222">
            <v>17.027499999999996</v>
          </cell>
          <cell r="F1222">
            <v>20.95</v>
          </cell>
          <cell r="G1222">
            <v>10.262499999999999</v>
          </cell>
          <cell r="H1222">
            <v>33.44</v>
          </cell>
          <cell r="I1222">
            <v>20.274999999999999</v>
          </cell>
          <cell r="J1222">
            <v>15.166543000000003</v>
          </cell>
        </row>
        <row r="1224">
          <cell r="A1224" t="str">
            <v>FECHA</v>
          </cell>
          <cell r="B1224" t="str">
            <v>SUPERIOR 98</v>
          </cell>
          <cell r="C1224" t="str">
            <v>SUPERIOR 95</v>
          </cell>
          <cell r="D1224" t="str">
            <v>REGULAR</v>
          </cell>
          <cell r="E1224" t="str">
            <v>DIESEL</v>
          </cell>
          <cell r="F1224" t="str">
            <v>KEROSINA</v>
          </cell>
          <cell r="G1224" t="str">
            <v>BUNKER Rack</v>
          </cell>
          <cell r="H1224" t="str">
            <v>AV-GAS</v>
          </cell>
          <cell r="I1224" t="str">
            <v>AV-JET</v>
          </cell>
          <cell r="J1224" t="str">
            <v>GLP</v>
          </cell>
        </row>
        <row r="1225">
          <cell r="B1225" t="str">
            <v>Q/GALON</v>
          </cell>
          <cell r="C1225" t="str">
            <v>Q/GALON</v>
          </cell>
          <cell r="D1225" t="str">
            <v>Q/GALON</v>
          </cell>
          <cell r="E1225" t="str">
            <v>Q/GALON</v>
          </cell>
          <cell r="F1225" t="str">
            <v>Q/GALON</v>
          </cell>
          <cell r="G1225" t="str">
            <v>Q/GALON</v>
          </cell>
          <cell r="H1225" t="str">
            <v>Q/GALON</v>
          </cell>
          <cell r="I1225" t="str">
            <v>Q/GALON</v>
          </cell>
          <cell r="J1225" t="str">
            <v>Q/GALON</v>
          </cell>
        </row>
        <row r="1226">
          <cell r="A1226">
            <v>39937</v>
          </cell>
          <cell r="B1226">
            <v>23.7</v>
          </cell>
          <cell r="C1226">
            <v>22.18</v>
          </cell>
          <cell r="D1226">
            <v>21.29</v>
          </cell>
          <cell r="E1226">
            <v>17.21</v>
          </cell>
          <cell r="F1226">
            <v>21.95</v>
          </cell>
          <cell r="G1226">
            <v>11.51</v>
          </cell>
          <cell r="H1226">
            <v>33.46</v>
          </cell>
          <cell r="I1226">
            <v>20.010000000000002</v>
          </cell>
          <cell r="J1226">
            <v>15.166124000000002</v>
          </cell>
        </row>
        <row r="1227">
          <cell r="A1227">
            <v>39944</v>
          </cell>
          <cell r="B1227">
            <v>23.64</v>
          </cell>
          <cell r="C1227">
            <v>22.17</v>
          </cell>
          <cell r="D1227">
            <v>21.3</v>
          </cell>
          <cell r="E1227">
            <v>17.2</v>
          </cell>
          <cell r="F1227">
            <v>21.95</v>
          </cell>
          <cell r="G1227">
            <v>12.57</v>
          </cell>
          <cell r="H1227">
            <v>33.46</v>
          </cell>
          <cell r="I1227">
            <v>20.010000000000002</v>
          </cell>
          <cell r="J1227">
            <v>15.166124000000002</v>
          </cell>
        </row>
        <row r="1228">
          <cell r="A1228">
            <v>39951</v>
          </cell>
          <cell r="B1228">
            <v>24.41</v>
          </cell>
          <cell r="C1228">
            <v>23.05</v>
          </cell>
          <cell r="D1228">
            <v>22.1</v>
          </cell>
          <cell r="E1228">
            <v>17.97</v>
          </cell>
          <cell r="F1228">
            <v>21.95</v>
          </cell>
          <cell r="G1228">
            <v>13.52</v>
          </cell>
          <cell r="H1228">
            <v>33.49</v>
          </cell>
          <cell r="I1228">
            <v>20.92</v>
          </cell>
          <cell r="J1228">
            <v>15.166124000000002</v>
          </cell>
        </row>
        <row r="1229">
          <cell r="A1229">
            <v>39958</v>
          </cell>
          <cell r="B1229">
            <v>25.22</v>
          </cell>
          <cell r="C1229">
            <v>23.85</v>
          </cell>
          <cell r="D1229">
            <v>22.87</v>
          </cell>
          <cell r="E1229">
            <v>18.32</v>
          </cell>
          <cell r="F1229">
            <v>21.95</v>
          </cell>
          <cell r="G1229">
            <v>12.93</v>
          </cell>
          <cell r="H1229">
            <v>33.51</v>
          </cell>
          <cell r="I1229">
            <v>21.77</v>
          </cell>
          <cell r="J1229">
            <v>15.166124000000002</v>
          </cell>
        </row>
        <row r="1230">
          <cell r="A1230" t="str">
            <v>Promedio5-9</v>
          </cell>
          <cell r="B1230">
            <v>24.2425</v>
          </cell>
          <cell r="C1230">
            <v>22.8125</v>
          </cell>
          <cell r="D1230">
            <v>21.89</v>
          </cell>
          <cell r="E1230">
            <v>17.674999999999997</v>
          </cell>
          <cell r="F1230">
            <v>21.95</v>
          </cell>
          <cell r="G1230">
            <v>12.632499999999999</v>
          </cell>
          <cell r="H1230">
            <v>33.479999999999997</v>
          </cell>
          <cell r="I1230">
            <v>20.677500000000002</v>
          </cell>
          <cell r="J1230">
            <v>15.166124000000002</v>
          </cell>
        </row>
        <row r="1232">
          <cell r="A1232" t="str">
            <v>FECHA</v>
          </cell>
          <cell r="B1232" t="str">
            <v>SUPERIOR 98</v>
          </cell>
          <cell r="C1232" t="str">
            <v>SUPERIOR 95</v>
          </cell>
          <cell r="D1232" t="str">
            <v>REGULAR</v>
          </cell>
          <cell r="E1232" t="str">
            <v>DIESEL</v>
          </cell>
          <cell r="F1232" t="str">
            <v>KEROSINA</v>
          </cell>
          <cell r="G1232" t="str">
            <v>BUNKER Rack</v>
          </cell>
          <cell r="H1232" t="str">
            <v>AV-GAS</v>
          </cell>
          <cell r="I1232" t="str">
            <v>AV-JET</v>
          </cell>
          <cell r="J1232" t="str">
            <v>GLP</v>
          </cell>
        </row>
        <row r="1233">
          <cell r="B1233" t="str">
            <v>Q/GALON</v>
          </cell>
          <cell r="C1233" t="str">
            <v>Q/GALON</v>
          </cell>
          <cell r="D1233" t="str">
            <v>Q/GALON</v>
          </cell>
          <cell r="E1233" t="str">
            <v>Q/GALON</v>
          </cell>
          <cell r="F1233" t="str">
            <v>Q/GALON</v>
          </cell>
          <cell r="G1233" t="str">
            <v>Q/GALON</v>
          </cell>
          <cell r="H1233" t="str">
            <v>Q/GALON</v>
          </cell>
          <cell r="I1233" t="str">
            <v>Q/GALON</v>
          </cell>
          <cell r="J1233" t="str">
            <v>Q/GALON</v>
          </cell>
        </row>
        <row r="1234">
          <cell r="A1234">
            <v>39965</v>
          </cell>
          <cell r="B1234">
            <v>25.15</v>
          </cell>
          <cell r="C1234">
            <v>23.91</v>
          </cell>
          <cell r="D1234">
            <v>22.94</v>
          </cell>
          <cell r="E1234">
            <v>18.350000000000001</v>
          </cell>
          <cell r="F1234">
            <v>21.95</v>
          </cell>
          <cell r="G1234">
            <v>12.9</v>
          </cell>
          <cell r="H1234">
            <v>33.53</v>
          </cell>
          <cell r="I1234">
            <v>21.79</v>
          </cell>
          <cell r="J1234">
            <v>15.166124000000002</v>
          </cell>
        </row>
        <row r="1235">
          <cell r="A1235">
            <v>39972</v>
          </cell>
          <cell r="B1235">
            <v>26.58</v>
          </cell>
          <cell r="C1235">
            <v>25.15</v>
          </cell>
          <cell r="D1235">
            <v>24.26</v>
          </cell>
          <cell r="E1235">
            <v>19.579999999999998</v>
          </cell>
          <cell r="F1235">
            <v>22.95</v>
          </cell>
          <cell r="G1235">
            <v>14.23</v>
          </cell>
          <cell r="H1235">
            <v>33.53</v>
          </cell>
          <cell r="I1235">
            <v>21.79</v>
          </cell>
          <cell r="J1235">
            <v>15.166124000000002</v>
          </cell>
        </row>
        <row r="1236">
          <cell r="A1236">
            <v>39979</v>
          </cell>
          <cell r="B1236">
            <v>27.99</v>
          </cell>
          <cell r="C1236">
            <v>26.2</v>
          </cell>
          <cell r="D1236">
            <v>25.24</v>
          </cell>
          <cell r="E1236">
            <v>20.46</v>
          </cell>
          <cell r="F1236">
            <v>22.95</v>
          </cell>
          <cell r="G1236">
            <v>14.08</v>
          </cell>
          <cell r="H1236">
            <v>37.69</v>
          </cell>
          <cell r="I1236">
            <v>23.87</v>
          </cell>
          <cell r="J1236">
            <v>15.166124000000002</v>
          </cell>
        </row>
        <row r="1237">
          <cell r="A1237">
            <v>39986</v>
          </cell>
          <cell r="B1237">
            <v>27.99</v>
          </cell>
          <cell r="C1237">
            <v>26.71</v>
          </cell>
          <cell r="D1237">
            <v>25.73</v>
          </cell>
          <cell r="E1237">
            <v>20.86</v>
          </cell>
          <cell r="F1237">
            <v>22.95</v>
          </cell>
          <cell r="G1237">
            <v>14.15</v>
          </cell>
          <cell r="H1237">
            <v>37.74</v>
          </cell>
          <cell r="I1237">
            <v>23.9</v>
          </cell>
          <cell r="J1237">
            <v>15.166124000000002</v>
          </cell>
        </row>
        <row r="1238">
          <cell r="A1238" t="str">
            <v>Promedio6-9</v>
          </cell>
          <cell r="B1238">
            <v>26.927499999999998</v>
          </cell>
          <cell r="C1238">
            <v>25.4925</v>
          </cell>
          <cell r="D1238">
            <v>24.5425</v>
          </cell>
          <cell r="E1238">
            <v>19.8125</v>
          </cell>
          <cell r="F1238">
            <v>22.7</v>
          </cell>
          <cell r="G1238">
            <v>13.84</v>
          </cell>
          <cell r="H1238">
            <v>35.622500000000002</v>
          </cell>
          <cell r="I1238">
            <v>22.837499999999999</v>
          </cell>
          <cell r="J1238">
            <v>15.166124000000002</v>
          </cell>
        </row>
        <row r="1240">
          <cell r="A1240" t="str">
            <v>FECHA</v>
          </cell>
          <cell r="B1240" t="str">
            <v>SUPERIOR 98</v>
          </cell>
          <cell r="C1240" t="str">
            <v>SUPERIOR 95</v>
          </cell>
          <cell r="D1240" t="str">
            <v>REGULAR</v>
          </cell>
          <cell r="E1240" t="str">
            <v>DIESEL</v>
          </cell>
          <cell r="F1240" t="str">
            <v>KEROSINA</v>
          </cell>
          <cell r="G1240" t="str">
            <v>BUNKER Rack</v>
          </cell>
          <cell r="H1240" t="str">
            <v>AV-GAS</v>
          </cell>
          <cell r="I1240" t="str">
            <v>AV-JET</v>
          </cell>
          <cell r="J1240" t="str">
            <v>GLP</v>
          </cell>
        </row>
        <row r="1241">
          <cell r="B1241" t="str">
            <v>Q/GALON</v>
          </cell>
          <cell r="C1241" t="str">
            <v>Q/GALON</v>
          </cell>
          <cell r="D1241" t="str">
            <v>Q/GALON</v>
          </cell>
          <cell r="E1241" t="str">
            <v>Q/GALON</v>
          </cell>
          <cell r="F1241" t="str">
            <v>Q/GALON</v>
          </cell>
          <cell r="G1241" t="str">
            <v>Q/GALON</v>
          </cell>
          <cell r="H1241" t="str">
            <v>Q/GALON</v>
          </cell>
          <cell r="I1241" t="str">
            <v>Q/GALON</v>
          </cell>
          <cell r="J1241" t="str">
            <v>Q/GALON</v>
          </cell>
        </row>
        <row r="1242">
          <cell r="A1242">
            <v>39995</v>
          </cell>
          <cell r="B1242">
            <v>28.92</v>
          </cell>
          <cell r="C1242">
            <v>27.52</v>
          </cell>
          <cell r="D1242">
            <v>26.55</v>
          </cell>
          <cell r="E1242">
            <v>21.21</v>
          </cell>
          <cell r="F1242">
            <v>22.95</v>
          </cell>
          <cell r="G1242">
            <v>13.97</v>
          </cell>
          <cell r="H1242">
            <v>37.71</v>
          </cell>
          <cell r="I1242">
            <v>24.13</v>
          </cell>
          <cell r="J1242">
            <v>15.166124000000002</v>
          </cell>
        </row>
        <row r="1243">
          <cell r="A1243">
            <v>40000</v>
          </cell>
          <cell r="B1243">
            <v>28.71</v>
          </cell>
          <cell r="C1243">
            <v>27.48</v>
          </cell>
          <cell r="D1243">
            <v>26.47</v>
          </cell>
          <cell r="E1243">
            <v>21.17</v>
          </cell>
          <cell r="F1243">
            <v>22.95</v>
          </cell>
          <cell r="G1243">
            <v>14.06</v>
          </cell>
          <cell r="H1243">
            <v>37.72</v>
          </cell>
          <cell r="I1243">
            <v>24.14</v>
          </cell>
          <cell r="J1243">
            <v>15.166124000000002</v>
          </cell>
        </row>
        <row r="1244">
          <cell r="A1244">
            <v>40007</v>
          </cell>
          <cell r="B1244">
            <v>27.64</v>
          </cell>
          <cell r="C1244">
            <v>26.54</v>
          </cell>
          <cell r="D1244">
            <v>25.57</v>
          </cell>
          <cell r="E1244">
            <v>20.6</v>
          </cell>
          <cell r="F1244">
            <v>22.95</v>
          </cell>
          <cell r="G1244">
            <v>13.55</v>
          </cell>
          <cell r="H1244">
            <v>37.83</v>
          </cell>
          <cell r="I1244">
            <v>22.71</v>
          </cell>
          <cell r="J1244">
            <v>15.166124000000002</v>
          </cell>
        </row>
        <row r="1245">
          <cell r="A1245">
            <v>40014</v>
          </cell>
          <cell r="B1245">
            <v>27.09</v>
          </cell>
          <cell r="C1245">
            <v>26.19</v>
          </cell>
          <cell r="D1245">
            <v>25.19</v>
          </cell>
          <cell r="E1245">
            <v>20.69</v>
          </cell>
          <cell r="F1245">
            <v>22.95</v>
          </cell>
          <cell r="G1245">
            <v>13.61</v>
          </cell>
          <cell r="H1245">
            <v>37.93</v>
          </cell>
          <cell r="I1245">
            <v>22.77</v>
          </cell>
          <cell r="J1245">
            <v>15.166124000000002</v>
          </cell>
        </row>
        <row r="1246">
          <cell r="A1246">
            <v>40021</v>
          </cell>
          <cell r="B1246">
            <v>26.29</v>
          </cell>
          <cell r="C1246">
            <v>25.05</v>
          </cell>
          <cell r="D1246">
            <v>24.09</v>
          </cell>
          <cell r="E1246">
            <v>20.09</v>
          </cell>
          <cell r="F1246">
            <v>22.95</v>
          </cell>
          <cell r="G1246">
            <v>13.42</v>
          </cell>
          <cell r="H1246">
            <v>38.159999999999997</v>
          </cell>
          <cell r="I1246">
            <v>22.91</v>
          </cell>
          <cell r="J1246">
            <v>15.166124000000002</v>
          </cell>
        </row>
        <row r="1247">
          <cell r="A1247" t="str">
            <v>Promedio7-9</v>
          </cell>
          <cell r="B1247">
            <v>27.73</v>
          </cell>
          <cell r="C1247">
            <v>26.556000000000001</v>
          </cell>
          <cell r="D1247">
            <v>25.574000000000002</v>
          </cell>
          <cell r="E1247">
            <v>20.752000000000002</v>
          </cell>
          <cell r="F1247">
            <v>22.95</v>
          </cell>
          <cell r="G1247">
            <v>13.722</v>
          </cell>
          <cell r="H1247">
            <v>37.869999999999997</v>
          </cell>
          <cell r="I1247">
            <v>23.331999999999997</v>
          </cell>
          <cell r="J1247">
            <v>15.166124000000002</v>
          </cell>
        </row>
        <row r="1249">
          <cell r="A1249" t="str">
            <v>FECHA</v>
          </cell>
          <cell r="B1249" t="str">
            <v>SUPERIOR 98</v>
          </cell>
          <cell r="C1249" t="str">
            <v>SUPERIOR 95</v>
          </cell>
          <cell r="D1249" t="str">
            <v>REGULAR</v>
          </cell>
          <cell r="E1249" t="str">
            <v>DIESEL</v>
          </cell>
          <cell r="F1249" t="str">
            <v>KEROSINA</v>
          </cell>
          <cell r="G1249" t="str">
            <v>BUNKER Rack</v>
          </cell>
          <cell r="H1249" t="str">
            <v>AV-GAS</v>
          </cell>
          <cell r="I1249" t="str">
            <v>AV-JET</v>
          </cell>
          <cell r="J1249" t="str">
            <v>GLP</v>
          </cell>
        </row>
        <row r="1250">
          <cell r="B1250" t="str">
            <v>Q/GALON</v>
          </cell>
          <cell r="C1250" t="str">
            <v>Q/GALON</v>
          </cell>
          <cell r="D1250" t="str">
            <v>Q/GALON</v>
          </cell>
          <cell r="E1250" t="str">
            <v>Q/GALON</v>
          </cell>
          <cell r="F1250" t="str">
            <v>Q/GALON</v>
          </cell>
          <cell r="G1250" t="str">
            <v>Q/GALON</v>
          </cell>
          <cell r="H1250" t="str">
            <v>Q/GALON</v>
          </cell>
          <cell r="I1250" t="str">
            <v>Q/GALON</v>
          </cell>
          <cell r="J1250" t="str">
            <v>Q/GALON</v>
          </cell>
        </row>
        <row r="1251">
          <cell r="A1251">
            <v>40028</v>
          </cell>
          <cell r="B1251">
            <v>26.21</v>
          </cell>
          <cell r="C1251">
            <v>24.93</v>
          </cell>
          <cell r="D1251">
            <v>23.97</v>
          </cell>
          <cell r="E1251">
            <v>20.059999999999999</v>
          </cell>
          <cell r="F1251">
            <v>22.95</v>
          </cell>
          <cell r="G1251">
            <v>13.56</v>
          </cell>
          <cell r="H1251">
            <v>38.159999999999997</v>
          </cell>
          <cell r="I1251">
            <v>22.91</v>
          </cell>
          <cell r="J1251">
            <v>15.166124000000002</v>
          </cell>
        </row>
        <row r="1252">
          <cell r="A1252">
            <v>40035</v>
          </cell>
          <cell r="B1252">
            <v>27.36</v>
          </cell>
          <cell r="C1252">
            <v>25.93</v>
          </cell>
          <cell r="D1252">
            <v>24.94</v>
          </cell>
          <cell r="E1252">
            <v>21.17</v>
          </cell>
          <cell r="F1252">
            <v>22.95</v>
          </cell>
          <cell r="G1252">
            <v>14.3</v>
          </cell>
          <cell r="H1252">
            <v>38.24</v>
          </cell>
          <cell r="I1252">
            <v>24.02</v>
          </cell>
          <cell r="J1252">
            <v>15.166124000000002</v>
          </cell>
        </row>
        <row r="1253">
          <cell r="A1253">
            <v>40042</v>
          </cell>
          <cell r="B1253">
            <v>28.11</v>
          </cell>
          <cell r="C1253">
            <v>26.76</v>
          </cell>
          <cell r="D1253">
            <v>25.82</v>
          </cell>
          <cell r="E1253">
            <v>21.73</v>
          </cell>
          <cell r="F1253">
            <v>22.95</v>
          </cell>
          <cell r="G1253">
            <v>14.54</v>
          </cell>
          <cell r="H1253">
            <v>38.159999999999997</v>
          </cell>
          <cell r="I1253">
            <v>25.06</v>
          </cell>
          <cell r="J1253">
            <v>15.166124000000002</v>
          </cell>
        </row>
        <row r="1254">
          <cell r="A1254">
            <v>40049</v>
          </cell>
          <cell r="B1254">
            <v>29.13</v>
          </cell>
          <cell r="C1254">
            <v>27.74</v>
          </cell>
          <cell r="D1254">
            <v>26.78</v>
          </cell>
          <cell r="E1254">
            <v>22.95</v>
          </cell>
          <cell r="F1254">
            <v>22.95</v>
          </cell>
          <cell r="G1254">
            <v>14.69</v>
          </cell>
          <cell r="H1254">
            <v>38.29</v>
          </cell>
          <cell r="I1254">
            <v>25.14</v>
          </cell>
          <cell r="J1254">
            <v>15.084000000000003</v>
          </cell>
        </row>
        <row r="1255">
          <cell r="A1255">
            <v>40056</v>
          </cell>
          <cell r="B1255">
            <v>28.83</v>
          </cell>
          <cell r="C1255">
            <v>27.55</v>
          </cell>
          <cell r="D1255">
            <v>26.59</v>
          </cell>
          <cell r="E1255">
            <v>22.83</v>
          </cell>
          <cell r="F1255">
            <v>22.95</v>
          </cell>
          <cell r="G1255">
            <v>15.99</v>
          </cell>
          <cell r="H1255">
            <v>38.340000000000003</v>
          </cell>
          <cell r="I1255">
            <v>25.18</v>
          </cell>
          <cell r="J1255">
            <v>15.084000000000003</v>
          </cell>
        </row>
        <row r="1256">
          <cell r="A1256" t="str">
            <v>Promedio8-9</v>
          </cell>
          <cell r="B1256">
            <v>27.927999999999997</v>
          </cell>
          <cell r="C1256">
            <v>26.582000000000001</v>
          </cell>
          <cell r="D1256">
            <v>25.619999999999997</v>
          </cell>
          <cell r="E1256">
            <v>21.748000000000001</v>
          </cell>
          <cell r="F1256">
            <v>22.95</v>
          </cell>
          <cell r="G1256">
            <v>14.616</v>
          </cell>
          <cell r="H1256">
            <v>38.238</v>
          </cell>
          <cell r="I1256">
            <v>24.462</v>
          </cell>
          <cell r="J1256">
            <v>15.133274400000001</v>
          </cell>
        </row>
        <row r="1258">
          <cell r="A1258" t="str">
            <v>FECHA</v>
          </cell>
          <cell r="B1258" t="str">
            <v>SUPERIOR 98</v>
          </cell>
          <cell r="C1258" t="str">
            <v>SUPERIOR 95</v>
          </cell>
          <cell r="D1258" t="str">
            <v>REGULAR</v>
          </cell>
          <cell r="E1258" t="str">
            <v>DIESEL</v>
          </cell>
          <cell r="F1258" t="str">
            <v>KEROSINA</v>
          </cell>
          <cell r="G1258" t="str">
            <v>BUNKER Rack</v>
          </cell>
          <cell r="H1258" t="str">
            <v>AV-GAS</v>
          </cell>
          <cell r="I1258" t="str">
            <v>AV-JET</v>
          </cell>
          <cell r="J1258" t="str">
            <v>GLP</v>
          </cell>
        </row>
        <row r="1259">
          <cell r="B1259" t="str">
            <v>Q/GALON</v>
          </cell>
          <cell r="C1259" t="str">
            <v>Q/GALON</v>
          </cell>
          <cell r="D1259" t="str">
            <v>Q/GALON</v>
          </cell>
          <cell r="E1259" t="str">
            <v>Q/GALON</v>
          </cell>
          <cell r="F1259" t="str">
            <v>Q/GALON</v>
          </cell>
          <cell r="G1259" t="str">
            <v>Q/GALON</v>
          </cell>
          <cell r="H1259" t="str">
            <v>Q/GALON</v>
          </cell>
          <cell r="I1259" t="str">
            <v>Q/GALON</v>
          </cell>
          <cell r="J1259" t="str">
            <v>Q/GALON</v>
          </cell>
        </row>
        <row r="1260">
          <cell r="A1260">
            <v>40063</v>
          </cell>
          <cell r="B1260">
            <v>28.31</v>
          </cell>
          <cell r="C1260">
            <v>26.99</v>
          </cell>
          <cell r="D1260">
            <v>26.05</v>
          </cell>
          <cell r="E1260">
            <v>22.26</v>
          </cell>
          <cell r="F1260">
            <v>22.95</v>
          </cell>
          <cell r="G1260">
            <v>16.21</v>
          </cell>
          <cell r="H1260">
            <v>38.340000000000003</v>
          </cell>
          <cell r="I1260">
            <v>25.18</v>
          </cell>
          <cell r="J1260">
            <v>15.084000000000003</v>
          </cell>
        </row>
        <row r="1261">
          <cell r="A1261">
            <v>40070</v>
          </cell>
          <cell r="B1261">
            <v>28.2</v>
          </cell>
          <cell r="C1261">
            <v>26.84</v>
          </cell>
          <cell r="D1261">
            <v>25.89</v>
          </cell>
          <cell r="E1261">
            <v>21.95</v>
          </cell>
          <cell r="F1261">
            <v>22.95</v>
          </cell>
          <cell r="G1261">
            <v>16.13</v>
          </cell>
          <cell r="H1261">
            <v>38.4</v>
          </cell>
          <cell r="I1261">
            <v>24.89</v>
          </cell>
          <cell r="J1261">
            <v>15.084000000000003</v>
          </cell>
        </row>
        <row r="1262">
          <cell r="A1262">
            <v>40077</v>
          </cell>
          <cell r="B1262">
            <v>28.09</v>
          </cell>
          <cell r="C1262">
            <v>26.76</v>
          </cell>
          <cell r="D1262">
            <v>25.81</v>
          </cell>
          <cell r="E1262">
            <v>21.82</v>
          </cell>
          <cell r="F1262">
            <v>22.95</v>
          </cell>
          <cell r="G1262">
            <v>16.29</v>
          </cell>
          <cell r="H1262">
            <v>39.69</v>
          </cell>
          <cell r="I1262">
            <v>23.93</v>
          </cell>
          <cell r="J1262">
            <v>15.084000000000003</v>
          </cell>
        </row>
        <row r="1263">
          <cell r="A1263">
            <v>40084</v>
          </cell>
          <cell r="B1263">
            <v>27.41</v>
          </cell>
          <cell r="C1263">
            <v>26.25</v>
          </cell>
          <cell r="D1263">
            <v>25.3</v>
          </cell>
          <cell r="E1263">
            <v>21.39</v>
          </cell>
          <cell r="F1263">
            <v>22.95</v>
          </cell>
          <cell r="G1263">
            <v>16.25</v>
          </cell>
          <cell r="H1263">
            <v>39.880000000000003</v>
          </cell>
          <cell r="I1263">
            <v>24.05</v>
          </cell>
          <cell r="J1263">
            <v>15.084000000000003</v>
          </cell>
        </row>
        <row r="1264">
          <cell r="A1264" t="str">
            <v>Promedio9-9</v>
          </cell>
          <cell r="B1264">
            <v>28.002499999999998</v>
          </cell>
          <cell r="C1264">
            <v>26.71</v>
          </cell>
          <cell r="D1264">
            <v>25.762499999999999</v>
          </cell>
          <cell r="E1264">
            <v>21.855</v>
          </cell>
          <cell r="F1264">
            <v>22.95</v>
          </cell>
          <cell r="G1264">
            <v>16.22</v>
          </cell>
          <cell r="H1264">
            <v>39.077500000000001</v>
          </cell>
          <cell r="I1264">
            <v>24.512499999999999</v>
          </cell>
          <cell r="J1264">
            <v>15.084000000000003</v>
          </cell>
        </row>
        <row r="1266">
          <cell r="A1266" t="str">
            <v>FECHA</v>
          </cell>
          <cell r="B1266" t="str">
            <v>SUPERIOR 98</v>
          </cell>
          <cell r="C1266" t="str">
            <v>SUPERIOR 95</v>
          </cell>
          <cell r="D1266" t="str">
            <v>REGULAR</v>
          </cell>
          <cell r="E1266" t="str">
            <v>DIESEL</v>
          </cell>
          <cell r="F1266" t="str">
            <v>KEROSINA</v>
          </cell>
          <cell r="G1266" t="str">
            <v>BUNKER Rack</v>
          </cell>
          <cell r="H1266" t="str">
            <v>AV-GAS</v>
          </cell>
          <cell r="I1266" t="str">
            <v>AV-JET</v>
          </cell>
          <cell r="J1266" t="str">
            <v>GLP</v>
          </cell>
        </row>
        <row r="1267">
          <cell r="B1267" t="str">
            <v>Q/GALON</v>
          </cell>
          <cell r="C1267" t="str">
            <v>Q/GALON</v>
          </cell>
          <cell r="D1267" t="str">
            <v>Q/GALON</v>
          </cell>
          <cell r="E1267" t="str">
            <v>Q/GALON</v>
          </cell>
          <cell r="F1267" t="str">
            <v>Q/GALON</v>
          </cell>
          <cell r="G1267" t="str">
            <v>Q/GALON</v>
          </cell>
          <cell r="H1267" t="str">
            <v>Q/GALON</v>
          </cell>
          <cell r="I1267" t="str">
            <v>Q/GALON</v>
          </cell>
          <cell r="J1267" t="str">
            <v>Q/GALON</v>
          </cell>
        </row>
        <row r="1268">
          <cell r="A1268">
            <v>40091</v>
          </cell>
          <cell r="B1268">
            <v>27.29</v>
          </cell>
          <cell r="C1268">
            <v>25.98</v>
          </cell>
          <cell r="D1268">
            <v>25.07</v>
          </cell>
          <cell r="E1268">
            <v>21.2</v>
          </cell>
          <cell r="F1268">
            <v>22.95</v>
          </cell>
          <cell r="G1268">
            <v>16.18</v>
          </cell>
          <cell r="H1268">
            <v>39.880000000000003</v>
          </cell>
          <cell r="I1268">
            <v>24.3</v>
          </cell>
          <cell r="J1268">
            <v>15.084000000000003</v>
          </cell>
        </row>
        <row r="1269">
          <cell r="A1269">
            <v>40098</v>
          </cell>
          <cell r="B1269">
            <v>27.22</v>
          </cell>
          <cell r="C1269">
            <v>25.88</v>
          </cell>
          <cell r="D1269">
            <v>24.97</v>
          </cell>
          <cell r="E1269">
            <v>21.13</v>
          </cell>
          <cell r="F1269">
            <v>22.95</v>
          </cell>
          <cell r="G1269">
            <v>16.45</v>
          </cell>
          <cell r="H1269">
            <v>39.96</v>
          </cell>
          <cell r="I1269">
            <v>24.34</v>
          </cell>
          <cell r="J1269">
            <v>15.084000000000003</v>
          </cell>
        </row>
        <row r="1270">
          <cell r="A1270">
            <v>40105</v>
          </cell>
          <cell r="B1270">
            <v>27.22</v>
          </cell>
          <cell r="C1270">
            <v>25.82</v>
          </cell>
          <cell r="D1270">
            <v>24.91</v>
          </cell>
          <cell r="E1270">
            <v>21.07</v>
          </cell>
          <cell r="F1270">
            <v>22.95</v>
          </cell>
          <cell r="G1270">
            <v>16.45</v>
          </cell>
          <cell r="H1270">
            <v>39.979999999999997</v>
          </cell>
          <cell r="I1270">
            <v>25.14</v>
          </cell>
          <cell r="J1270">
            <v>15.084000000000003</v>
          </cell>
        </row>
        <row r="1271">
          <cell r="A1271">
            <v>40112</v>
          </cell>
          <cell r="B1271">
            <v>27.7</v>
          </cell>
          <cell r="C1271">
            <v>26.4</v>
          </cell>
          <cell r="D1271">
            <v>25.4</v>
          </cell>
          <cell r="E1271">
            <v>22.13</v>
          </cell>
          <cell r="F1271">
            <v>23.5</v>
          </cell>
          <cell r="G1271">
            <v>17.63</v>
          </cell>
          <cell r="H1271">
            <v>39.89</v>
          </cell>
          <cell r="I1271">
            <v>25.08</v>
          </cell>
          <cell r="J1271">
            <v>18.436000000000003</v>
          </cell>
        </row>
        <row r="1272">
          <cell r="A1272" t="str">
            <v>Promedio10-9</v>
          </cell>
          <cell r="B1272">
            <v>27.357499999999998</v>
          </cell>
          <cell r="C1272">
            <v>26.020000000000003</v>
          </cell>
          <cell r="D1272">
            <v>25.087499999999999</v>
          </cell>
          <cell r="E1272">
            <v>21.3825</v>
          </cell>
          <cell r="F1272">
            <v>23.087499999999999</v>
          </cell>
          <cell r="G1272">
            <v>16.677499999999998</v>
          </cell>
          <cell r="H1272">
            <v>39.927499999999995</v>
          </cell>
          <cell r="I1272">
            <v>24.715</v>
          </cell>
          <cell r="J1272">
            <v>15.922000000000004</v>
          </cell>
        </row>
        <row r="1274">
          <cell r="A1274" t="str">
            <v>FECHA</v>
          </cell>
          <cell r="B1274" t="str">
            <v>SUPERIOR 98</v>
          </cell>
          <cell r="C1274" t="str">
            <v>SUPERIOR 95</v>
          </cell>
          <cell r="D1274" t="str">
            <v>REGULAR</v>
          </cell>
          <cell r="E1274" t="str">
            <v>DIESEL</v>
          </cell>
          <cell r="F1274" t="str">
            <v>KEROSINA</v>
          </cell>
          <cell r="G1274" t="str">
            <v>BUNKER Rack</v>
          </cell>
          <cell r="H1274" t="str">
            <v>AV-GAS</v>
          </cell>
          <cell r="I1274" t="str">
            <v>AV-JET</v>
          </cell>
          <cell r="J1274" t="str">
            <v>GLP</v>
          </cell>
        </row>
        <row r="1275">
          <cell r="B1275" t="str">
            <v>Q/GALON</v>
          </cell>
          <cell r="C1275" t="str">
            <v>Q/GALON</v>
          </cell>
          <cell r="D1275" t="str">
            <v>Q/GALON</v>
          </cell>
          <cell r="E1275" t="str">
            <v>Q/GALON</v>
          </cell>
          <cell r="F1275" t="str">
            <v>Q/GALON</v>
          </cell>
          <cell r="G1275" t="str">
            <v>Q/GALON</v>
          </cell>
          <cell r="H1275" t="str">
            <v>Q/GALON</v>
          </cell>
          <cell r="I1275" t="str">
            <v>Q/GALON</v>
          </cell>
          <cell r="J1275" t="str">
            <v>Q/GALON</v>
          </cell>
        </row>
        <row r="1276">
          <cell r="A1276">
            <v>40120</v>
          </cell>
          <cell r="B1276">
            <v>28.56</v>
          </cell>
          <cell r="C1276">
            <v>27.24</v>
          </cell>
          <cell r="D1276">
            <v>26.24</v>
          </cell>
          <cell r="E1276">
            <v>23.44</v>
          </cell>
          <cell r="F1276">
            <v>23.5</v>
          </cell>
          <cell r="G1276">
            <v>17.670000000000002</v>
          </cell>
          <cell r="H1276">
            <v>39.979999999999997</v>
          </cell>
          <cell r="I1276">
            <v>25.14</v>
          </cell>
          <cell r="J1276">
            <v>18.436000000000003</v>
          </cell>
        </row>
        <row r="1277">
          <cell r="A1277">
            <v>40126</v>
          </cell>
          <cell r="B1277">
            <v>29.58</v>
          </cell>
          <cell r="C1277">
            <v>27.67</v>
          </cell>
          <cell r="D1277">
            <v>26.71</v>
          </cell>
          <cell r="E1277">
            <v>23.5</v>
          </cell>
          <cell r="F1277">
            <v>23.5</v>
          </cell>
          <cell r="G1277">
            <v>17.7</v>
          </cell>
          <cell r="H1277">
            <v>39.590000000000003</v>
          </cell>
          <cell r="I1277">
            <v>26.38</v>
          </cell>
          <cell r="J1277">
            <v>18.436000000000003</v>
          </cell>
        </row>
        <row r="1278">
          <cell r="A1278">
            <v>40133</v>
          </cell>
          <cell r="B1278">
            <v>29.55</v>
          </cell>
          <cell r="C1278">
            <v>28.15</v>
          </cell>
          <cell r="D1278">
            <v>27.18</v>
          </cell>
          <cell r="E1278">
            <v>23.54</v>
          </cell>
          <cell r="F1278">
            <v>23.5</v>
          </cell>
          <cell r="G1278">
            <v>17.73</v>
          </cell>
          <cell r="H1278">
            <v>40.98</v>
          </cell>
          <cell r="I1278">
            <v>26.05</v>
          </cell>
          <cell r="J1278">
            <v>18.436000000000003</v>
          </cell>
        </row>
        <row r="1279">
          <cell r="A1279">
            <v>40140</v>
          </cell>
          <cell r="B1279">
            <v>29.44</v>
          </cell>
          <cell r="C1279">
            <v>28.06</v>
          </cell>
          <cell r="D1279">
            <v>27.09</v>
          </cell>
          <cell r="E1279">
            <v>23.52</v>
          </cell>
          <cell r="F1279">
            <v>23.5</v>
          </cell>
          <cell r="G1279">
            <v>17.41</v>
          </cell>
          <cell r="H1279">
            <v>40.98</v>
          </cell>
          <cell r="I1279">
            <v>26.05</v>
          </cell>
          <cell r="J1279">
            <v>18.436000000000003</v>
          </cell>
        </row>
        <row r="1280">
          <cell r="A1280">
            <v>40147</v>
          </cell>
          <cell r="B1280">
            <v>28.74</v>
          </cell>
          <cell r="C1280">
            <v>27.54</v>
          </cell>
          <cell r="D1280">
            <v>26.57</v>
          </cell>
          <cell r="E1280">
            <v>23.5</v>
          </cell>
          <cell r="F1280">
            <v>23.5</v>
          </cell>
          <cell r="G1280">
            <v>17.579999999999998</v>
          </cell>
          <cell r="H1280">
            <v>40.98</v>
          </cell>
          <cell r="I1280">
            <v>26.06</v>
          </cell>
          <cell r="J1280">
            <v>18.436000000000003</v>
          </cell>
        </row>
        <row r="1281">
          <cell r="A1281" t="str">
            <v>Promedio11-9</v>
          </cell>
          <cell r="B1281">
            <v>29.173999999999999</v>
          </cell>
          <cell r="C1281">
            <v>27.731999999999999</v>
          </cell>
          <cell r="D1281">
            <v>26.757999999999999</v>
          </cell>
          <cell r="E1281">
            <v>23.499999999999996</v>
          </cell>
          <cell r="F1281">
            <v>23.5</v>
          </cell>
          <cell r="G1281">
            <v>17.618000000000002</v>
          </cell>
          <cell r="H1281">
            <v>40.501999999999995</v>
          </cell>
          <cell r="I1281">
            <v>25.935999999999996</v>
          </cell>
          <cell r="J1281">
            <v>18.436000000000003</v>
          </cell>
        </row>
        <row r="1283">
          <cell r="A1283" t="str">
            <v>FECHA</v>
          </cell>
          <cell r="B1283" t="str">
            <v>SUPERIOR 98</v>
          </cell>
          <cell r="C1283" t="str">
            <v>SUPERIOR 95</v>
          </cell>
          <cell r="D1283" t="str">
            <v>REGULAR</v>
          </cell>
          <cell r="E1283" t="str">
            <v>DIESEL</v>
          </cell>
          <cell r="F1283" t="str">
            <v>KEROSINA</v>
          </cell>
          <cell r="G1283" t="str">
            <v>BUNKER Rack</v>
          </cell>
          <cell r="H1283" t="str">
            <v>AV-GAS</v>
          </cell>
          <cell r="I1283" t="str">
            <v>AV-JET</v>
          </cell>
          <cell r="J1283" t="str">
            <v>GLP</v>
          </cell>
        </row>
        <row r="1284">
          <cell r="B1284" t="str">
            <v>Q/GALON</v>
          </cell>
          <cell r="C1284" t="str">
            <v>Q/GALON</v>
          </cell>
          <cell r="D1284" t="str">
            <v>Q/GALON</v>
          </cell>
          <cell r="E1284" t="str">
            <v>Q/GALON</v>
          </cell>
          <cell r="F1284" t="str">
            <v>Q/GALON</v>
          </cell>
          <cell r="G1284" t="str">
            <v>Q/GALON</v>
          </cell>
          <cell r="H1284" t="str">
            <v>Q/GALON</v>
          </cell>
          <cell r="I1284" t="str">
            <v>Q/GALON</v>
          </cell>
          <cell r="J1284" t="str">
            <v>Q/GALON</v>
          </cell>
        </row>
        <row r="1285">
          <cell r="A1285">
            <v>40154</v>
          </cell>
          <cell r="B1285">
            <v>28.72</v>
          </cell>
          <cell r="C1285">
            <v>27.46</v>
          </cell>
          <cell r="D1285">
            <v>26.5</v>
          </cell>
          <cell r="E1285">
            <v>23.52</v>
          </cell>
          <cell r="F1285">
            <v>23.5</v>
          </cell>
          <cell r="G1285">
            <v>17.78</v>
          </cell>
          <cell r="H1285">
            <v>41.03</v>
          </cell>
          <cell r="I1285">
            <v>26.11</v>
          </cell>
          <cell r="J1285">
            <v>18.436000000000003</v>
          </cell>
        </row>
        <row r="1286">
          <cell r="A1286">
            <v>40161</v>
          </cell>
          <cell r="B1286">
            <v>28.7</v>
          </cell>
          <cell r="C1286">
            <v>27.42</v>
          </cell>
          <cell r="D1286">
            <v>26.46</v>
          </cell>
          <cell r="E1286">
            <v>23.49</v>
          </cell>
          <cell r="F1286">
            <v>23.5</v>
          </cell>
          <cell r="G1286">
            <v>17.16</v>
          </cell>
          <cell r="H1286">
            <v>41.13</v>
          </cell>
          <cell r="I1286">
            <v>25.96</v>
          </cell>
          <cell r="J1286">
            <v>18.436000000000003</v>
          </cell>
        </row>
        <row r="1287">
          <cell r="A1287">
            <v>40168</v>
          </cell>
          <cell r="B1287">
            <v>28.7</v>
          </cell>
          <cell r="C1287">
            <v>27.39</v>
          </cell>
          <cell r="D1287">
            <v>26.42</v>
          </cell>
          <cell r="E1287">
            <v>23.43</v>
          </cell>
          <cell r="F1287">
            <v>23.5</v>
          </cell>
          <cell r="G1287">
            <v>18.12</v>
          </cell>
          <cell r="H1287">
            <v>41.13</v>
          </cell>
          <cell r="I1287">
            <v>25.96</v>
          </cell>
          <cell r="J1287">
            <v>18.436000000000003</v>
          </cell>
        </row>
        <row r="1288">
          <cell r="A1288">
            <v>40175</v>
          </cell>
          <cell r="B1288">
            <v>28.69</v>
          </cell>
          <cell r="C1288">
            <v>27.4</v>
          </cell>
          <cell r="D1288">
            <v>26.43</v>
          </cell>
          <cell r="E1288">
            <v>23.44</v>
          </cell>
          <cell r="F1288">
            <v>23.5</v>
          </cell>
          <cell r="G1288">
            <v>18.39</v>
          </cell>
          <cell r="H1288">
            <v>41.13</v>
          </cell>
          <cell r="I1288">
            <v>25.96</v>
          </cell>
          <cell r="J1288">
            <v>18.436000000000003</v>
          </cell>
        </row>
        <row r="1289">
          <cell r="A1289" t="str">
            <v>Promedio12-9</v>
          </cell>
          <cell r="B1289">
            <v>28.702500000000001</v>
          </cell>
          <cell r="C1289">
            <v>27.417500000000004</v>
          </cell>
          <cell r="D1289">
            <v>26.452500000000001</v>
          </cell>
          <cell r="E1289">
            <v>23.47</v>
          </cell>
          <cell r="F1289">
            <v>23.5</v>
          </cell>
          <cell r="G1289">
            <v>17.862500000000001</v>
          </cell>
          <cell r="H1289">
            <v>41.104999999999997</v>
          </cell>
          <cell r="I1289">
            <v>25.997500000000002</v>
          </cell>
          <cell r="J1289">
            <v>18.436000000000003</v>
          </cell>
        </row>
        <row r="1291">
          <cell r="A1291" t="str">
            <v>FECHA</v>
          </cell>
          <cell r="B1291" t="str">
            <v>SUPERIOR 98</v>
          </cell>
          <cell r="C1291" t="str">
            <v>SUPERIOR 95</v>
          </cell>
          <cell r="D1291" t="str">
            <v>REGULAR</v>
          </cell>
          <cell r="E1291" t="str">
            <v>DIESEL</v>
          </cell>
          <cell r="F1291" t="str">
            <v>KEROSINA</v>
          </cell>
          <cell r="G1291" t="str">
            <v>BUNKER Rack</v>
          </cell>
          <cell r="H1291" t="str">
            <v>AV-GAS</v>
          </cell>
          <cell r="I1291" t="str">
            <v>Turbo-Jet A1</v>
          </cell>
          <cell r="J1291" t="str">
            <v>GLP</v>
          </cell>
        </row>
        <row r="1292">
          <cell r="B1292" t="str">
            <v>Q/GALON</v>
          </cell>
          <cell r="C1292" t="str">
            <v>Q/GALON</v>
          </cell>
          <cell r="D1292" t="str">
            <v>Q/GALON</v>
          </cell>
          <cell r="E1292" t="str">
            <v>Q/GALON</v>
          </cell>
          <cell r="F1292" t="str">
            <v>Q/GALON</v>
          </cell>
          <cell r="G1292" t="str">
            <v>Q/GALON</v>
          </cell>
          <cell r="H1292" t="str">
            <v>Q/GALON</v>
          </cell>
          <cell r="I1292" t="str">
            <v>Q/GALON</v>
          </cell>
          <cell r="J1292" t="str">
            <v>Q/GALON</v>
          </cell>
        </row>
        <row r="1293">
          <cell r="A1293">
            <v>40182</v>
          </cell>
          <cell r="B1293">
            <v>28.67</v>
          </cell>
          <cell r="C1293">
            <v>27.38</v>
          </cell>
          <cell r="D1293">
            <v>26.44</v>
          </cell>
          <cell r="E1293">
            <v>23.42</v>
          </cell>
          <cell r="F1293">
            <v>24.5</v>
          </cell>
          <cell r="G1293">
            <v>17.88</v>
          </cell>
          <cell r="H1293">
            <v>41.32</v>
          </cell>
          <cell r="I1293">
            <v>26.08</v>
          </cell>
          <cell r="J1293">
            <v>18.436000000000003</v>
          </cell>
        </row>
        <row r="1294">
          <cell r="A1294">
            <v>40189</v>
          </cell>
          <cell r="B1294">
            <v>29.35</v>
          </cell>
          <cell r="C1294">
            <v>28.16</v>
          </cell>
          <cell r="D1294">
            <v>27.23</v>
          </cell>
          <cell r="E1294">
            <v>24.15</v>
          </cell>
          <cell r="F1294">
            <v>25</v>
          </cell>
          <cell r="G1294">
            <v>18.64</v>
          </cell>
          <cell r="H1294">
            <v>40.36</v>
          </cell>
          <cell r="I1294">
            <v>27.5</v>
          </cell>
          <cell r="J1294">
            <v>18.436000000000003</v>
          </cell>
        </row>
        <row r="1295">
          <cell r="A1295">
            <v>40196</v>
          </cell>
          <cell r="B1295">
            <v>30.24</v>
          </cell>
          <cell r="C1295">
            <v>28.96</v>
          </cell>
          <cell r="D1295">
            <v>28.05</v>
          </cell>
          <cell r="E1295">
            <v>25.35</v>
          </cell>
          <cell r="F1295">
            <v>25</v>
          </cell>
          <cell r="G1295">
            <v>18.5</v>
          </cell>
          <cell r="H1295">
            <v>39.979999999999997</v>
          </cell>
          <cell r="I1295">
            <v>27.24</v>
          </cell>
          <cell r="J1295">
            <v>18.436000000000003</v>
          </cell>
        </row>
        <row r="1296">
          <cell r="A1296">
            <v>40203</v>
          </cell>
          <cell r="B1296">
            <v>30.2</v>
          </cell>
          <cell r="C1296">
            <v>28.92</v>
          </cell>
          <cell r="D1296">
            <v>27.98</v>
          </cell>
          <cell r="E1296">
            <v>25.04</v>
          </cell>
          <cell r="F1296">
            <v>26</v>
          </cell>
          <cell r="G1296">
            <v>18.190000000000001</v>
          </cell>
          <cell r="H1296">
            <v>39.979999999999997</v>
          </cell>
          <cell r="I1296">
            <v>27.24</v>
          </cell>
          <cell r="J1296">
            <v>18.436000000000003</v>
          </cell>
        </row>
        <row r="1297">
          <cell r="A1297" t="str">
            <v>Promedio1-10</v>
          </cell>
          <cell r="B1297">
            <v>29.615000000000002</v>
          </cell>
          <cell r="C1297">
            <v>28.355</v>
          </cell>
          <cell r="D1297">
            <v>27.425000000000001</v>
          </cell>
          <cell r="E1297">
            <v>24.490000000000002</v>
          </cell>
          <cell r="F1297">
            <v>25.125</v>
          </cell>
          <cell r="G1297">
            <v>18.302499999999998</v>
          </cell>
          <cell r="H1297">
            <v>40.409999999999997</v>
          </cell>
          <cell r="I1297">
            <v>27.014999999999997</v>
          </cell>
          <cell r="J1297">
            <v>18.436000000000003</v>
          </cell>
        </row>
        <row r="1299">
          <cell r="A1299" t="str">
            <v>FECHA</v>
          </cell>
          <cell r="B1299" t="str">
            <v>SUPERIOR 98</v>
          </cell>
          <cell r="C1299" t="str">
            <v>SUPERIOR 95</v>
          </cell>
          <cell r="D1299" t="str">
            <v>REGULAR</v>
          </cell>
          <cell r="E1299" t="str">
            <v>DIESEL</v>
          </cell>
          <cell r="F1299" t="str">
            <v>KEROSINA</v>
          </cell>
          <cell r="G1299" t="str">
            <v>BUNKER Rack</v>
          </cell>
          <cell r="H1299" t="str">
            <v>AV-GAS</v>
          </cell>
          <cell r="I1299" t="str">
            <v>Turbo-Jet A1</v>
          </cell>
          <cell r="J1299" t="str">
            <v>GLP</v>
          </cell>
        </row>
        <row r="1300">
          <cell r="B1300" t="str">
            <v>Q/GALON</v>
          </cell>
          <cell r="C1300" t="str">
            <v>Q/GALON</v>
          </cell>
          <cell r="D1300" t="str">
            <v>Q/GALON</v>
          </cell>
          <cell r="E1300" t="str">
            <v>Q/GALON</v>
          </cell>
          <cell r="F1300" t="str">
            <v>Q/GALON</v>
          </cell>
          <cell r="G1300" t="str">
            <v>Q/GALON</v>
          </cell>
          <cell r="H1300" t="str">
            <v>Q/GALON</v>
          </cell>
          <cell r="I1300" t="str">
            <v>Q/GALON</v>
          </cell>
          <cell r="J1300" t="str">
            <v>Q/GALON</v>
          </cell>
        </row>
        <row r="1301">
          <cell r="A1301">
            <v>40210</v>
          </cell>
          <cell r="B1301">
            <v>29.76</v>
          </cell>
          <cell r="C1301">
            <v>28.57</v>
          </cell>
          <cell r="D1301">
            <v>27.71</v>
          </cell>
          <cell r="E1301">
            <v>24.7</v>
          </cell>
          <cell r="F1301">
            <v>26</v>
          </cell>
          <cell r="G1301">
            <v>17.829999999999998</v>
          </cell>
          <cell r="H1301">
            <v>39.61</v>
          </cell>
          <cell r="I1301">
            <v>26.99</v>
          </cell>
          <cell r="J1301">
            <v>18.436000000000003</v>
          </cell>
        </row>
        <row r="1302">
          <cell r="A1302">
            <v>40217</v>
          </cell>
          <cell r="B1302">
            <v>29.27</v>
          </cell>
          <cell r="C1302">
            <v>28.17</v>
          </cell>
          <cell r="D1302">
            <v>27.33</v>
          </cell>
          <cell r="E1302">
            <v>24.3</v>
          </cell>
          <cell r="F1302">
            <v>26</v>
          </cell>
          <cell r="G1302">
            <v>17.8</v>
          </cell>
          <cell r="H1302">
            <v>39.61</v>
          </cell>
          <cell r="I1302">
            <v>26.99</v>
          </cell>
          <cell r="J1302">
            <v>18.436000000000003</v>
          </cell>
        </row>
        <row r="1303">
          <cell r="A1303">
            <v>40224</v>
          </cell>
          <cell r="B1303">
            <v>28.79</v>
          </cell>
          <cell r="C1303">
            <v>27.72</v>
          </cell>
          <cell r="D1303">
            <v>26.88</v>
          </cell>
          <cell r="E1303">
            <v>23.73</v>
          </cell>
          <cell r="F1303">
            <v>26</v>
          </cell>
          <cell r="G1303">
            <v>17.62</v>
          </cell>
          <cell r="H1303">
            <v>38.409999999999997</v>
          </cell>
          <cell r="I1303">
            <v>24.85</v>
          </cell>
          <cell r="J1303">
            <v>18.436000000000003</v>
          </cell>
        </row>
        <row r="1304">
          <cell r="A1304">
            <v>40231</v>
          </cell>
          <cell r="B1304">
            <v>28.72</v>
          </cell>
          <cell r="C1304">
            <v>27.5</v>
          </cell>
          <cell r="D1304">
            <v>26.65</v>
          </cell>
          <cell r="E1304">
            <v>23.4</v>
          </cell>
          <cell r="F1304">
            <v>26</v>
          </cell>
          <cell r="G1304">
            <v>17.5</v>
          </cell>
          <cell r="H1304">
            <v>38.409999999999997</v>
          </cell>
          <cell r="I1304">
            <v>24.85</v>
          </cell>
          <cell r="J1304">
            <v>18.436000000000003</v>
          </cell>
        </row>
        <row r="1305">
          <cell r="A1305" t="str">
            <v>Promedio2-10</v>
          </cell>
          <cell r="B1305">
            <v>29.134999999999998</v>
          </cell>
          <cell r="C1305">
            <v>27.990000000000002</v>
          </cell>
          <cell r="D1305">
            <v>27.142499999999998</v>
          </cell>
          <cell r="E1305">
            <v>24.032499999999999</v>
          </cell>
          <cell r="F1305">
            <v>26</v>
          </cell>
          <cell r="G1305">
            <v>17.6875</v>
          </cell>
          <cell r="H1305">
            <v>39.01</v>
          </cell>
          <cell r="I1305">
            <v>25.92</v>
          </cell>
          <cell r="J1305">
            <v>18.436000000000003</v>
          </cell>
        </row>
        <row r="1307">
          <cell r="A1307" t="str">
            <v>FECHA</v>
          </cell>
          <cell r="B1307" t="str">
            <v>SUPERIOR 98</v>
          </cell>
          <cell r="C1307" t="str">
            <v>SUPERIOR 95</v>
          </cell>
          <cell r="D1307" t="str">
            <v>REGULAR</v>
          </cell>
          <cell r="E1307" t="str">
            <v>DIESEL</v>
          </cell>
          <cell r="F1307" t="str">
            <v>KEROSINA</v>
          </cell>
          <cell r="G1307" t="str">
            <v>BUNKER Rack</v>
          </cell>
          <cell r="H1307" t="str">
            <v>AV-GAS</v>
          </cell>
          <cell r="I1307" t="str">
            <v>Turbo-Jet A1</v>
          </cell>
          <cell r="J1307" t="str">
            <v>GLP</v>
          </cell>
        </row>
        <row r="1308">
          <cell r="B1308" t="str">
            <v>Q/GALON</v>
          </cell>
          <cell r="C1308" t="str">
            <v>Q/GALON</v>
          </cell>
          <cell r="D1308" t="str">
            <v>Q/GALON</v>
          </cell>
          <cell r="E1308" t="str">
            <v>Q/GALON</v>
          </cell>
          <cell r="F1308" t="str">
            <v>Q/GALON</v>
          </cell>
          <cell r="G1308" t="str">
            <v>Q/GALON</v>
          </cell>
          <cell r="H1308" t="str">
            <v>Q/GALON</v>
          </cell>
          <cell r="I1308" t="str">
            <v>Q/GALON</v>
          </cell>
          <cell r="J1308" t="str">
            <v>Q/GALON</v>
          </cell>
        </row>
        <row r="1309">
          <cell r="A1309">
            <v>40238</v>
          </cell>
          <cell r="B1309">
            <v>28.73</v>
          </cell>
          <cell r="C1309">
            <v>28.16</v>
          </cell>
          <cell r="D1309">
            <v>27.314</v>
          </cell>
          <cell r="E1309">
            <v>23.72</v>
          </cell>
          <cell r="F1309">
            <v>26</v>
          </cell>
          <cell r="G1309">
            <v>17.510000000000002</v>
          </cell>
          <cell r="H1309">
            <v>38.700000000000003</v>
          </cell>
          <cell r="I1309">
            <v>25.81</v>
          </cell>
          <cell r="J1309">
            <v>18.436000000000003</v>
          </cell>
        </row>
        <row r="1310">
          <cell r="A1310">
            <v>40245</v>
          </cell>
          <cell r="B1310">
            <v>30.01</v>
          </cell>
          <cell r="C1310">
            <v>28.66</v>
          </cell>
          <cell r="D1310">
            <v>27.79</v>
          </cell>
          <cell r="E1310">
            <v>24.09</v>
          </cell>
          <cell r="F1310">
            <v>25</v>
          </cell>
          <cell r="G1310">
            <v>17.71</v>
          </cell>
          <cell r="H1310">
            <v>38.700000000000003</v>
          </cell>
          <cell r="I1310">
            <v>25.81</v>
          </cell>
          <cell r="J1310">
            <v>18.436000000000003</v>
          </cell>
        </row>
        <row r="1311">
          <cell r="A1311">
            <v>40252</v>
          </cell>
          <cell r="B1311">
            <v>31.02</v>
          </cell>
          <cell r="C1311">
            <v>29.55</v>
          </cell>
          <cell r="D1311">
            <v>28.32</v>
          </cell>
          <cell r="E1311">
            <v>24.31</v>
          </cell>
          <cell r="F1311">
            <v>25</v>
          </cell>
          <cell r="G1311">
            <v>17.670000000000002</v>
          </cell>
          <cell r="H1311">
            <v>38.58</v>
          </cell>
          <cell r="I1311">
            <v>25.73</v>
          </cell>
          <cell r="J1311">
            <v>18.436000000000003</v>
          </cell>
        </row>
        <row r="1312">
          <cell r="A1312">
            <v>40259</v>
          </cell>
          <cell r="B1312">
            <v>31.9</v>
          </cell>
          <cell r="C1312">
            <v>30.09</v>
          </cell>
          <cell r="D1312">
            <v>28.81</v>
          </cell>
          <cell r="E1312">
            <v>24.57</v>
          </cell>
          <cell r="F1312">
            <v>25</v>
          </cell>
          <cell r="G1312">
            <v>17.54</v>
          </cell>
          <cell r="H1312">
            <v>38.74</v>
          </cell>
          <cell r="I1312">
            <v>26.31</v>
          </cell>
          <cell r="J1312">
            <v>18.436000000000003</v>
          </cell>
        </row>
        <row r="1313">
          <cell r="A1313">
            <v>40266</v>
          </cell>
          <cell r="B1313">
            <v>31.9</v>
          </cell>
          <cell r="C1313">
            <v>30.49</v>
          </cell>
          <cell r="D1313">
            <v>29.2</v>
          </cell>
          <cell r="E1313">
            <v>24.75</v>
          </cell>
          <cell r="F1313">
            <v>25</v>
          </cell>
          <cell r="G1313">
            <v>17.54</v>
          </cell>
          <cell r="H1313">
            <v>38.74</v>
          </cell>
          <cell r="I1313">
            <v>26.31</v>
          </cell>
          <cell r="J1313">
            <v>18.436000000000003</v>
          </cell>
        </row>
        <row r="1314">
          <cell r="A1314" t="str">
            <v>Promedio3-10</v>
          </cell>
          <cell r="B1314">
            <v>30.712</v>
          </cell>
          <cell r="C1314">
            <v>29.390000000000004</v>
          </cell>
          <cell r="D1314">
            <v>28.286799999999999</v>
          </cell>
          <cell r="E1314">
            <v>24.288</v>
          </cell>
          <cell r="F1314">
            <v>25.2</v>
          </cell>
          <cell r="G1314">
            <v>17.594000000000001</v>
          </cell>
          <cell r="H1314">
            <v>38.692</v>
          </cell>
          <cell r="I1314">
            <v>25.994</v>
          </cell>
          <cell r="J1314">
            <v>18.436000000000003</v>
          </cell>
        </row>
        <row r="1316">
          <cell r="A1316" t="str">
            <v>FECHA</v>
          </cell>
          <cell r="B1316" t="str">
            <v>SUPERIOR 98</v>
          </cell>
          <cell r="C1316" t="str">
            <v>SUPERIOR 95</v>
          </cell>
          <cell r="D1316" t="str">
            <v>REGULAR</v>
          </cell>
          <cell r="E1316" t="str">
            <v>DIESEL</v>
          </cell>
          <cell r="F1316" t="str">
            <v>KEROSINA</v>
          </cell>
          <cell r="G1316" t="str">
            <v>BUNKER Rack</v>
          </cell>
          <cell r="H1316" t="str">
            <v>AV-GAS</v>
          </cell>
          <cell r="I1316" t="str">
            <v>Turbo-Jet A1</v>
          </cell>
          <cell r="J1316" t="str">
            <v>GLP</v>
          </cell>
        </row>
        <row r="1317">
          <cell r="B1317" t="str">
            <v>Q/GALON</v>
          </cell>
          <cell r="C1317" t="str">
            <v>Q/GALON</v>
          </cell>
          <cell r="D1317" t="str">
            <v>Q/GALON</v>
          </cell>
          <cell r="E1317" t="str">
            <v>Q/GALON</v>
          </cell>
          <cell r="F1317" t="str">
            <v>Q/GALON</v>
          </cell>
          <cell r="G1317" t="str">
            <v>Q/GALON</v>
          </cell>
          <cell r="H1317" t="str">
            <v>Q/GALON</v>
          </cell>
          <cell r="I1317" t="str">
            <v>Q/GALON</v>
          </cell>
          <cell r="J1317" t="str">
            <v>Q/GALON</v>
          </cell>
        </row>
        <row r="1318">
          <cell r="A1318">
            <v>40273</v>
          </cell>
          <cell r="B1318">
            <v>31.99</v>
          </cell>
          <cell r="C1318">
            <v>30.6</v>
          </cell>
          <cell r="D1318">
            <v>29.35</v>
          </cell>
          <cell r="E1318">
            <v>24.81</v>
          </cell>
          <cell r="F1318">
            <v>25</v>
          </cell>
          <cell r="G1318">
            <v>17.54</v>
          </cell>
          <cell r="H1318">
            <v>40.75</v>
          </cell>
          <cell r="I1318">
            <v>26.48</v>
          </cell>
          <cell r="J1318">
            <v>18.436000000000003</v>
          </cell>
        </row>
        <row r="1319">
          <cell r="A1319">
            <v>40280</v>
          </cell>
          <cell r="B1319">
            <v>31.94</v>
          </cell>
          <cell r="C1319">
            <v>30.6</v>
          </cell>
          <cell r="D1319">
            <v>29.33</v>
          </cell>
          <cell r="E1319">
            <v>24.82</v>
          </cell>
          <cell r="F1319">
            <v>25</v>
          </cell>
          <cell r="G1319">
            <v>17.38</v>
          </cell>
          <cell r="H1319">
            <v>40.68</v>
          </cell>
          <cell r="I1319">
            <v>26.44</v>
          </cell>
          <cell r="J1319">
            <v>18.436000000000003</v>
          </cell>
        </row>
        <row r="1320">
          <cell r="A1320">
            <v>40287</v>
          </cell>
          <cell r="B1320">
            <v>31.92</v>
          </cell>
          <cell r="C1320">
            <v>30.58</v>
          </cell>
          <cell r="D1320">
            <v>29.31</v>
          </cell>
          <cell r="E1320">
            <v>24.8</v>
          </cell>
          <cell r="F1320">
            <v>25</v>
          </cell>
          <cell r="G1320">
            <v>17.45</v>
          </cell>
          <cell r="H1320">
            <v>40.630000000000003</v>
          </cell>
          <cell r="I1320">
            <v>27.53</v>
          </cell>
          <cell r="J1320">
            <v>18.436000000000003</v>
          </cell>
        </row>
        <row r="1321">
          <cell r="A1321">
            <v>40294</v>
          </cell>
          <cell r="B1321">
            <v>31.65</v>
          </cell>
          <cell r="C1321">
            <v>30.45</v>
          </cell>
          <cell r="D1321">
            <v>29.33</v>
          </cell>
          <cell r="E1321">
            <v>25.3</v>
          </cell>
          <cell r="F1321">
            <v>25</v>
          </cell>
          <cell r="G1321">
            <v>17.22</v>
          </cell>
          <cell r="H1321">
            <v>40.75</v>
          </cell>
          <cell r="I1321">
            <v>27.62</v>
          </cell>
          <cell r="J1321">
            <v>18.436000000000003</v>
          </cell>
        </row>
        <row r="1322">
          <cell r="A1322" t="str">
            <v>Promedio4-10</v>
          </cell>
          <cell r="B1322">
            <v>31.875</v>
          </cell>
          <cell r="C1322">
            <v>30.557500000000001</v>
          </cell>
          <cell r="D1322">
            <v>29.33</v>
          </cell>
          <cell r="E1322">
            <v>24.932499999999997</v>
          </cell>
          <cell r="F1322">
            <v>25</v>
          </cell>
          <cell r="G1322">
            <v>17.397500000000001</v>
          </cell>
          <cell r="H1322">
            <v>40.702500000000001</v>
          </cell>
          <cell r="I1322">
            <v>27.017500000000002</v>
          </cell>
          <cell r="J1322">
            <v>18.436000000000003</v>
          </cell>
        </row>
        <row r="1324">
          <cell r="A1324" t="str">
            <v>FECHA</v>
          </cell>
          <cell r="B1324" t="str">
            <v>SUPERIOR 98</v>
          </cell>
          <cell r="C1324" t="str">
            <v>SUPERIOR 95</v>
          </cell>
          <cell r="D1324" t="str">
            <v>REGULAR</v>
          </cell>
          <cell r="E1324" t="str">
            <v>DIESEL</v>
          </cell>
          <cell r="F1324" t="str">
            <v>KEROSINA</v>
          </cell>
          <cell r="G1324" t="str">
            <v>BUNKER Rack</v>
          </cell>
          <cell r="H1324" t="str">
            <v>AV-GAS</v>
          </cell>
          <cell r="I1324" t="str">
            <v>Turbo-Jet A1</v>
          </cell>
          <cell r="J1324" t="str">
            <v>GLP</v>
          </cell>
        </row>
        <row r="1325">
          <cell r="B1325" t="str">
            <v>Q/GALON</v>
          </cell>
          <cell r="C1325" t="str">
            <v>Q/GALON</v>
          </cell>
          <cell r="D1325" t="str">
            <v>Q/GALON</v>
          </cell>
          <cell r="E1325" t="str">
            <v>Q/GALON</v>
          </cell>
          <cell r="F1325" t="str">
            <v>Q/GALON</v>
          </cell>
          <cell r="G1325" t="str">
            <v>Q/GALON</v>
          </cell>
          <cell r="H1325" t="str">
            <v>Q/GALON</v>
          </cell>
          <cell r="I1325" t="str">
            <v>Q/GALON</v>
          </cell>
          <cell r="J1325" t="str">
            <v>Q/GALON</v>
          </cell>
        </row>
        <row r="1326">
          <cell r="A1326">
            <v>40301</v>
          </cell>
          <cell r="B1326">
            <v>31.61</v>
          </cell>
          <cell r="C1326">
            <v>30.39</v>
          </cell>
          <cell r="D1326">
            <v>29.33</v>
          </cell>
          <cell r="E1326">
            <v>25.3</v>
          </cell>
          <cell r="F1326">
            <v>25</v>
          </cell>
          <cell r="G1326">
            <v>17.54</v>
          </cell>
          <cell r="H1326">
            <v>40.75</v>
          </cell>
          <cell r="I1326">
            <v>27.62</v>
          </cell>
          <cell r="J1326">
            <v>18.436000000000003</v>
          </cell>
        </row>
        <row r="1327">
          <cell r="A1327">
            <v>40308</v>
          </cell>
          <cell r="B1327">
            <v>31.58</v>
          </cell>
          <cell r="C1327">
            <v>30.38</v>
          </cell>
          <cell r="D1327">
            <v>29.35</v>
          </cell>
          <cell r="E1327">
            <v>25.34</v>
          </cell>
          <cell r="F1327">
            <v>25</v>
          </cell>
          <cell r="G1327">
            <v>17.579999999999998</v>
          </cell>
          <cell r="H1327">
            <v>40.65</v>
          </cell>
          <cell r="I1327">
            <v>27.55</v>
          </cell>
          <cell r="J1327">
            <v>18.436000000000003</v>
          </cell>
        </row>
        <row r="1328">
          <cell r="A1328">
            <v>40315</v>
          </cell>
          <cell r="B1328">
            <v>31.35</v>
          </cell>
          <cell r="C1328">
            <v>30.25</v>
          </cell>
          <cell r="D1328">
            <v>29.23</v>
          </cell>
          <cell r="E1328">
            <v>25.23</v>
          </cell>
          <cell r="F1328">
            <v>25</v>
          </cell>
          <cell r="G1328">
            <v>17.350000000000001</v>
          </cell>
          <cell r="H1328">
            <v>40.65</v>
          </cell>
          <cell r="I1328">
            <v>27.43</v>
          </cell>
          <cell r="J1328">
            <v>18.436000000000003</v>
          </cell>
        </row>
        <row r="1329">
          <cell r="A1329">
            <v>40322</v>
          </cell>
          <cell r="B1329">
            <v>30.35</v>
          </cell>
          <cell r="C1329">
            <v>29.4</v>
          </cell>
          <cell r="D1329">
            <v>28.43</v>
          </cell>
          <cell r="E1329">
            <v>24.55</v>
          </cell>
          <cell r="F1329">
            <v>26</v>
          </cell>
          <cell r="G1329">
            <v>16.91</v>
          </cell>
          <cell r="H1329">
            <v>40.65</v>
          </cell>
          <cell r="I1329">
            <v>26.92</v>
          </cell>
          <cell r="J1329">
            <v>18.436000000000003</v>
          </cell>
        </row>
        <row r="1330">
          <cell r="A1330">
            <v>40329</v>
          </cell>
          <cell r="B1330">
            <v>29.71</v>
          </cell>
          <cell r="C1330">
            <v>28.78</v>
          </cell>
          <cell r="D1330">
            <v>27.82</v>
          </cell>
          <cell r="E1330">
            <v>23.82</v>
          </cell>
          <cell r="F1330">
            <v>26</v>
          </cell>
          <cell r="G1330">
            <v>16.91</v>
          </cell>
          <cell r="H1330">
            <v>38.409999999999997</v>
          </cell>
          <cell r="I1330">
            <v>25.65</v>
          </cell>
          <cell r="J1330">
            <v>18.436000000000003</v>
          </cell>
        </row>
        <row r="1331">
          <cell r="A1331" t="str">
            <v>Promedio5-10</v>
          </cell>
          <cell r="B1331">
            <v>30.919999999999998</v>
          </cell>
          <cell r="C1331">
            <v>29.839999999999996</v>
          </cell>
          <cell r="D1331">
            <v>28.832000000000001</v>
          </cell>
          <cell r="E1331">
            <v>24.848000000000003</v>
          </cell>
          <cell r="F1331">
            <v>25.4</v>
          </cell>
          <cell r="G1331">
            <v>17.257999999999999</v>
          </cell>
          <cell r="H1331">
            <v>40.222000000000001</v>
          </cell>
          <cell r="I1331">
            <v>27.033999999999999</v>
          </cell>
          <cell r="J1331">
            <v>18.436000000000003</v>
          </cell>
        </row>
        <row r="1333">
          <cell r="A1333" t="str">
            <v>FECHA</v>
          </cell>
          <cell r="B1333" t="str">
            <v>SUPERIOR 98</v>
          </cell>
          <cell r="C1333" t="str">
            <v>SUPERIOR 95</v>
          </cell>
          <cell r="D1333" t="str">
            <v>REGULAR</v>
          </cell>
          <cell r="E1333" t="str">
            <v>DIESEL</v>
          </cell>
          <cell r="F1333" t="str">
            <v>KEROSINA</v>
          </cell>
          <cell r="G1333" t="str">
            <v>BUNKER Rack</v>
          </cell>
          <cell r="H1333" t="str">
            <v>AV-GAS</v>
          </cell>
          <cell r="I1333" t="str">
            <v>Turbo-Jet A1</v>
          </cell>
          <cell r="J1333" t="str">
            <v>GLP</v>
          </cell>
        </row>
        <row r="1334">
          <cell r="B1334" t="str">
            <v>Q/GALON</v>
          </cell>
          <cell r="C1334" t="str">
            <v>Q/GALON</v>
          </cell>
          <cell r="D1334" t="str">
            <v>Q/GALON</v>
          </cell>
          <cell r="E1334" t="str">
            <v>Q/GALON</v>
          </cell>
          <cell r="F1334" t="str">
            <v>Q/GALON</v>
          </cell>
          <cell r="G1334" t="str">
            <v>Q/GALON</v>
          </cell>
          <cell r="H1334" t="str">
            <v>Q/GALON</v>
          </cell>
          <cell r="I1334" t="str">
            <v>Q/GALON</v>
          </cell>
          <cell r="J1334" t="str">
            <v>Q/GALON</v>
          </cell>
        </row>
        <row r="1335">
          <cell r="A1335">
            <v>40336</v>
          </cell>
          <cell r="B1335">
            <v>29.23</v>
          </cell>
          <cell r="C1335">
            <v>28.2</v>
          </cell>
          <cell r="D1335">
            <v>27.22</v>
          </cell>
          <cell r="E1335">
            <v>23.25</v>
          </cell>
          <cell r="F1335">
            <v>26</v>
          </cell>
          <cell r="G1335">
            <v>16.899999999999999</v>
          </cell>
          <cell r="H1335">
            <v>39.85</v>
          </cell>
          <cell r="I1335">
            <v>25.65</v>
          </cell>
          <cell r="J1335">
            <v>18.436000000000003</v>
          </cell>
        </row>
        <row r="1336">
          <cell r="A1336">
            <v>40343</v>
          </cell>
          <cell r="B1336">
            <v>28.88</v>
          </cell>
          <cell r="C1336">
            <v>27.84</v>
          </cell>
          <cell r="D1336">
            <v>26.82</v>
          </cell>
          <cell r="E1336">
            <v>22.96</v>
          </cell>
          <cell r="F1336">
            <v>26</v>
          </cell>
          <cell r="G1336">
            <v>17.05</v>
          </cell>
          <cell r="H1336">
            <v>39.72</v>
          </cell>
          <cell r="I1336">
            <v>26.56</v>
          </cell>
          <cell r="J1336">
            <v>18.436000000000003</v>
          </cell>
        </row>
        <row r="1337">
          <cell r="A1337">
            <v>40350</v>
          </cell>
          <cell r="B1337">
            <v>29.36</v>
          </cell>
          <cell r="C1337">
            <v>27.96</v>
          </cell>
          <cell r="D1337">
            <v>26.96</v>
          </cell>
          <cell r="E1337">
            <v>23.17</v>
          </cell>
          <cell r="F1337">
            <v>26</v>
          </cell>
          <cell r="G1337">
            <v>16.559999999999999</v>
          </cell>
          <cell r="H1337">
            <v>39.85</v>
          </cell>
          <cell r="I1337">
            <v>26.1</v>
          </cell>
          <cell r="J1337">
            <v>18.436000000000003</v>
          </cell>
        </row>
        <row r="1338">
          <cell r="A1338">
            <v>40357</v>
          </cell>
          <cell r="B1338">
            <v>29.3</v>
          </cell>
          <cell r="C1338">
            <v>28.13</v>
          </cell>
          <cell r="D1338">
            <v>27.14</v>
          </cell>
          <cell r="E1338">
            <v>23.35</v>
          </cell>
          <cell r="F1338">
            <v>26</v>
          </cell>
          <cell r="G1338">
            <v>16.59</v>
          </cell>
          <cell r="H1338">
            <v>39.89</v>
          </cell>
          <cell r="I1338">
            <v>26.13</v>
          </cell>
          <cell r="J1338">
            <v>18.436000000000003</v>
          </cell>
        </row>
        <row r="1339">
          <cell r="A1339" t="str">
            <v>Promedio6-10</v>
          </cell>
          <cell r="B1339">
            <v>29.192499999999999</v>
          </cell>
          <cell r="C1339">
            <v>28.032499999999999</v>
          </cell>
          <cell r="D1339">
            <v>27.035</v>
          </cell>
          <cell r="E1339">
            <v>23.182499999999997</v>
          </cell>
          <cell r="F1339">
            <v>26</v>
          </cell>
          <cell r="G1339">
            <v>16.775000000000002</v>
          </cell>
          <cell r="H1339">
            <v>39.827500000000001</v>
          </cell>
          <cell r="I1339">
            <v>26.11</v>
          </cell>
          <cell r="J1339">
            <v>18.436000000000003</v>
          </cell>
        </row>
        <row r="1341">
          <cell r="A1341" t="str">
            <v>FECHA</v>
          </cell>
          <cell r="B1341" t="str">
            <v>SUPERIOR 98</v>
          </cell>
          <cell r="C1341" t="str">
            <v>SUPERIOR 95</v>
          </cell>
          <cell r="D1341" t="str">
            <v>REGULAR</v>
          </cell>
          <cell r="E1341" t="str">
            <v>DIESEL</v>
          </cell>
          <cell r="F1341" t="str">
            <v>KEROSINA</v>
          </cell>
          <cell r="G1341" t="str">
            <v>BUNKER Rack</v>
          </cell>
          <cell r="H1341" t="str">
            <v>AV-GAS</v>
          </cell>
          <cell r="I1341" t="str">
            <v>Turbo-Jet A1</v>
          </cell>
          <cell r="J1341" t="str">
            <v>GLP</v>
          </cell>
        </row>
        <row r="1342">
          <cell r="B1342" t="str">
            <v>Q/GALON</v>
          </cell>
          <cell r="C1342" t="str">
            <v>Q/GALON</v>
          </cell>
          <cell r="D1342" t="str">
            <v>Q/GALON</v>
          </cell>
          <cell r="E1342" t="str">
            <v>Q/GALON</v>
          </cell>
          <cell r="F1342" t="str">
            <v>Q/GALON</v>
          </cell>
          <cell r="G1342" t="str">
            <v>Q/GALON</v>
          </cell>
          <cell r="H1342" t="str">
            <v>Q/GALON</v>
          </cell>
          <cell r="I1342" t="str">
            <v>Q/GALON</v>
          </cell>
          <cell r="J1342" t="str">
            <v>Q/GALON</v>
          </cell>
        </row>
        <row r="1343">
          <cell r="A1343">
            <v>40364</v>
          </cell>
          <cell r="B1343">
            <v>29.22</v>
          </cell>
          <cell r="C1343">
            <v>28.3</v>
          </cell>
          <cell r="D1343">
            <v>27.32</v>
          </cell>
          <cell r="E1343">
            <v>23.72</v>
          </cell>
          <cell r="F1343">
            <v>26</v>
          </cell>
          <cell r="G1343">
            <v>16.46</v>
          </cell>
          <cell r="H1343">
            <v>39.89</v>
          </cell>
          <cell r="I1343">
            <v>26.68</v>
          </cell>
          <cell r="J1343">
            <v>18.436000000000003</v>
          </cell>
        </row>
        <row r="1344">
          <cell r="A1344">
            <v>40371</v>
          </cell>
          <cell r="B1344">
            <v>28.91</v>
          </cell>
          <cell r="C1344">
            <v>27.99</v>
          </cell>
          <cell r="D1344">
            <v>26.99</v>
          </cell>
          <cell r="E1344">
            <v>23.45</v>
          </cell>
          <cell r="F1344">
            <v>26</v>
          </cell>
          <cell r="G1344">
            <v>16.309999999999999</v>
          </cell>
          <cell r="H1344">
            <v>39.72</v>
          </cell>
          <cell r="I1344">
            <v>26.56</v>
          </cell>
          <cell r="J1344">
            <v>18.436000000000003</v>
          </cell>
        </row>
        <row r="1345">
          <cell r="A1345">
            <v>40379</v>
          </cell>
          <cell r="B1345">
            <v>28.59</v>
          </cell>
          <cell r="C1345">
            <v>27.56</v>
          </cell>
          <cell r="D1345">
            <v>26.48</v>
          </cell>
          <cell r="E1345">
            <v>23.04</v>
          </cell>
          <cell r="F1345">
            <v>26</v>
          </cell>
          <cell r="G1345">
            <v>16.989999999999998</v>
          </cell>
          <cell r="H1345">
            <v>39.72</v>
          </cell>
          <cell r="I1345">
            <v>25.9</v>
          </cell>
          <cell r="J1345">
            <v>18.436000000000003</v>
          </cell>
        </row>
        <row r="1346">
          <cell r="A1346">
            <v>40386</v>
          </cell>
          <cell r="B1346">
            <v>29.07</v>
          </cell>
          <cell r="C1346">
            <v>27.87</v>
          </cell>
          <cell r="D1346">
            <v>26.86</v>
          </cell>
          <cell r="E1346">
            <v>23.32</v>
          </cell>
          <cell r="F1346">
            <v>26</v>
          </cell>
          <cell r="G1346">
            <v>16.489999999999998</v>
          </cell>
          <cell r="H1346">
            <v>39.72</v>
          </cell>
          <cell r="I1346">
            <v>25.9</v>
          </cell>
          <cell r="J1346">
            <v>18.436000000000003</v>
          </cell>
        </row>
        <row r="1347">
          <cell r="A1347" t="str">
            <v>Promedio7-10</v>
          </cell>
          <cell r="B1347">
            <v>28.947499999999998</v>
          </cell>
          <cell r="C1347">
            <v>27.93</v>
          </cell>
          <cell r="D1347">
            <v>26.912500000000001</v>
          </cell>
          <cell r="E1347">
            <v>23.3825</v>
          </cell>
          <cell r="F1347">
            <v>26</v>
          </cell>
          <cell r="G1347">
            <v>16.562499999999996</v>
          </cell>
          <cell r="H1347">
            <v>39.762500000000003</v>
          </cell>
          <cell r="I1347">
            <v>26.259999999999998</v>
          </cell>
          <cell r="J1347">
            <v>18.436000000000003</v>
          </cell>
        </row>
        <row r="1349">
          <cell r="A1349" t="str">
            <v>FECHA</v>
          </cell>
          <cell r="B1349" t="str">
            <v>SUPERIOR 98</v>
          </cell>
          <cell r="C1349" t="str">
            <v>SUPERIOR 95</v>
          </cell>
          <cell r="D1349" t="str">
            <v>REGULAR</v>
          </cell>
          <cell r="E1349" t="str">
            <v>DIESEL</v>
          </cell>
          <cell r="F1349" t="str">
            <v>KEROSINA</v>
          </cell>
          <cell r="G1349" t="str">
            <v>BUNKER Rack</v>
          </cell>
          <cell r="H1349" t="str">
            <v>AV-GAS</v>
          </cell>
          <cell r="I1349" t="str">
            <v>Turbo-Jet A1</v>
          </cell>
          <cell r="J1349" t="str">
            <v>GLP</v>
          </cell>
        </row>
        <row r="1350">
          <cell r="B1350" t="str">
            <v>Q/GALON</v>
          </cell>
          <cell r="C1350" t="str">
            <v>Q/GALON</v>
          </cell>
          <cell r="D1350" t="str">
            <v>Q/GALON</v>
          </cell>
          <cell r="E1350" t="str">
            <v>Q/GALON</v>
          </cell>
          <cell r="F1350" t="str">
            <v>Q/GALON</v>
          </cell>
          <cell r="G1350" t="str">
            <v>Q/GALON</v>
          </cell>
          <cell r="H1350" t="str">
            <v>Q/GALON</v>
          </cell>
          <cell r="I1350" t="str">
            <v>Q/GALON</v>
          </cell>
          <cell r="J1350" t="str">
            <v>Q/GALON</v>
          </cell>
        </row>
        <row r="1351">
          <cell r="A1351">
            <v>40393</v>
          </cell>
          <cell r="B1351">
            <v>29.02</v>
          </cell>
          <cell r="C1351">
            <v>27.8</v>
          </cell>
          <cell r="D1351">
            <v>26.81</v>
          </cell>
          <cell r="E1351">
            <v>23.28</v>
          </cell>
          <cell r="F1351">
            <v>26</v>
          </cell>
          <cell r="G1351">
            <v>16.53</v>
          </cell>
          <cell r="H1351">
            <v>39.31</v>
          </cell>
          <cell r="I1351">
            <v>26.45</v>
          </cell>
          <cell r="J1351">
            <v>18.436000000000003</v>
          </cell>
        </row>
        <row r="1352">
          <cell r="A1352">
            <v>40400</v>
          </cell>
          <cell r="B1352">
            <v>30.21</v>
          </cell>
          <cell r="C1352">
            <v>28.67</v>
          </cell>
          <cell r="D1352">
            <v>27.68</v>
          </cell>
          <cell r="E1352">
            <v>24.09</v>
          </cell>
          <cell r="F1352">
            <v>26</v>
          </cell>
          <cell r="G1352">
            <v>16.59</v>
          </cell>
          <cell r="H1352">
            <v>39.25</v>
          </cell>
          <cell r="I1352">
            <v>26.41</v>
          </cell>
          <cell r="J1352">
            <v>18.436000000000003</v>
          </cell>
        </row>
        <row r="1353">
          <cell r="A1353">
            <v>40407</v>
          </cell>
          <cell r="B1353">
            <v>29.69</v>
          </cell>
          <cell r="C1353">
            <v>28.52</v>
          </cell>
          <cell r="D1353">
            <v>27.52</v>
          </cell>
          <cell r="E1353">
            <v>23.97</v>
          </cell>
          <cell r="F1353">
            <v>26</v>
          </cell>
          <cell r="G1353">
            <v>16.7</v>
          </cell>
          <cell r="H1353">
            <v>39.25</v>
          </cell>
          <cell r="I1353">
            <v>26.41</v>
          </cell>
          <cell r="J1353">
            <v>18.436000000000003</v>
          </cell>
        </row>
        <row r="1354">
          <cell r="A1354">
            <v>40414</v>
          </cell>
          <cell r="B1354">
            <v>29.03</v>
          </cell>
          <cell r="C1354">
            <v>28.23</v>
          </cell>
          <cell r="D1354">
            <v>27.13</v>
          </cell>
          <cell r="E1354">
            <v>23.62</v>
          </cell>
          <cell r="F1354">
            <v>26</v>
          </cell>
          <cell r="G1354">
            <v>16.45</v>
          </cell>
          <cell r="H1354">
            <v>39.54</v>
          </cell>
          <cell r="I1354">
            <v>27.32</v>
          </cell>
          <cell r="J1354">
            <v>18.436000000000003</v>
          </cell>
        </row>
        <row r="1355">
          <cell r="A1355">
            <v>40421</v>
          </cell>
          <cell r="B1355">
            <v>28.25</v>
          </cell>
          <cell r="C1355">
            <v>27.45</v>
          </cell>
          <cell r="D1355">
            <v>26.51</v>
          </cell>
          <cell r="E1355">
            <v>23.03</v>
          </cell>
          <cell r="F1355">
            <v>26</v>
          </cell>
          <cell r="G1355">
            <v>16.36</v>
          </cell>
          <cell r="H1355">
            <v>39.54</v>
          </cell>
          <cell r="I1355">
            <v>27.32</v>
          </cell>
          <cell r="J1355">
            <v>18.436000000000003</v>
          </cell>
        </row>
        <row r="1356">
          <cell r="A1356" t="str">
            <v>Promedio8-10</v>
          </cell>
          <cell r="B1356">
            <v>29.24</v>
          </cell>
          <cell r="C1356">
            <v>28.133999999999997</v>
          </cell>
          <cell r="D1356">
            <v>27.129999999999995</v>
          </cell>
          <cell r="E1356">
            <v>23.598000000000003</v>
          </cell>
          <cell r="F1356">
            <v>26</v>
          </cell>
          <cell r="G1356">
            <v>16.526000000000003</v>
          </cell>
          <cell r="H1356">
            <v>39.378</v>
          </cell>
          <cell r="I1356">
            <v>26.782</v>
          </cell>
          <cell r="J1356">
            <v>18.436000000000003</v>
          </cell>
        </row>
        <row r="1358">
          <cell r="A1358" t="str">
            <v>FECHA</v>
          </cell>
          <cell r="B1358" t="str">
            <v>SUPERIOR 98</v>
          </cell>
          <cell r="C1358" t="str">
            <v>SUPERIOR 95</v>
          </cell>
          <cell r="D1358" t="str">
            <v>REGULAR</v>
          </cell>
          <cell r="E1358" t="str">
            <v>DIESEL</v>
          </cell>
          <cell r="F1358" t="str">
            <v>KEROSINA</v>
          </cell>
          <cell r="G1358" t="str">
            <v>BUNKER Rack</v>
          </cell>
          <cell r="H1358" t="str">
            <v>AV-GAS</v>
          </cell>
          <cell r="I1358" t="str">
            <v>Turbo-Jet A1</v>
          </cell>
          <cell r="J1358" t="str">
            <v>GLP</v>
          </cell>
        </row>
        <row r="1359">
          <cell r="B1359" t="str">
            <v>Q/GALON</v>
          </cell>
          <cell r="C1359" t="str">
            <v>Q/GALON</v>
          </cell>
          <cell r="D1359" t="str">
            <v>Q/GALON</v>
          </cell>
          <cell r="E1359" t="str">
            <v>Q/GALON</v>
          </cell>
          <cell r="F1359" t="str">
            <v>Q/GALON</v>
          </cell>
          <cell r="G1359" t="str">
            <v>Q/GALON</v>
          </cell>
          <cell r="H1359" t="str">
            <v>Q/GALON</v>
          </cell>
          <cell r="I1359" t="str">
            <v>Q/GALON</v>
          </cell>
          <cell r="J1359" t="str">
            <v>Q/GALON</v>
          </cell>
        </row>
        <row r="1360">
          <cell r="A1360">
            <v>40428</v>
          </cell>
          <cell r="B1360">
            <v>28.13</v>
          </cell>
          <cell r="C1360">
            <v>27.33</v>
          </cell>
          <cell r="D1360">
            <v>26.33</v>
          </cell>
          <cell r="E1360">
            <v>22.83</v>
          </cell>
          <cell r="F1360">
            <v>26</v>
          </cell>
          <cell r="G1360">
            <v>16.37</v>
          </cell>
          <cell r="H1360">
            <v>39.409999999999997</v>
          </cell>
          <cell r="I1360">
            <v>26.61</v>
          </cell>
          <cell r="J1360">
            <v>18.436000000000003</v>
          </cell>
        </row>
        <row r="1361">
          <cell r="A1361">
            <v>40435</v>
          </cell>
          <cell r="B1361">
            <v>27.900000000000002</v>
          </cell>
          <cell r="C1361">
            <v>27.1</v>
          </cell>
          <cell r="D1361">
            <v>26.12</v>
          </cell>
          <cell r="E1361">
            <v>22.73</v>
          </cell>
          <cell r="F1361">
            <v>26</v>
          </cell>
          <cell r="G1361">
            <v>16.350000000000001</v>
          </cell>
          <cell r="H1361">
            <v>39.549999999999997</v>
          </cell>
          <cell r="I1361">
            <v>26.71</v>
          </cell>
          <cell r="J1361">
            <v>18.436000000000003</v>
          </cell>
        </row>
        <row r="1362">
          <cell r="A1362">
            <v>40442</v>
          </cell>
          <cell r="B1362">
            <v>27.87</v>
          </cell>
          <cell r="C1362">
            <v>27.07</v>
          </cell>
          <cell r="D1362">
            <v>26.08</v>
          </cell>
          <cell r="E1362">
            <v>22.73</v>
          </cell>
          <cell r="F1362">
            <v>26</v>
          </cell>
          <cell r="G1362">
            <v>16.440000000000001</v>
          </cell>
          <cell r="H1362">
            <v>39.700000000000003</v>
          </cell>
          <cell r="I1362">
            <v>26.81</v>
          </cell>
          <cell r="J1362">
            <v>18.436000000000003</v>
          </cell>
        </row>
        <row r="1363">
          <cell r="A1363">
            <v>40449</v>
          </cell>
          <cell r="B1363">
            <v>28.19</v>
          </cell>
          <cell r="C1363">
            <v>27.39</v>
          </cell>
          <cell r="D1363">
            <v>26.39</v>
          </cell>
          <cell r="E1363">
            <v>23.27</v>
          </cell>
          <cell r="F1363">
            <v>26</v>
          </cell>
          <cell r="G1363">
            <v>16.489999999999998</v>
          </cell>
          <cell r="H1363">
            <v>39.86</v>
          </cell>
          <cell r="I1363">
            <v>26.92</v>
          </cell>
          <cell r="J1363">
            <v>18.436000000000003</v>
          </cell>
        </row>
        <row r="1364">
          <cell r="A1364" t="str">
            <v>Promedio9-10</v>
          </cell>
          <cell r="B1364">
            <v>28.022500000000001</v>
          </cell>
          <cell r="C1364">
            <v>27.2225</v>
          </cell>
          <cell r="D1364">
            <v>26.23</v>
          </cell>
          <cell r="E1364">
            <v>22.89</v>
          </cell>
          <cell r="F1364">
            <v>26</v>
          </cell>
          <cell r="G1364">
            <v>16.412499999999998</v>
          </cell>
          <cell r="H1364">
            <v>39.629999999999995</v>
          </cell>
          <cell r="I1364">
            <v>26.762499999999999</v>
          </cell>
          <cell r="J1364">
            <v>18.436000000000003</v>
          </cell>
        </row>
        <row r="1366">
          <cell r="A1366" t="str">
            <v>FECHA</v>
          </cell>
          <cell r="B1366" t="str">
            <v>SUPERIOR 98</v>
          </cell>
          <cell r="C1366" t="str">
            <v>SUPERIOR 95</v>
          </cell>
          <cell r="D1366" t="str">
            <v>REGULAR</v>
          </cell>
          <cell r="E1366" t="str">
            <v>DIESEL</v>
          </cell>
          <cell r="F1366" t="str">
            <v>KEROSINA</v>
          </cell>
          <cell r="G1366" t="str">
            <v>BUNKER Rack</v>
          </cell>
          <cell r="H1366" t="str">
            <v>AV-GAS</v>
          </cell>
          <cell r="I1366" t="str">
            <v>Turbo-Jet A1</v>
          </cell>
          <cell r="J1366" t="str">
            <v>GLP</v>
          </cell>
        </row>
        <row r="1367">
          <cell r="B1367" t="str">
            <v>Q/GALON</v>
          </cell>
          <cell r="C1367" t="str">
            <v>Q/GALON</v>
          </cell>
          <cell r="D1367" t="str">
            <v>Q/GALON</v>
          </cell>
          <cell r="E1367" t="str">
            <v>Q/GALON</v>
          </cell>
          <cell r="F1367" t="str">
            <v>Q/GALON</v>
          </cell>
          <cell r="G1367" t="str">
            <v>Q/GALON</v>
          </cell>
          <cell r="H1367" t="str">
            <v>Q/GALON</v>
          </cell>
          <cell r="I1367" t="str">
            <v>Q/GALON</v>
          </cell>
          <cell r="J1367" t="str">
            <v>Q/GALON</v>
          </cell>
        </row>
        <row r="1368">
          <cell r="A1368">
            <v>40456</v>
          </cell>
          <cell r="B1368">
            <v>28.830000000000002</v>
          </cell>
          <cell r="C1368">
            <v>28.03</v>
          </cell>
          <cell r="D1368">
            <v>27</v>
          </cell>
          <cell r="E1368">
            <v>23.98</v>
          </cell>
          <cell r="F1368">
            <v>27</v>
          </cell>
          <cell r="G1368">
            <v>16.57</v>
          </cell>
          <cell r="H1368">
            <v>39.840000000000003</v>
          </cell>
          <cell r="I1368">
            <v>26.91</v>
          </cell>
          <cell r="J1368">
            <v>18.436000000000003</v>
          </cell>
        </row>
        <row r="1369">
          <cell r="A1369">
            <v>40458</v>
          </cell>
          <cell r="B1369">
            <v>29.44</v>
          </cell>
          <cell r="C1369">
            <v>28.64</v>
          </cell>
          <cell r="D1369">
            <v>27.64</v>
          </cell>
          <cell r="E1369">
            <v>24.7</v>
          </cell>
          <cell r="F1369">
            <v>27</v>
          </cell>
          <cell r="G1369">
            <v>16.57</v>
          </cell>
          <cell r="H1369">
            <v>39.17</v>
          </cell>
          <cell r="I1369">
            <v>27.12</v>
          </cell>
          <cell r="J1369">
            <v>18.436000000000003</v>
          </cell>
        </row>
        <row r="1370">
          <cell r="A1370">
            <v>40463</v>
          </cell>
          <cell r="B1370">
            <v>30.16</v>
          </cell>
          <cell r="C1370">
            <v>28.81</v>
          </cell>
          <cell r="D1370">
            <v>27.82</v>
          </cell>
          <cell r="E1370">
            <v>24.92</v>
          </cell>
          <cell r="F1370">
            <v>27</v>
          </cell>
          <cell r="G1370">
            <v>16.63</v>
          </cell>
          <cell r="H1370">
            <v>39.17</v>
          </cell>
          <cell r="I1370">
            <v>27.12</v>
          </cell>
          <cell r="J1370">
            <v>18.436000000000003</v>
          </cell>
        </row>
        <row r="1371">
          <cell r="A1371">
            <v>40472</v>
          </cell>
          <cell r="B1371">
            <v>30.67</v>
          </cell>
          <cell r="C1371">
            <v>29.35</v>
          </cell>
          <cell r="D1371">
            <v>28.34</v>
          </cell>
          <cell r="E1371">
            <v>25.32</v>
          </cell>
          <cell r="F1371">
            <v>27</v>
          </cell>
          <cell r="G1371">
            <v>16.75</v>
          </cell>
          <cell r="H1371">
            <v>39.299999999999997</v>
          </cell>
          <cell r="I1371">
            <v>27.21</v>
          </cell>
          <cell r="J1371">
            <v>18.436000000000003</v>
          </cell>
        </row>
        <row r="1372">
          <cell r="A1372">
            <v>40477</v>
          </cell>
          <cell r="B1372">
            <v>30.44</v>
          </cell>
          <cell r="C1372">
            <v>29.18</v>
          </cell>
          <cell r="D1372">
            <v>28.19</v>
          </cell>
          <cell r="E1372">
            <v>25.22</v>
          </cell>
          <cell r="F1372">
            <v>27</v>
          </cell>
          <cell r="G1372">
            <v>17.22</v>
          </cell>
          <cell r="H1372">
            <v>39.57</v>
          </cell>
          <cell r="I1372">
            <v>27.39</v>
          </cell>
          <cell r="J1372">
            <v>18.436000000000003</v>
          </cell>
        </row>
        <row r="1373">
          <cell r="A1373" t="str">
            <v>Promedio10-10</v>
          </cell>
          <cell r="B1373">
            <v>29.908000000000005</v>
          </cell>
          <cell r="C1373">
            <v>28.802000000000003</v>
          </cell>
          <cell r="D1373">
            <v>27.798000000000002</v>
          </cell>
          <cell r="E1373">
            <v>24.827999999999996</v>
          </cell>
          <cell r="F1373">
            <v>27</v>
          </cell>
          <cell r="G1373">
            <v>16.747999999999998</v>
          </cell>
          <cell r="H1373">
            <v>39.410000000000004</v>
          </cell>
          <cell r="I1373">
            <v>27.15</v>
          </cell>
          <cell r="J1373">
            <v>18.436000000000003</v>
          </cell>
        </row>
        <row r="1375">
          <cell r="A1375" t="str">
            <v>FECHA</v>
          </cell>
          <cell r="B1375" t="str">
            <v>SUPERIOR 98</v>
          </cell>
          <cell r="C1375" t="str">
            <v>SUPERIOR 95</v>
          </cell>
          <cell r="D1375" t="str">
            <v>REGULAR</v>
          </cell>
          <cell r="E1375" t="str">
            <v>DIESEL</v>
          </cell>
          <cell r="F1375" t="str">
            <v>KEROSINA</v>
          </cell>
          <cell r="G1375" t="str">
            <v>BUNKER Rack</v>
          </cell>
          <cell r="H1375" t="str">
            <v>AV-GAS</v>
          </cell>
          <cell r="I1375" t="str">
            <v>Turbo-Jet A1</v>
          </cell>
          <cell r="J1375" t="str">
            <v>GLP</v>
          </cell>
        </row>
        <row r="1376">
          <cell r="B1376" t="str">
            <v>Q/GALON</v>
          </cell>
          <cell r="C1376" t="str">
            <v>Q/GALON</v>
          </cell>
          <cell r="D1376" t="str">
            <v>Q/GALON</v>
          </cell>
          <cell r="E1376" t="str">
            <v>Q/GALON</v>
          </cell>
          <cell r="F1376" t="str">
            <v>Q/GALON</v>
          </cell>
          <cell r="G1376" t="str">
            <v>Q/GALON</v>
          </cell>
          <cell r="H1376" t="str">
            <v>Q/GALON</v>
          </cell>
          <cell r="I1376" t="str">
            <v>Q/GALON</v>
          </cell>
          <cell r="J1376" t="str">
            <v>Q/GALON</v>
          </cell>
        </row>
        <row r="1377">
          <cell r="A1377">
            <v>40484</v>
          </cell>
          <cell r="B1377">
            <v>30.02</v>
          </cell>
          <cell r="C1377">
            <v>28.87</v>
          </cell>
          <cell r="D1377">
            <v>27.88</v>
          </cell>
          <cell r="E1377">
            <v>25.01</v>
          </cell>
          <cell r="F1377">
            <v>27</v>
          </cell>
          <cell r="G1377">
            <v>17.420000000000002</v>
          </cell>
          <cell r="H1377">
            <v>39.31</v>
          </cell>
          <cell r="I1377">
            <v>27.21</v>
          </cell>
          <cell r="J1377">
            <v>18.436000000000003</v>
          </cell>
        </row>
        <row r="1378">
          <cell r="A1378">
            <v>40491</v>
          </cell>
          <cell r="B1378">
            <v>30.02</v>
          </cell>
          <cell r="C1378">
            <v>28.81</v>
          </cell>
          <cell r="D1378">
            <v>27.81</v>
          </cell>
          <cell r="E1378">
            <v>25</v>
          </cell>
          <cell r="F1378">
            <v>27</v>
          </cell>
          <cell r="G1378">
            <v>17.75</v>
          </cell>
          <cell r="H1378">
            <v>39.47</v>
          </cell>
          <cell r="I1378">
            <v>27.32</v>
          </cell>
          <cell r="J1378">
            <v>18.436000000000003</v>
          </cell>
        </row>
        <row r="1379">
          <cell r="A1379">
            <v>40498</v>
          </cell>
          <cell r="B1379">
            <v>30.03</v>
          </cell>
          <cell r="C1379">
            <v>28.83</v>
          </cell>
          <cell r="D1379">
            <v>27.84</v>
          </cell>
          <cell r="E1379">
            <v>25.72</v>
          </cell>
          <cell r="F1379">
            <v>27</v>
          </cell>
          <cell r="G1379">
            <v>17.670000000000002</v>
          </cell>
          <cell r="H1379">
            <v>39.47</v>
          </cell>
          <cell r="I1379">
            <v>27.32</v>
          </cell>
          <cell r="J1379">
            <v>20.112000000000002</v>
          </cell>
        </row>
        <row r="1380">
          <cell r="A1380">
            <v>40505</v>
          </cell>
          <cell r="B1380">
            <v>30.62</v>
          </cell>
          <cell r="C1380">
            <v>29.13</v>
          </cell>
          <cell r="D1380">
            <v>28.15</v>
          </cell>
          <cell r="E1380">
            <v>26</v>
          </cell>
          <cell r="F1380">
            <v>27</v>
          </cell>
          <cell r="G1380">
            <v>17.53</v>
          </cell>
          <cell r="H1380">
            <v>39.47</v>
          </cell>
          <cell r="I1380">
            <v>27.32</v>
          </cell>
          <cell r="J1380">
            <v>20.112000000000002</v>
          </cell>
        </row>
        <row r="1381">
          <cell r="A1381">
            <v>40512</v>
          </cell>
          <cell r="B1381">
            <v>30.02</v>
          </cell>
          <cell r="C1381">
            <v>29.15</v>
          </cell>
          <cell r="D1381">
            <v>28.17</v>
          </cell>
          <cell r="E1381">
            <v>26.69</v>
          </cell>
          <cell r="F1381">
            <v>27</v>
          </cell>
          <cell r="G1381">
            <v>17.39</v>
          </cell>
          <cell r="H1381">
            <v>39.119999999999997</v>
          </cell>
          <cell r="I1381">
            <v>28.82</v>
          </cell>
          <cell r="J1381">
            <v>20.112000000000002</v>
          </cell>
        </row>
        <row r="1382">
          <cell r="A1382" t="str">
            <v>Promedio11-10</v>
          </cell>
          <cell r="B1382">
            <v>30.142000000000003</v>
          </cell>
          <cell r="C1382">
            <v>28.957999999999998</v>
          </cell>
          <cell r="D1382">
            <v>27.970000000000006</v>
          </cell>
          <cell r="E1382">
            <v>25.684000000000005</v>
          </cell>
          <cell r="F1382">
            <v>27</v>
          </cell>
          <cell r="G1382">
            <v>17.552</v>
          </cell>
          <cell r="H1382">
            <v>39.368000000000002</v>
          </cell>
          <cell r="I1382">
            <v>27.597999999999995</v>
          </cell>
          <cell r="J1382">
            <v>19.441600000000001</v>
          </cell>
        </row>
        <row r="1384">
          <cell r="A1384" t="str">
            <v>FECHA</v>
          </cell>
          <cell r="B1384" t="str">
            <v>SUPERIOR 98</v>
          </cell>
          <cell r="C1384" t="str">
            <v>SUPERIOR 95</v>
          </cell>
          <cell r="D1384" t="str">
            <v>REGULAR</v>
          </cell>
          <cell r="E1384" t="str">
            <v>DIESEL</v>
          </cell>
          <cell r="F1384" t="str">
            <v>KEROSINA</v>
          </cell>
          <cell r="G1384" t="str">
            <v>BUNKER Rack</v>
          </cell>
          <cell r="H1384" t="str">
            <v>AV-GAS</v>
          </cell>
          <cell r="I1384" t="str">
            <v>Turbo-Jet A1</v>
          </cell>
          <cell r="J1384" t="str">
            <v>GLP</v>
          </cell>
        </row>
        <row r="1385">
          <cell r="B1385" t="str">
            <v>Q/GALON</v>
          </cell>
          <cell r="C1385" t="str">
            <v>Q/GALON</v>
          </cell>
          <cell r="D1385" t="str">
            <v>Q/GALON</v>
          </cell>
          <cell r="E1385" t="str">
            <v>Q/GALON</v>
          </cell>
          <cell r="F1385" t="str">
            <v>Q/GALON</v>
          </cell>
          <cell r="G1385" t="str">
            <v>Q/GALON</v>
          </cell>
          <cell r="H1385" t="str">
            <v>Q/GALON</v>
          </cell>
          <cell r="I1385" t="str">
            <v>Q/GALON</v>
          </cell>
          <cell r="J1385" t="str">
            <v>Q/GALON</v>
          </cell>
        </row>
        <row r="1386">
          <cell r="A1386">
            <v>40519</v>
          </cell>
          <cell r="B1386">
            <v>30.8</v>
          </cell>
          <cell r="C1386">
            <v>29.28</v>
          </cell>
          <cell r="D1386">
            <v>28.3</v>
          </cell>
          <cell r="E1386">
            <v>26.27</v>
          </cell>
          <cell r="F1386">
            <v>27</v>
          </cell>
          <cell r="G1386">
            <v>17.47</v>
          </cell>
          <cell r="H1386">
            <v>40.18</v>
          </cell>
          <cell r="I1386">
            <v>28.4</v>
          </cell>
          <cell r="J1386">
            <v>20.112000000000002</v>
          </cell>
        </row>
        <row r="1387">
          <cell r="A1387">
            <v>40526</v>
          </cell>
          <cell r="B1387">
            <v>30.79</v>
          </cell>
          <cell r="C1387">
            <v>29.7</v>
          </cell>
          <cell r="D1387">
            <v>28.72</v>
          </cell>
          <cell r="E1387">
            <v>26.74</v>
          </cell>
          <cell r="F1387">
            <v>27</v>
          </cell>
          <cell r="G1387">
            <v>17.62</v>
          </cell>
          <cell r="H1387">
            <v>40.18</v>
          </cell>
          <cell r="I1387">
            <v>28.4</v>
          </cell>
          <cell r="J1387">
            <v>20.112000000000002</v>
          </cell>
        </row>
        <row r="1388">
          <cell r="A1388">
            <v>40534</v>
          </cell>
          <cell r="B1388">
            <v>31.17</v>
          </cell>
          <cell r="C1388">
            <v>29.96</v>
          </cell>
          <cell r="D1388">
            <v>28.97</v>
          </cell>
          <cell r="E1388">
            <v>27.05</v>
          </cell>
          <cell r="F1388">
            <v>27</v>
          </cell>
          <cell r="G1388">
            <v>18.010000000000002</v>
          </cell>
          <cell r="H1388">
            <v>40.18</v>
          </cell>
          <cell r="I1388">
            <v>28.4</v>
          </cell>
          <cell r="J1388">
            <v>20.112000000000002</v>
          </cell>
        </row>
        <row r="1389">
          <cell r="A1389">
            <v>40540</v>
          </cell>
          <cell r="B1389">
            <v>31.57</v>
          </cell>
          <cell r="C1389">
            <v>30.32</v>
          </cell>
          <cell r="D1389">
            <v>29.35</v>
          </cell>
          <cell r="E1389">
            <v>27.46</v>
          </cell>
          <cell r="F1389">
            <v>27</v>
          </cell>
          <cell r="G1389">
            <v>18</v>
          </cell>
          <cell r="H1389">
            <v>40.18</v>
          </cell>
          <cell r="I1389">
            <v>28.4</v>
          </cell>
          <cell r="J1389">
            <v>20.112000000000002</v>
          </cell>
        </row>
        <row r="1390">
          <cell r="A1390" t="str">
            <v>Promedio12-10</v>
          </cell>
          <cell r="B1390">
            <v>31.082500000000003</v>
          </cell>
          <cell r="C1390">
            <v>29.814999999999998</v>
          </cell>
          <cell r="D1390">
            <v>28.835000000000001</v>
          </cell>
          <cell r="E1390">
            <v>26.880000000000003</v>
          </cell>
          <cell r="F1390">
            <v>27</v>
          </cell>
          <cell r="G1390">
            <v>17.775000000000002</v>
          </cell>
          <cell r="H1390">
            <v>40.18</v>
          </cell>
          <cell r="I1390">
            <v>28.4</v>
          </cell>
          <cell r="J1390">
            <v>20.112000000000002</v>
          </cell>
        </row>
        <row r="1392">
          <cell r="A1392" t="str">
            <v>FECHA</v>
          </cell>
          <cell r="B1392" t="str">
            <v>SUPERIOR 98</v>
          </cell>
          <cell r="C1392" t="str">
            <v>SUPERIOR 95</v>
          </cell>
          <cell r="D1392" t="str">
            <v>REGULAR</v>
          </cell>
          <cell r="E1392" t="str">
            <v>DIESEL</v>
          </cell>
          <cell r="F1392" t="str">
            <v>KEROSINA</v>
          </cell>
          <cell r="G1392" t="str">
            <v>BUNKER Rack</v>
          </cell>
          <cell r="H1392" t="str">
            <v>AV-GAS</v>
          </cell>
          <cell r="I1392" t="str">
            <v>Turbo-Jet A1</v>
          </cell>
          <cell r="J1392" t="str">
            <v>GLP</v>
          </cell>
        </row>
        <row r="1393">
          <cell r="B1393" t="str">
            <v>Q/GALON</v>
          </cell>
          <cell r="C1393" t="str">
            <v>Q/GALON</v>
          </cell>
          <cell r="D1393" t="str">
            <v>Q/GALON</v>
          </cell>
          <cell r="E1393" t="str">
            <v>Q/GALON</v>
          </cell>
          <cell r="F1393" t="str">
            <v>Q/GALON</v>
          </cell>
          <cell r="G1393" t="str">
            <v>Q/GALON</v>
          </cell>
          <cell r="H1393" t="str">
            <v>Q/GALON</v>
          </cell>
          <cell r="I1393" t="str">
            <v>Q/GALON</v>
          </cell>
          <cell r="J1393" t="str">
            <v>Q/GALON</v>
          </cell>
        </row>
        <row r="1394">
          <cell r="A1394">
            <v>40547</v>
          </cell>
          <cell r="B1394">
            <v>31.57</v>
          </cell>
          <cell r="C1394">
            <v>30.32</v>
          </cell>
          <cell r="D1394">
            <v>29.35</v>
          </cell>
          <cell r="E1394">
            <v>27.46</v>
          </cell>
          <cell r="F1394">
            <v>27</v>
          </cell>
          <cell r="G1394">
            <v>18.09</v>
          </cell>
          <cell r="H1394">
            <v>40.18</v>
          </cell>
          <cell r="I1394">
            <v>28.4</v>
          </cell>
          <cell r="J1394">
            <v>20.112000000000002</v>
          </cell>
        </row>
        <row r="1395">
          <cell r="A1395">
            <v>40554</v>
          </cell>
          <cell r="B1395">
            <v>31.72</v>
          </cell>
          <cell r="C1395">
            <v>30.49</v>
          </cell>
          <cell r="D1395">
            <v>29.48</v>
          </cell>
          <cell r="E1395">
            <v>27.65</v>
          </cell>
          <cell r="F1395">
            <v>27</v>
          </cell>
          <cell r="G1395">
            <v>18.02</v>
          </cell>
          <cell r="H1395">
            <v>40.18</v>
          </cell>
          <cell r="I1395">
            <v>28.4</v>
          </cell>
          <cell r="J1395">
            <v>21.788000000000004</v>
          </cell>
        </row>
        <row r="1396">
          <cell r="A1396">
            <v>40561</v>
          </cell>
          <cell r="B1396">
            <v>32.71</v>
          </cell>
          <cell r="C1396">
            <v>31.37</v>
          </cell>
          <cell r="D1396">
            <v>30.4</v>
          </cell>
          <cell r="E1396">
            <v>28.06</v>
          </cell>
          <cell r="F1396">
            <v>27</v>
          </cell>
          <cell r="G1396">
            <v>18.350000000000001</v>
          </cell>
          <cell r="H1396">
            <v>40.01</v>
          </cell>
          <cell r="I1396">
            <v>28.28</v>
          </cell>
          <cell r="J1396">
            <v>21.788000000000004</v>
          </cell>
        </row>
        <row r="1397">
          <cell r="A1397">
            <v>40568</v>
          </cell>
          <cell r="B1397">
            <v>32.71</v>
          </cell>
          <cell r="C1397">
            <v>31.36</v>
          </cell>
          <cell r="D1397">
            <v>30.38</v>
          </cell>
          <cell r="E1397">
            <v>28.06</v>
          </cell>
          <cell r="F1397">
            <v>28</v>
          </cell>
          <cell r="G1397">
            <v>18.420000000000002</v>
          </cell>
          <cell r="H1397">
            <v>40.01</v>
          </cell>
          <cell r="I1397">
            <v>28.28</v>
          </cell>
          <cell r="J1397">
            <v>21.788000000000004</v>
          </cell>
        </row>
        <row r="1398">
          <cell r="A1398">
            <v>40574</v>
          </cell>
          <cell r="B1398">
            <v>31.67</v>
          </cell>
          <cell r="C1398">
            <v>30.69</v>
          </cell>
          <cell r="D1398">
            <v>28.38</v>
          </cell>
          <cell r="E1398">
            <v>28.5</v>
          </cell>
          <cell r="F1398">
            <v>28</v>
          </cell>
          <cell r="G1398">
            <v>18.29</v>
          </cell>
          <cell r="H1398">
            <v>40.01</v>
          </cell>
          <cell r="I1398">
            <v>28.28</v>
          </cell>
          <cell r="J1398">
            <v>21.788000000000004</v>
          </cell>
        </row>
        <row r="1399">
          <cell r="A1399" t="str">
            <v>Promedio1-11</v>
          </cell>
          <cell r="B1399">
            <v>32.177500000000002</v>
          </cell>
          <cell r="C1399">
            <v>30.885000000000002</v>
          </cell>
          <cell r="D1399">
            <v>29.902499999999996</v>
          </cell>
          <cell r="E1399">
            <v>27.807500000000001</v>
          </cell>
          <cell r="F1399">
            <v>27.25</v>
          </cell>
          <cell r="G1399">
            <v>18.22</v>
          </cell>
          <cell r="H1399">
            <v>40.094999999999999</v>
          </cell>
          <cell r="I1399">
            <v>28.34</v>
          </cell>
          <cell r="J1399">
            <v>21.369000000000003</v>
          </cell>
        </row>
        <row r="1401">
          <cell r="A1401" t="str">
            <v>FECHA</v>
          </cell>
          <cell r="B1401" t="str">
            <v>SUPERIOR 98</v>
          </cell>
          <cell r="C1401" t="str">
            <v>SUPERIOR 95</v>
          </cell>
          <cell r="D1401" t="str">
            <v>REGULAR</v>
          </cell>
          <cell r="E1401" t="str">
            <v>DIESEL</v>
          </cell>
          <cell r="F1401" t="str">
            <v>KEROSINA</v>
          </cell>
          <cell r="G1401" t="str">
            <v>BUNKER Rack</v>
          </cell>
          <cell r="H1401" t="str">
            <v>AV-GAS</v>
          </cell>
          <cell r="I1401" t="str">
            <v>Turbo-Jet A1</v>
          </cell>
          <cell r="J1401" t="str">
            <v>GLP</v>
          </cell>
        </row>
        <row r="1402">
          <cell r="B1402" t="str">
            <v>Q/GALON</v>
          </cell>
          <cell r="C1402" t="str">
            <v>Q/GALON</v>
          </cell>
          <cell r="D1402" t="str">
            <v>Q/GALON</v>
          </cell>
          <cell r="E1402" t="str">
            <v>Q/GALON</v>
          </cell>
          <cell r="F1402" t="str">
            <v>Q/GALON</v>
          </cell>
          <cell r="G1402" t="str">
            <v>Q/GALON</v>
          </cell>
          <cell r="H1402" t="str">
            <v>Q/GALON</v>
          </cell>
          <cell r="I1402" t="str">
            <v>Q/GALON</v>
          </cell>
          <cell r="J1402" t="str">
            <v>Q/GALON</v>
          </cell>
        </row>
        <row r="1403">
          <cell r="A1403">
            <v>40582</v>
          </cell>
          <cell r="B1403">
            <v>32.82</v>
          </cell>
          <cell r="C1403">
            <v>31.78</v>
          </cell>
          <cell r="D1403">
            <v>30.81</v>
          </cell>
          <cell r="E1403">
            <v>28.5</v>
          </cell>
          <cell r="F1403">
            <v>28.5</v>
          </cell>
          <cell r="G1403">
            <v>18.559999999999999</v>
          </cell>
          <cell r="H1403">
            <v>39.409999999999997</v>
          </cell>
          <cell r="I1403">
            <v>30.9</v>
          </cell>
          <cell r="J1403">
            <v>21.788000000000004</v>
          </cell>
        </row>
        <row r="1404">
          <cell r="A1404">
            <v>40588</v>
          </cell>
          <cell r="B1404">
            <v>32.75</v>
          </cell>
          <cell r="C1404">
            <v>31.79</v>
          </cell>
          <cell r="D1404">
            <v>30.86</v>
          </cell>
          <cell r="E1404">
            <v>28.55</v>
          </cell>
          <cell r="F1404">
            <v>28.5</v>
          </cell>
          <cell r="G1404">
            <v>18.600000000000001</v>
          </cell>
          <cell r="H1404">
            <v>39.130000000000003</v>
          </cell>
          <cell r="I1404">
            <v>30.67</v>
          </cell>
          <cell r="J1404">
            <v>21.788000000000004</v>
          </cell>
        </row>
        <row r="1405">
          <cell r="A1405">
            <v>40596</v>
          </cell>
          <cell r="B1405">
            <v>32.74</v>
          </cell>
          <cell r="C1405">
            <v>31.72</v>
          </cell>
          <cell r="D1405">
            <v>30.75</v>
          </cell>
          <cell r="E1405">
            <v>28.53</v>
          </cell>
          <cell r="F1405">
            <v>28.5</v>
          </cell>
          <cell r="G1405">
            <v>18.899999999999999</v>
          </cell>
          <cell r="H1405">
            <v>39.39</v>
          </cell>
          <cell r="I1405">
            <v>31.87</v>
          </cell>
          <cell r="J1405">
            <v>21.788000000000004</v>
          </cell>
        </row>
        <row r="1406">
          <cell r="A1406">
            <v>40602</v>
          </cell>
          <cell r="B1406">
            <v>33.29</v>
          </cell>
          <cell r="C1406">
            <v>32.14</v>
          </cell>
          <cell r="D1406">
            <v>31.16</v>
          </cell>
          <cell r="E1406">
            <v>29.19</v>
          </cell>
          <cell r="F1406">
            <v>28.5</v>
          </cell>
          <cell r="G1406">
            <v>18.809999999999999</v>
          </cell>
          <cell r="H1406">
            <v>39.090000000000003</v>
          </cell>
          <cell r="I1406">
            <v>31.54</v>
          </cell>
          <cell r="J1406">
            <v>21.788000000000004</v>
          </cell>
        </row>
        <row r="1407">
          <cell r="A1407" t="str">
            <v>Promedio2-11</v>
          </cell>
          <cell r="B1407">
            <v>32.9</v>
          </cell>
          <cell r="C1407">
            <v>31.857499999999998</v>
          </cell>
          <cell r="D1407">
            <v>30.895</v>
          </cell>
          <cell r="E1407">
            <v>28.692499999999999</v>
          </cell>
          <cell r="F1407">
            <v>28.5</v>
          </cell>
          <cell r="G1407">
            <v>18.717499999999998</v>
          </cell>
          <cell r="H1407">
            <v>39.254999999999995</v>
          </cell>
          <cell r="I1407">
            <v>31.244999999999997</v>
          </cell>
          <cell r="J1407">
            <v>21.788000000000004</v>
          </cell>
        </row>
        <row r="1409">
          <cell r="A1409" t="str">
            <v>FECHA</v>
          </cell>
          <cell r="B1409" t="str">
            <v>SUPERIOR 98</v>
          </cell>
          <cell r="C1409" t="str">
            <v>SUPERIOR 95</v>
          </cell>
          <cell r="D1409" t="str">
            <v>REGULAR</v>
          </cell>
          <cell r="E1409" t="str">
            <v>DIESEL</v>
          </cell>
          <cell r="F1409" t="str">
            <v>KEROSINA</v>
          </cell>
          <cell r="G1409" t="str">
            <v>BUNKER Rack</v>
          </cell>
          <cell r="H1409" t="str">
            <v>AV-GAS</v>
          </cell>
          <cell r="I1409" t="str">
            <v>Turbo-Jet A1</v>
          </cell>
          <cell r="J1409" t="str">
            <v>GLP</v>
          </cell>
        </row>
        <row r="1410">
          <cell r="B1410" t="str">
            <v>Q/GALON</v>
          </cell>
          <cell r="C1410" t="str">
            <v>Q/GALON</v>
          </cell>
          <cell r="D1410" t="str">
            <v>Q/GALON</v>
          </cell>
          <cell r="E1410" t="str">
            <v>Q/GALON</v>
          </cell>
          <cell r="F1410" t="str">
            <v>Q/GALON</v>
          </cell>
          <cell r="G1410" t="str">
            <v>Q/GALON</v>
          </cell>
          <cell r="H1410" t="str">
            <v>Q/GALON</v>
          </cell>
          <cell r="I1410" t="str">
            <v>Q/GALON</v>
          </cell>
          <cell r="J1410" t="str">
            <v>Q/GALON</v>
          </cell>
        </row>
        <row r="1411">
          <cell r="A1411">
            <v>40609</v>
          </cell>
          <cell r="B1411">
            <v>34.56</v>
          </cell>
          <cell r="C1411">
            <v>33.24</v>
          </cell>
          <cell r="D1411">
            <v>32.26</v>
          </cell>
          <cell r="E1411">
            <v>30.56</v>
          </cell>
          <cell r="F1411">
            <v>28.5</v>
          </cell>
          <cell r="G1411">
            <v>20.12</v>
          </cell>
          <cell r="H1411">
            <v>38.76</v>
          </cell>
          <cell r="I1411">
            <v>32.28</v>
          </cell>
          <cell r="J1411">
            <v>21.788000000000004</v>
          </cell>
        </row>
        <row r="1412">
          <cell r="A1412">
            <v>40616</v>
          </cell>
          <cell r="B1412">
            <v>36.130000000000003</v>
          </cell>
          <cell r="C1412">
            <v>34.78</v>
          </cell>
          <cell r="D1412">
            <v>34.130000000000003</v>
          </cell>
          <cell r="E1412">
            <v>31.95</v>
          </cell>
          <cell r="F1412">
            <v>28.5</v>
          </cell>
          <cell r="G1412">
            <v>20.25</v>
          </cell>
          <cell r="H1412">
            <v>38.65</v>
          </cell>
          <cell r="I1412">
            <v>32.19</v>
          </cell>
          <cell r="J1412">
            <v>21.788000000000004</v>
          </cell>
        </row>
        <row r="1413">
          <cell r="A1413">
            <v>40623</v>
          </cell>
          <cell r="B1413">
            <v>36</v>
          </cell>
          <cell r="C1413">
            <v>35.1</v>
          </cell>
          <cell r="D1413">
            <v>34.549999999999997</v>
          </cell>
          <cell r="E1413">
            <v>32.17</v>
          </cell>
          <cell r="F1413">
            <v>28.5</v>
          </cell>
          <cell r="G1413">
            <v>20.420000000000002</v>
          </cell>
          <cell r="H1413">
            <v>43.27</v>
          </cell>
          <cell r="I1413">
            <v>33.75</v>
          </cell>
          <cell r="J1413">
            <v>21.788000000000004</v>
          </cell>
        </row>
        <row r="1414">
          <cell r="A1414">
            <v>40630</v>
          </cell>
          <cell r="B1414">
            <v>35.67</v>
          </cell>
          <cell r="C1414">
            <v>34.94</v>
          </cell>
          <cell r="D1414">
            <v>34.35</v>
          </cell>
          <cell r="E1414">
            <v>32</v>
          </cell>
          <cell r="F1414">
            <v>28.5</v>
          </cell>
          <cell r="G1414">
            <v>21.03</v>
          </cell>
          <cell r="H1414">
            <v>43.12</v>
          </cell>
          <cell r="I1414">
            <v>33.630000000000003</v>
          </cell>
          <cell r="J1414">
            <v>21.788000000000004</v>
          </cell>
        </row>
        <row r="1415">
          <cell r="A1415" t="str">
            <v>Promedio3-11</v>
          </cell>
          <cell r="B1415">
            <v>35.590000000000003</v>
          </cell>
          <cell r="C1415">
            <v>34.515000000000001</v>
          </cell>
          <cell r="D1415">
            <v>33.822499999999998</v>
          </cell>
          <cell r="E1415">
            <v>31.67</v>
          </cell>
          <cell r="F1415">
            <v>28.5</v>
          </cell>
          <cell r="G1415">
            <v>20.455000000000002</v>
          </cell>
          <cell r="H1415">
            <v>40.950000000000003</v>
          </cell>
          <cell r="I1415">
            <v>32.962499999999999</v>
          </cell>
          <cell r="J1415">
            <v>21.788000000000004</v>
          </cell>
        </row>
        <row r="1417">
          <cell r="A1417" t="str">
            <v>FECHA</v>
          </cell>
          <cell r="B1417" t="str">
            <v>SUPERIOR 98</v>
          </cell>
          <cell r="C1417" t="str">
            <v>SUPERIOR 95</v>
          </cell>
          <cell r="D1417" t="str">
            <v>REGULAR</v>
          </cell>
          <cell r="E1417" t="str">
            <v>DIESEL</v>
          </cell>
          <cell r="F1417" t="str">
            <v>KEROSINA</v>
          </cell>
          <cell r="G1417" t="str">
            <v>BUNKER Rack</v>
          </cell>
          <cell r="H1417" t="str">
            <v>AV-GAS</v>
          </cell>
          <cell r="I1417" t="str">
            <v>Turbo-Jet A1</v>
          </cell>
          <cell r="J1417" t="str">
            <v>GLP</v>
          </cell>
        </row>
        <row r="1418">
          <cell r="B1418" t="str">
            <v>Q/GALON</v>
          </cell>
          <cell r="C1418" t="str">
            <v>Q/GALON</v>
          </cell>
          <cell r="D1418" t="str">
            <v>Q/GALON</v>
          </cell>
          <cell r="E1418" t="str">
            <v>Q/GALON</v>
          </cell>
          <cell r="F1418" t="str">
            <v>Q/GALON</v>
          </cell>
          <cell r="G1418" t="str">
            <v>Q/GALON</v>
          </cell>
          <cell r="H1418" t="str">
            <v>Q/GALON</v>
          </cell>
          <cell r="I1418" t="str">
            <v>Q/GALON</v>
          </cell>
          <cell r="J1418" t="str">
            <v>Q/GALON</v>
          </cell>
        </row>
        <row r="1419">
          <cell r="A1419">
            <v>40637</v>
          </cell>
          <cell r="B1419">
            <v>35.51</v>
          </cell>
          <cell r="C1419">
            <v>34.619999999999997</v>
          </cell>
          <cell r="D1419">
            <v>34.03</v>
          </cell>
          <cell r="E1419">
            <v>31.76</v>
          </cell>
          <cell r="F1419">
            <v>32</v>
          </cell>
          <cell r="G1419">
            <v>20.93</v>
          </cell>
          <cell r="H1419">
            <v>43.05</v>
          </cell>
          <cell r="I1419">
            <v>33.72</v>
          </cell>
          <cell r="J1419">
            <v>21.788000000000004</v>
          </cell>
        </row>
        <row r="1420">
          <cell r="A1420">
            <v>40644</v>
          </cell>
          <cell r="B1420">
            <v>36.659999999999997</v>
          </cell>
          <cell r="C1420">
            <v>35.51</v>
          </cell>
          <cell r="D1420">
            <v>34.9</v>
          </cell>
          <cell r="E1420">
            <v>32.619999999999997</v>
          </cell>
          <cell r="F1420">
            <v>32</v>
          </cell>
          <cell r="G1420">
            <v>21.86</v>
          </cell>
          <cell r="H1420">
            <v>42.95</v>
          </cell>
          <cell r="I1420">
            <v>33.630000000000003</v>
          </cell>
          <cell r="J1420">
            <v>21.788000000000004</v>
          </cell>
        </row>
        <row r="1421">
          <cell r="A1421">
            <v>40651</v>
          </cell>
          <cell r="B1421">
            <v>36.770000000000003</v>
          </cell>
          <cell r="C1421">
            <v>35.880000000000003</v>
          </cell>
          <cell r="D1421">
            <v>35.340000000000003</v>
          </cell>
          <cell r="E1421">
            <v>32.840000000000003</v>
          </cell>
          <cell r="F1421">
            <v>32.549999999999997</v>
          </cell>
          <cell r="G1421">
            <v>21.93</v>
          </cell>
          <cell r="H1421">
            <v>42.95</v>
          </cell>
          <cell r="I1421">
            <v>34.520000000000003</v>
          </cell>
          <cell r="J1421">
            <v>21.788000000000004</v>
          </cell>
        </row>
        <row r="1422">
          <cell r="A1422">
            <v>40658</v>
          </cell>
          <cell r="B1422">
            <v>36.770000000000003</v>
          </cell>
          <cell r="C1422">
            <v>35.880000000000003</v>
          </cell>
          <cell r="D1422">
            <v>35.340000000000003</v>
          </cell>
          <cell r="E1422">
            <v>32.840000000000003</v>
          </cell>
          <cell r="F1422">
            <v>32.549999999999997</v>
          </cell>
          <cell r="G1422">
            <v>22.49</v>
          </cell>
          <cell r="H1422">
            <v>42.68</v>
          </cell>
          <cell r="I1422">
            <v>34.31</v>
          </cell>
          <cell r="J1422">
            <v>21.788000000000004</v>
          </cell>
        </row>
        <row r="1423">
          <cell r="A1423" t="str">
            <v>Promedio4-11</v>
          </cell>
          <cell r="B1423">
            <v>36.427500000000002</v>
          </cell>
          <cell r="C1423">
            <v>35.472499999999997</v>
          </cell>
          <cell r="D1423">
            <v>34.902500000000003</v>
          </cell>
          <cell r="E1423">
            <v>32.515000000000001</v>
          </cell>
          <cell r="F1423">
            <v>32.274999999999999</v>
          </cell>
          <cell r="G1423">
            <v>21.802499999999998</v>
          </cell>
          <cell r="H1423">
            <v>42.907499999999999</v>
          </cell>
          <cell r="I1423">
            <v>34.045000000000002</v>
          </cell>
          <cell r="J1423">
            <v>21.788000000000004</v>
          </cell>
        </row>
        <row r="1425">
          <cell r="A1425" t="str">
            <v>FECHA</v>
          </cell>
          <cell r="B1425" t="str">
            <v>SUPERIOR 98</v>
          </cell>
          <cell r="C1425" t="str">
            <v>SUPERIOR 95</v>
          </cell>
          <cell r="D1425" t="str">
            <v>REGULAR</v>
          </cell>
          <cell r="E1425" t="str">
            <v>DIESEL</v>
          </cell>
          <cell r="F1425" t="str">
            <v>KEROSINA</v>
          </cell>
          <cell r="G1425" t="str">
            <v>BUNKER Rack</v>
          </cell>
          <cell r="H1425" t="str">
            <v>AV-GAS</v>
          </cell>
          <cell r="I1425" t="str">
            <v>Turbo-Jet A1</v>
          </cell>
          <cell r="J1425" t="str">
            <v>GLP</v>
          </cell>
        </row>
        <row r="1426">
          <cell r="B1426" t="str">
            <v>Q/GALON</v>
          </cell>
          <cell r="C1426" t="str">
            <v>Q/GALON</v>
          </cell>
          <cell r="D1426" t="str">
            <v>Q/GALON</v>
          </cell>
          <cell r="E1426" t="str">
            <v>Q/GALON</v>
          </cell>
          <cell r="F1426" t="str">
            <v>Q/GALON</v>
          </cell>
          <cell r="G1426" t="str">
            <v>Q/GALON</v>
          </cell>
          <cell r="H1426" t="str">
            <v>Q/GALON</v>
          </cell>
          <cell r="I1426" t="str">
            <v>Q/GALON</v>
          </cell>
          <cell r="J1426" t="str">
            <v>Q/GALON</v>
          </cell>
        </row>
        <row r="1427">
          <cell r="A1427">
            <v>40666</v>
          </cell>
          <cell r="B1427">
            <v>36.770000000000003</v>
          </cell>
          <cell r="C1427">
            <v>35.880000000000003</v>
          </cell>
          <cell r="D1427">
            <v>35.340000000000003</v>
          </cell>
          <cell r="E1427">
            <v>32.840000000000003</v>
          </cell>
          <cell r="F1427">
            <v>32.549999999999997</v>
          </cell>
          <cell r="G1427">
            <v>22.52</v>
          </cell>
          <cell r="H1427">
            <v>42.68</v>
          </cell>
          <cell r="I1427">
            <v>34.31</v>
          </cell>
          <cell r="J1427">
            <v>21.788000000000004</v>
          </cell>
        </row>
        <row r="1428">
          <cell r="A1428">
            <v>40672</v>
          </cell>
          <cell r="B1428">
            <v>37.19</v>
          </cell>
          <cell r="C1428">
            <v>36.520000000000003</v>
          </cell>
          <cell r="D1428">
            <v>35.92</v>
          </cell>
          <cell r="E1428">
            <v>33.07</v>
          </cell>
          <cell r="F1428">
            <v>33</v>
          </cell>
          <cell r="G1428">
            <v>22.4</v>
          </cell>
          <cell r="H1428">
            <v>42.71</v>
          </cell>
          <cell r="I1428">
            <v>34.65</v>
          </cell>
          <cell r="J1428">
            <v>21.788000000000004</v>
          </cell>
        </row>
        <row r="1429">
          <cell r="A1429">
            <v>40680</v>
          </cell>
          <cell r="B1429">
            <v>36.380000000000003</v>
          </cell>
          <cell r="C1429">
            <v>35.79</v>
          </cell>
          <cell r="D1429">
            <v>35.25</v>
          </cell>
          <cell r="E1429">
            <v>32.6</v>
          </cell>
          <cell r="F1429">
            <v>33</v>
          </cell>
          <cell r="G1429">
            <v>21.88</v>
          </cell>
          <cell r="H1429">
            <v>42.87</v>
          </cell>
          <cell r="I1429">
            <v>34.78</v>
          </cell>
          <cell r="J1429">
            <v>21.788000000000004</v>
          </cell>
        </row>
        <row r="1430">
          <cell r="A1430">
            <v>40687</v>
          </cell>
          <cell r="B1430">
            <v>35.89</v>
          </cell>
          <cell r="C1430">
            <v>35.11</v>
          </cell>
          <cell r="D1430">
            <v>34.53</v>
          </cell>
          <cell r="E1430">
            <v>31.66</v>
          </cell>
          <cell r="F1430">
            <v>33</v>
          </cell>
          <cell r="G1430">
            <v>21.96</v>
          </cell>
          <cell r="H1430">
            <v>43.48</v>
          </cell>
          <cell r="I1430">
            <v>34.29</v>
          </cell>
          <cell r="J1430">
            <v>21.788000000000004</v>
          </cell>
        </row>
        <row r="1431">
          <cell r="A1431">
            <v>40694</v>
          </cell>
          <cell r="B1431">
            <v>35.409999999999997</v>
          </cell>
          <cell r="C1431">
            <v>34.729999999999997</v>
          </cell>
          <cell r="D1431">
            <v>34.119999999999997</v>
          </cell>
          <cell r="E1431">
            <v>31.19</v>
          </cell>
          <cell r="F1431">
            <v>33</v>
          </cell>
          <cell r="G1431">
            <v>21.7</v>
          </cell>
          <cell r="H1431">
            <v>43.86</v>
          </cell>
          <cell r="I1431">
            <v>34.58</v>
          </cell>
          <cell r="J1431">
            <v>21.788000000000004</v>
          </cell>
        </row>
        <row r="1432">
          <cell r="A1432" t="str">
            <v>Promedio5-11</v>
          </cell>
          <cell r="B1432">
            <v>36.328000000000003</v>
          </cell>
          <cell r="C1432">
            <v>35.606000000000002</v>
          </cell>
          <cell r="D1432">
            <v>35.032000000000004</v>
          </cell>
          <cell r="E1432">
            <v>32.271999999999998</v>
          </cell>
          <cell r="F1432">
            <v>32.910000000000004</v>
          </cell>
          <cell r="G1432">
            <v>22.091999999999999</v>
          </cell>
          <cell r="H1432">
            <v>43.11999999999999</v>
          </cell>
          <cell r="I1432">
            <v>34.522000000000006</v>
          </cell>
          <cell r="J1432">
            <v>21.788000000000004</v>
          </cell>
        </row>
        <row r="1434">
          <cell r="A1434" t="str">
            <v>FECHA</v>
          </cell>
          <cell r="B1434" t="str">
            <v>SUPERIOR 98</v>
          </cell>
          <cell r="C1434" t="str">
            <v>SUPERIOR 95</v>
          </cell>
          <cell r="D1434" t="str">
            <v>REGULAR</v>
          </cell>
          <cell r="E1434" t="str">
            <v>DIESEL</v>
          </cell>
          <cell r="F1434" t="str">
            <v>KEROSINA</v>
          </cell>
          <cell r="G1434" t="str">
            <v>BUNKER Rack</v>
          </cell>
          <cell r="H1434" t="str">
            <v>AV-GAS</v>
          </cell>
          <cell r="I1434" t="str">
            <v>Turbo-Jet A1</v>
          </cell>
          <cell r="J1434" t="str">
            <v>GLP</v>
          </cell>
        </row>
        <row r="1435">
          <cell r="B1435" t="str">
            <v>Q/GALON</v>
          </cell>
          <cell r="C1435" t="str">
            <v>Q/GALON</v>
          </cell>
          <cell r="D1435" t="str">
            <v>Q/GALON</v>
          </cell>
          <cell r="E1435" t="str">
            <v>Q/GALON</v>
          </cell>
          <cell r="F1435" t="str">
            <v>Q/GALON</v>
          </cell>
          <cell r="G1435" t="str">
            <v>Q/GALON</v>
          </cell>
          <cell r="H1435" t="str">
            <v>Q/GALON</v>
          </cell>
          <cell r="I1435" t="str">
            <v>Q/GALON</v>
          </cell>
          <cell r="J1435" t="str">
            <v>Q/GALON</v>
          </cell>
        </row>
        <row r="1436">
          <cell r="A1436">
            <v>40700</v>
          </cell>
          <cell r="B1436">
            <v>35.33</v>
          </cell>
          <cell r="C1436">
            <v>34.54</v>
          </cell>
          <cell r="D1436">
            <v>33.93</v>
          </cell>
          <cell r="E1436">
            <v>31</v>
          </cell>
          <cell r="F1436">
            <v>33</v>
          </cell>
          <cell r="G1436">
            <v>24.15</v>
          </cell>
          <cell r="H1436">
            <v>43.78</v>
          </cell>
          <cell r="I1436">
            <v>33.99</v>
          </cell>
          <cell r="J1436">
            <v>21.885208000000006</v>
          </cell>
        </row>
        <row r="1437">
          <cell r="A1437">
            <v>40708</v>
          </cell>
          <cell r="B1437">
            <v>35.83</v>
          </cell>
          <cell r="C1437">
            <v>34.89</v>
          </cell>
          <cell r="D1437">
            <v>34.299999999999997</v>
          </cell>
          <cell r="E1437">
            <v>31.25</v>
          </cell>
          <cell r="F1437">
            <v>33.25</v>
          </cell>
          <cell r="G1437">
            <v>23.63</v>
          </cell>
          <cell r="H1437">
            <v>43.78</v>
          </cell>
          <cell r="I1437">
            <v>33.99</v>
          </cell>
          <cell r="J1437">
            <v>21.885208000000006</v>
          </cell>
        </row>
        <row r="1438">
          <cell r="A1438">
            <v>40715</v>
          </cell>
          <cell r="B1438">
            <v>35.83</v>
          </cell>
          <cell r="C1438">
            <v>34.96</v>
          </cell>
          <cell r="D1438">
            <v>34.39</v>
          </cell>
          <cell r="E1438">
            <v>31.7</v>
          </cell>
          <cell r="F1438">
            <v>33.25</v>
          </cell>
          <cell r="G1438">
            <v>23.43</v>
          </cell>
          <cell r="H1438">
            <v>43.96</v>
          </cell>
          <cell r="I1438">
            <v>34.93</v>
          </cell>
          <cell r="J1438">
            <v>21.885208000000006</v>
          </cell>
        </row>
        <row r="1439">
          <cell r="A1439">
            <v>40721</v>
          </cell>
          <cell r="B1439">
            <v>35.380000000000003</v>
          </cell>
          <cell r="C1439">
            <v>34.65</v>
          </cell>
          <cell r="D1439">
            <v>34.07</v>
          </cell>
          <cell r="E1439">
            <v>31.19</v>
          </cell>
          <cell r="F1439">
            <v>33.5</v>
          </cell>
          <cell r="G1439">
            <v>22.5</v>
          </cell>
          <cell r="H1439">
            <v>43.96</v>
          </cell>
          <cell r="I1439">
            <v>34.93</v>
          </cell>
          <cell r="J1439">
            <v>21.885208000000006</v>
          </cell>
        </row>
        <row r="1440">
          <cell r="A1440" t="str">
            <v>Promedio6-11</v>
          </cell>
          <cell r="B1440">
            <v>35.592500000000001</v>
          </cell>
          <cell r="C1440">
            <v>34.760000000000005</v>
          </cell>
          <cell r="D1440">
            <v>34.172499999999999</v>
          </cell>
          <cell r="E1440">
            <v>31.285</v>
          </cell>
          <cell r="F1440">
            <v>33.25</v>
          </cell>
          <cell r="G1440">
            <v>23.427500000000002</v>
          </cell>
          <cell r="H1440">
            <v>43.870000000000005</v>
          </cell>
          <cell r="I1440">
            <v>34.46</v>
          </cell>
          <cell r="J1440">
            <v>21.885208000000006</v>
          </cell>
        </row>
        <row r="1442">
          <cell r="A1442" t="str">
            <v>FECHA</v>
          </cell>
          <cell r="B1442" t="str">
            <v>SUPERIOR 98</v>
          </cell>
          <cell r="C1442" t="str">
            <v>SUPERIOR 95</v>
          </cell>
          <cell r="D1442" t="str">
            <v>REGULAR</v>
          </cell>
          <cell r="E1442" t="str">
            <v>DIESEL</v>
          </cell>
          <cell r="F1442" t="str">
            <v>KEROSINA</v>
          </cell>
          <cell r="G1442" t="str">
            <v>BUNKER Rack</v>
          </cell>
          <cell r="H1442" t="str">
            <v>AV-GAS</v>
          </cell>
          <cell r="I1442" t="str">
            <v>Turbo-Jet A1</v>
          </cell>
          <cell r="J1442" t="str">
            <v>GLP</v>
          </cell>
        </row>
        <row r="1443">
          <cell r="B1443" t="str">
            <v>Q/GALON</v>
          </cell>
          <cell r="C1443" t="str">
            <v>Q/GALON</v>
          </cell>
          <cell r="D1443" t="str">
            <v>Q/GALON</v>
          </cell>
          <cell r="E1443" t="str">
            <v>Q/GALON</v>
          </cell>
          <cell r="F1443" t="str">
            <v>Q/GALON</v>
          </cell>
          <cell r="G1443" t="str">
            <v>Q/GALON</v>
          </cell>
          <cell r="H1443" t="str">
            <v>Q/GALON</v>
          </cell>
          <cell r="I1443" t="str">
            <v>Q/GALON</v>
          </cell>
          <cell r="J1443" t="str">
            <v>Q/GALON</v>
          </cell>
        </row>
        <row r="1444">
          <cell r="A1444">
            <v>40728</v>
          </cell>
          <cell r="B1444">
            <v>35.340000000000003</v>
          </cell>
          <cell r="C1444">
            <v>34.57</v>
          </cell>
          <cell r="D1444">
            <v>33.94</v>
          </cell>
          <cell r="E1444">
            <v>31.05</v>
          </cell>
          <cell r="F1444">
            <v>33.5</v>
          </cell>
          <cell r="G1444">
            <v>22.48</v>
          </cell>
          <cell r="H1444">
            <v>43.53</v>
          </cell>
          <cell r="I1444">
            <v>34.590000000000003</v>
          </cell>
          <cell r="J1444">
            <v>21.885208000000006</v>
          </cell>
        </row>
        <row r="1445">
          <cell r="A1445">
            <v>40735</v>
          </cell>
          <cell r="B1445">
            <v>35.32</v>
          </cell>
          <cell r="C1445">
            <v>34.46</v>
          </cell>
          <cell r="D1445">
            <v>33.89</v>
          </cell>
          <cell r="E1445">
            <v>30.98</v>
          </cell>
          <cell r="F1445">
            <v>33.5</v>
          </cell>
          <cell r="G1445">
            <v>22.8</v>
          </cell>
          <cell r="H1445">
            <v>46.98</v>
          </cell>
          <cell r="I1445">
            <v>33.270000000000003</v>
          </cell>
          <cell r="J1445">
            <v>21.885208000000006</v>
          </cell>
        </row>
        <row r="1446">
          <cell r="A1446">
            <v>40742</v>
          </cell>
          <cell r="B1446">
            <v>36.18</v>
          </cell>
          <cell r="C1446">
            <v>34.83</v>
          </cell>
          <cell r="D1446">
            <v>34.25</v>
          </cell>
          <cell r="E1446">
            <v>31.35</v>
          </cell>
          <cell r="F1446">
            <v>33.75</v>
          </cell>
          <cell r="G1446">
            <v>22.34</v>
          </cell>
          <cell r="H1446">
            <v>47.01</v>
          </cell>
          <cell r="I1446">
            <v>33.29</v>
          </cell>
          <cell r="J1446">
            <v>21.885208000000006</v>
          </cell>
        </row>
        <row r="1447">
          <cell r="A1447">
            <v>40750</v>
          </cell>
          <cell r="B1447">
            <v>37.32</v>
          </cell>
          <cell r="C1447">
            <v>36.03</v>
          </cell>
          <cell r="D1447">
            <v>35.46</v>
          </cell>
          <cell r="E1447">
            <v>32.53</v>
          </cell>
          <cell r="F1447">
            <v>33.75</v>
          </cell>
          <cell r="G1447">
            <v>22.15</v>
          </cell>
          <cell r="H1447">
            <v>47.31</v>
          </cell>
          <cell r="I1447">
            <v>34.6</v>
          </cell>
          <cell r="J1447">
            <v>21.885208000000006</v>
          </cell>
        </row>
        <row r="1448">
          <cell r="A1448" t="str">
            <v>Promedio7-11</v>
          </cell>
          <cell r="B1448">
            <v>36.04</v>
          </cell>
          <cell r="C1448">
            <v>34.972499999999997</v>
          </cell>
          <cell r="D1448">
            <v>34.384999999999998</v>
          </cell>
          <cell r="E1448">
            <v>31.477499999999999</v>
          </cell>
          <cell r="F1448">
            <v>33.625</v>
          </cell>
          <cell r="G1448">
            <v>22.442500000000003</v>
          </cell>
          <cell r="H1448">
            <v>46.207499999999996</v>
          </cell>
          <cell r="I1448">
            <v>33.9375</v>
          </cell>
          <cell r="J1448">
            <v>21.885208000000006</v>
          </cell>
        </row>
        <row r="1450">
          <cell r="A1450" t="str">
            <v>FECHA</v>
          </cell>
          <cell r="B1450" t="str">
            <v>SUPERIOR 98</v>
          </cell>
          <cell r="C1450" t="str">
            <v>SUPERIOR 95</v>
          </cell>
          <cell r="D1450" t="str">
            <v>REGULAR</v>
          </cell>
          <cell r="E1450" t="str">
            <v>DIESEL</v>
          </cell>
          <cell r="F1450" t="str">
            <v>KEROSINA</v>
          </cell>
          <cell r="G1450" t="str">
            <v>BUNKER Rack</v>
          </cell>
          <cell r="H1450" t="str">
            <v>AV-GAS</v>
          </cell>
          <cell r="I1450" t="str">
            <v>Turbo-Jet A1</v>
          </cell>
          <cell r="J1450" t="str">
            <v>GLP</v>
          </cell>
        </row>
        <row r="1451">
          <cell r="B1451" t="str">
            <v>Q/GALON</v>
          </cell>
          <cell r="C1451" t="str">
            <v>Q/GALON</v>
          </cell>
          <cell r="D1451" t="str">
            <v>Q/GALON</v>
          </cell>
          <cell r="E1451" t="str">
            <v>Q/GALON</v>
          </cell>
          <cell r="F1451" t="str">
            <v>Q/GALON</v>
          </cell>
          <cell r="G1451" t="str">
            <v>Q/GALON</v>
          </cell>
          <cell r="H1451" t="str">
            <v>Q/GALON</v>
          </cell>
          <cell r="I1451" t="str">
            <v>Q/GALON</v>
          </cell>
          <cell r="J1451" t="str">
            <v>Q/GALON</v>
          </cell>
        </row>
        <row r="1452">
          <cell r="A1452">
            <v>40756</v>
          </cell>
          <cell r="B1452">
            <v>36.840000000000003</v>
          </cell>
          <cell r="C1452">
            <v>36.01</v>
          </cell>
          <cell r="D1452">
            <v>35.44</v>
          </cell>
          <cell r="E1452">
            <v>32.47</v>
          </cell>
          <cell r="F1452">
            <v>33.75</v>
          </cell>
          <cell r="G1452">
            <v>22.17</v>
          </cell>
          <cell r="H1452">
            <v>47.74</v>
          </cell>
          <cell r="I1452">
            <v>34.909999999999997</v>
          </cell>
          <cell r="J1452">
            <v>21.885208000000006</v>
          </cell>
        </row>
        <row r="1453">
          <cell r="A1453">
            <v>40763</v>
          </cell>
          <cell r="B1453">
            <v>36.36</v>
          </cell>
          <cell r="C1453">
            <v>35.57</v>
          </cell>
          <cell r="D1453">
            <v>34.99</v>
          </cell>
          <cell r="E1453">
            <v>32.090000000000003</v>
          </cell>
          <cell r="F1453">
            <v>33.75</v>
          </cell>
          <cell r="G1453">
            <v>22.25</v>
          </cell>
          <cell r="H1453">
            <v>47.74</v>
          </cell>
          <cell r="I1453">
            <v>35.5</v>
          </cell>
          <cell r="J1453">
            <v>21.885208000000006</v>
          </cell>
        </row>
        <row r="1454">
          <cell r="A1454">
            <v>40771</v>
          </cell>
          <cell r="B1454">
            <v>35.78</v>
          </cell>
          <cell r="C1454">
            <v>35.049999999999997</v>
          </cell>
          <cell r="D1454">
            <v>34.479999999999997</v>
          </cell>
          <cell r="E1454">
            <v>31.52</v>
          </cell>
          <cell r="F1454">
            <v>33.75</v>
          </cell>
          <cell r="G1454">
            <v>21.94</v>
          </cell>
          <cell r="H1454">
            <v>47.66</v>
          </cell>
          <cell r="I1454">
            <v>35.44</v>
          </cell>
          <cell r="J1454">
            <v>21.885208000000006</v>
          </cell>
        </row>
        <row r="1455">
          <cell r="A1455">
            <v>40777</v>
          </cell>
          <cell r="B1455">
            <v>35.380000000000003</v>
          </cell>
          <cell r="C1455">
            <v>34.75</v>
          </cell>
          <cell r="D1455">
            <v>34.159999999999997</v>
          </cell>
          <cell r="E1455">
            <v>31.21</v>
          </cell>
          <cell r="F1455">
            <v>33.75</v>
          </cell>
          <cell r="G1455">
            <v>21.93</v>
          </cell>
          <cell r="H1455">
            <v>47.66</v>
          </cell>
          <cell r="I1455">
            <v>34.25</v>
          </cell>
          <cell r="J1455">
            <v>21.452800000000003</v>
          </cell>
        </row>
        <row r="1456">
          <cell r="A1456">
            <v>40784</v>
          </cell>
          <cell r="B1456">
            <v>34.909999999999997</v>
          </cell>
          <cell r="C1456">
            <v>34.31</v>
          </cell>
          <cell r="D1456">
            <v>33.74</v>
          </cell>
          <cell r="E1456">
            <v>30.73</v>
          </cell>
          <cell r="F1456">
            <v>34</v>
          </cell>
          <cell r="G1456">
            <v>21.97</v>
          </cell>
          <cell r="H1456">
            <v>47.67</v>
          </cell>
          <cell r="I1456">
            <v>34.26</v>
          </cell>
          <cell r="J1456">
            <v>21.452800000000003</v>
          </cell>
        </row>
        <row r="1457">
          <cell r="A1457" t="str">
            <v>Promedio8-11</v>
          </cell>
          <cell r="B1457">
            <v>35.853999999999999</v>
          </cell>
          <cell r="C1457">
            <v>35.137999999999998</v>
          </cell>
          <cell r="D1457">
            <v>34.561999999999998</v>
          </cell>
          <cell r="E1457">
            <v>31.603999999999996</v>
          </cell>
          <cell r="F1457">
            <v>33.799999999999997</v>
          </cell>
          <cell r="G1457">
            <v>22.052</v>
          </cell>
          <cell r="H1457">
            <v>47.693999999999996</v>
          </cell>
          <cell r="I1457">
            <v>34.872</v>
          </cell>
          <cell r="J1457">
            <v>21.712244800000001</v>
          </cell>
        </row>
        <row r="1459">
          <cell r="A1459" t="str">
            <v>FECHA</v>
          </cell>
          <cell r="B1459" t="str">
            <v>SUPERIOR 98</v>
          </cell>
          <cell r="C1459" t="str">
            <v>SUPERIOR 95</v>
          </cell>
          <cell r="D1459" t="str">
            <v>REGULAR</v>
          </cell>
          <cell r="E1459" t="str">
            <v>DIESEL</v>
          </cell>
          <cell r="F1459" t="str">
            <v>KEROSINA</v>
          </cell>
          <cell r="G1459" t="str">
            <v>BUNKER Rack</v>
          </cell>
          <cell r="H1459" t="str">
            <v>AV-GAS</v>
          </cell>
          <cell r="I1459" t="str">
            <v>Turbo-Jet A1</v>
          </cell>
          <cell r="J1459" t="str">
            <v>GLP</v>
          </cell>
        </row>
        <row r="1460">
          <cell r="B1460" t="str">
            <v>Q/GALON</v>
          </cell>
          <cell r="C1460" t="str">
            <v>Q/GALON</v>
          </cell>
          <cell r="D1460" t="str">
            <v>Q/GALON</v>
          </cell>
          <cell r="E1460" t="str">
            <v>Q/GALON</v>
          </cell>
          <cell r="F1460" t="str">
            <v>Q/GALON</v>
          </cell>
          <cell r="G1460" t="str">
            <v>Q/GALON</v>
          </cell>
          <cell r="H1460" t="str">
            <v>Q/GALON</v>
          </cell>
          <cell r="I1460" t="str">
            <v>Q/GALON</v>
          </cell>
          <cell r="J1460" t="str">
            <v>Q/GALON</v>
          </cell>
        </row>
        <row r="1461">
          <cell r="A1461">
            <v>40791</v>
          </cell>
          <cell r="B1461">
            <v>35.4</v>
          </cell>
          <cell r="C1461">
            <v>34.520000000000003</v>
          </cell>
          <cell r="D1461">
            <v>33.93</v>
          </cell>
          <cell r="E1461">
            <v>30.95</v>
          </cell>
          <cell r="F1461">
            <v>34</v>
          </cell>
          <cell r="G1461">
            <v>21.95</v>
          </cell>
          <cell r="H1461">
            <v>47.05</v>
          </cell>
          <cell r="I1461">
            <v>34.75</v>
          </cell>
          <cell r="J1461">
            <v>21.452800000000003</v>
          </cell>
        </row>
        <row r="1462">
          <cell r="A1462">
            <v>40799</v>
          </cell>
          <cell r="B1462">
            <v>35.83</v>
          </cell>
          <cell r="C1462">
            <v>34.979999999999997</v>
          </cell>
          <cell r="D1462">
            <v>34.36</v>
          </cell>
          <cell r="E1462">
            <v>31.41</v>
          </cell>
          <cell r="F1462">
            <v>34</v>
          </cell>
          <cell r="G1462">
            <v>21.95</v>
          </cell>
          <cell r="H1462">
            <v>46.86</v>
          </cell>
          <cell r="I1462">
            <v>34.61</v>
          </cell>
          <cell r="J1462">
            <v>21.452800000000003</v>
          </cell>
        </row>
        <row r="1463">
          <cell r="A1463">
            <v>40805</v>
          </cell>
          <cell r="B1463">
            <v>35.83</v>
          </cell>
          <cell r="C1463">
            <v>34.94</v>
          </cell>
          <cell r="D1463">
            <v>34.369999999999997</v>
          </cell>
          <cell r="E1463">
            <v>31.36</v>
          </cell>
          <cell r="F1463">
            <v>34</v>
          </cell>
          <cell r="G1463">
            <v>21.33</v>
          </cell>
          <cell r="H1463">
            <v>46.76</v>
          </cell>
          <cell r="I1463">
            <v>34.32</v>
          </cell>
          <cell r="J1463">
            <v>21.452800000000003</v>
          </cell>
        </row>
        <row r="1464">
          <cell r="A1464">
            <v>40812</v>
          </cell>
          <cell r="B1464">
            <v>35.369999999999997</v>
          </cell>
          <cell r="C1464">
            <v>34.53</v>
          </cell>
          <cell r="D1464">
            <v>33.93</v>
          </cell>
          <cell r="E1464">
            <v>30.96</v>
          </cell>
          <cell r="F1464">
            <v>34</v>
          </cell>
          <cell r="G1464">
            <v>21.3</v>
          </cell>
          <cell r="H1464">
            <v>47</v>
          </cell>
          <cell r="I1464">
            <v>34.5</v>
          </cell>
          <cell r="J1464">
            <v>21.452800000000003</v>
          </cell>
        </row>
        <row r="1465">
          <cell r="A1465" t="str">
            <v>Promedio9-11</v>
          </cell>
          <cell r="B1465">
            <v>35.607499999999995</v>
          </cell>
          <cell r="C1465">
            <v>34.7425</v>
          </cell>
          <cell r="D1465">
            <v>34.147500000000001</v>
          </cell>
          <cell r="E1465">
            <v>31.17</v>
          </cell>
          <cell r="F1465">
            <v>34</v>
          </cell>
          <cell r="G1465">
            <v>21.632499999999997</v>
          </cell>
          <cell r="H1465">
            <v>46.917499999999997</v>
          </cell>
          <cell r="I1465">
            <v>34.545000000000002</v>
          </cell>
          <cell r="J1465">
            <v>21.452800000000003</v>
          </cell>
        </row>
        <row r="1467">
          <cell r="A1467" t="str">
            <v>FECHA</v>
          </cell>
          <cell r="B1467" t="str">
            <v>SUPERIOR 98</v>
          </cell>
          <cell r="C1467" t="str">
            <v>SUPERIOR 95</v>
          </cell>
          <cell r="D1467" t="str">
            <v>REGULAR</v>
          </cell>
          <cell r="E1467" t="str">
            <v>DIESEL</v>
          </cell>
          <cell r="F1467" t="str">
            <v>KEROSINA</v>
          </cell>
          <cell r="G1467" t="str">
            <v>BUNKER Rack</v>
          </cell>
          <cell r="H1467" t="str">
            <v>AV-GAS</v>
          </cell>
          <cell r="I1467" t="str">
            <v>Turbo-Jet A1</v>
          </cell>
          <cell r="J1467" t="str">
            <v>GLP</v>
          </cell>
        </row>
        <row r="1468">
          <cell r="B1468" t="str">
            <v>Q/GALON</v>
          </cell>
          <cell r="C1468" t="str">
            <v>Q/GALON</v>
          </cell>
          <cell r="D1468" t="str">
            <v>Q/GALON</v>
          </cell>
          <cell r="E1468" t="str">
            <v>Q/GALON</v>
          </cell>
          <cell r="F1468" t="str">
            <v>Q/GALON</v>
          </cell>
          <cell r="G1468" t="str">
            <v>Q/GALON</v>
          </cell>
          <cell r="H1468" t="str">
            <v>Q/GALON</v>
          </cell>
          <cell r="I1468" t="str">
            <v>Q/GALON</v>
          </cell>
          <cell r="J1468" t="str">
            <v>Q/GALON</v>
          </cell>
        </row>
        <row r="1469">
          <cell r="A1469">
            <v>40819</v>
          </cell>
          <cell r="B1469">
            <v>34.82</v>
          </cell>
          <cell r="C1469">
            <v>34.1</v>
          </cell>
          <cell r="D1469">
            <v>33.47</v>
          </cell>
          <cell r="E1469">
            <v>30.54</v>
          </cell>
          <cell r="F1469">
            <v>34</v>
          </cell>
          <cell r="G1469">
            <v>22.39</v>
          </cell>
          <cell r="H1469">
            <v>47.11</v>
          </cell>
          <cell r="I1469">
            <v>34.58</v>
          </cell>
          <cell r="J1469">
            <v>21.885208000000006</v>
          </cell>
        </row>
        <row r="1470">
          <cell r="A1470">
            <v>40826</v>
          </cell>
          <cell r="B1470">
            <v>34.369999999999997</v>
          </cell>
          <cell r="C1470">
            <v>33.53</v>
          </cell>
          <cell r="D1470">
            <v>32.9</v>
          </cell>
          <cell r="E1470">
            <v>29.96</v>
          </cell>
          <cell r="F1470">
            <v>34</v>
          </cell>
          <cell r="G1470">
            <v>21.79</v>
          </cell>
          <cell r="H1470">
            <v>47.09</v>
          </cell>
          <cell r="I1470">
            <v>33.96</v>
          </cell>
          <cell r="J1470">
            <v>21.885208000000006</v>
          </cell>
        </row>
        <row r="1471">
          <cell r="A1471">
            <v>40833</v>
          </cell>
          <cell r="B1471">
            <v>35.31</v>
          </cell>
          <cell r="C1471">
            <v>34.22</v>
          </cell>
          <cell r="D1471">
            <v>33.590000000000003</v>
          </cell>
          <cell r="E1471">
            <v>30.69</v>
          </cell>
          <cell r="F1471">
            <v>34</v>
          </cell>
          <cell r="G1471">
            <v>21.92</v>
          </cell>
          <cell r="H1471">
            <v>46.74</v>
          </cell>
          <cell r="I1471">
            <v>33.71</v>
          </cell>
          <cell r="J1471">
            <v>21.885208000000006</v>
          </cell>
        </row>
        <row r="1472">
          <cell r="A1472">
            <v>40840</v>
          </cell>
          <cell r="B1472">
            <v>35.299999999999997</v>
          </cell>
          <cell r="C1472">
            <v>34.36</v>
          </cell>
          <cell r="D1472">
            <v>33.69</v>
          </cell>
          <cell r="E1472">
            <v>31.26</v>
          </cell>
          <cell r="F1472">
            <v>33.5</v>
          </cell>
          <cell r="G1472">
            <v>22.08</v>
          </cell>
          <cell r="H1472">
            <v>46.87</v>
          </cell>
          <cell r="I1472">
            <v>33.659999999999997</v>
          </cell>
          <cell r="J1472">
            <v>22.793600000000005</v>
          </cell>
        </row>
        <row r="1473">
          <cell r="A1473">
            <v>40847</v>
          </cell>
          <cell r="B1473">
            <v>35.22</v>
          </cell>
          <cell r="C1473">
            <v>34.36</v>
          </cell>
          <cell r="D1473">
            <v>33.700000000000003</v>
          </cell>
          <cell r="E1473">
            <v>31.73</v>
          </cell>
          <cell r="F1473">
            <v>33.5</v>
          </cell>
          <cell r="G1473">
            <v>22.13</v>
          </cell>
          <cell r="H1473">
            <v>46.78</v>
          </cell>
          <cell r="I1473">
            <v>34.659999999999997</v>
          </cell>
          <cell r="J1473">
            <v>22.793600000000005</v>
          </cell>
        </row>
        <row r="1474">
          <cell r="A1474" t="str">
            <v>Promedio10-11</v>
          </cell>
          <cell r="B1474">
            <v>35.004000000000005</v>
          </cell>
          <cell r="C1474">
            <v>34.113999999999997</v>
          </cell>
          <cell r="D1474">
            <v>33.470000000000006</v>
          </cell>
          <cell r="E1474">
            <v>30.836000000000002</v>
          </cell>
          <cell r="F1474">
            <v>33.799999999999997</v>
          </cell>
          <cell r="G1474">
            <v>22.061999999999998</v>
          </cell>
          <cell r="H1474">
            <v>46.917999999999999</v>
          </cell>
          <cell r="I1474">
            <v>34.113999999999997</v>
          </cell>
          <cell r="J1474">
            <v>22.248564800000004</v>
          </cell>
        </row>
        <row r="1476">
          <cell r="A1476" t="str">
            <v>FECHA</v>
          </cell>
          <cell r="B1476" t="str">
            <v>SUPERIOR 98</v>
          </cell>
          <cell r="C1476" t="str">
            <v>SUPERIOR 95</v>
          </cell>
          <cell r="D1476" t="str">
            <v>REGULAR</v>
          </cell>
          <cell r="E1476" t="str">
            <v>DIESEL</v>
          </cell>
          <cell r="F1476" t="str">
            <v>KEROSINA</v>
          </cell>
          <cell r="G1476" t="str">
            <v>BUNKER Rack</v>
          </cell>
          <cell r="H1476" t="str">
            <v>AV-GAS</v>
          </cell>
          <cell r="I1476" t="str">
            <v>Turbo-Jet A1</v>
          </cell>
          <cell r="J1476" t="str">
            <v>GLP</v>
          </cell>
        </row>
        <row r="1477">
          <cell r="B1477" t="str">
            <v>Q/GALON</v>
          </cell>
          <cell r="C1477" t="str">
            <v>Q/GALON</v>
          </cell>
          <cell r="D1477" t="str">
            <v>Q/GALON</v>
          </cell>
          <cell r="E1477" t="str">
            <v>Q/GALON</v>
          </cell>
          <cell r="F1477" t="str">
            <v>Q/GALON</v>
          </cell>
          <cell r="G1477" t="str">
            <v>Q/GALON</v>
          </cell>
          <cell r="H1477" t="str">
            <v>Q/GALON</v>
          </cell>
          <cell r="I1477" t="str">
            <v>Q/GALON</v>
          </cell>
          <cell r="J1477" t="str">
            <v>Q/GALON</v>
          </cell>
        </row>
        <row r="1478">
          <cell r="A1478">
            <v>40854</v>
          </cell>
          <cell r="B1478">
            <v>35.130000000000003</v>
          </cell>
          <cell r="C1478">
            <v>34.369999999999997</v>
          </cell>
          <cell r="D1478">
            <v>33.74</v>
          </cell>
          <cell r="E1478">
            <v>31.8</v>
          </cell>
          <cell r="F1478">
            <v>33.5</v>
          </cell>
          <cell r="G1478">
            <v>22.27</v>
          </cell>
          <cell r="H1478">
            <v>55.24</v>
          </cell>
          <cell r="I1478">
            <v>40.409999999999997</v>
          </cell>
          <cell r="J1478">
            <v>22.793600000000005</v>
          </cell>
        </row>
        <row r="1479">
          <cell r="A1479">
            <v>40861</v>
          </cell>
          <cell r="B1479">
            <v>35.79</v>
          </cell>
          <cell r="C1479">
            <v>34.67</v>
          </cell>
          <cell r="D1479">
            <v>34.020000000000003</v>
          </cell>
          <cell r="E1479">
            <v>32.28</v>
          </cell>
          <cell r="F1479">
            <v>33.5</v>
          </cell>
          <cell r="G1479">
            <v>22.55</v>
          </cell>
          <cell r="H1479">
            <v>55.24</v>
          </cell>
          <cell r="I1479">
            <v>40.409999999999997</v>
          </cell>
          <cell r="J1479">
            <v>22.793600000000005</v>
          </cell>
        </row>
        <row r="1480">
          <cell r="A1480">
            <v>40868</v>
          </cell>
          <cell r="B1480">
            <v>35.590000000000003</v>
          </cell>
          <cell r="C1480">
            <v>34.75</v>
          </cell>
          <cell r="D1480">
            <v>34.119999999999997</v>
          </cell>
          <cell r="E1480">
            <v>32.69</v>
          </cell>
          <cell r="F1480">
            <v>33.5</v>
          </cell>
          <cell r="G1480">
            <v>22.43</v>
          </cell>
          <cell r="H1480">
            <v>55.31</v>
          </cell>
          <cell r="I1480">
            <v>40.47</v>
          </cell>
          <cell r="J1480">
            <v>22.793600000000005</v>
          </cell>
        </row>
        <row r="1481">
          <cell r="A1481">
            <v>40875</v>
          </cell>
          <cell r="B1481">
            <v>35.21</v>
          </cell>
          <cell r="C1481">
            <v>34.43</v>
          </cell>
          <cell r="D1481">
            <v>33.840000000000003</v>
          </cell>
          <cell r="E1481">
            <v>32.1</v>
          </cell>
          <cell r="F1481">
            <v>33.5</v>
          </cell>
          <cell r="G1481">
            <v>22.29</v>
          </cell>
          <cell r="H1481">
            <v>55.13</v>
          </cell>
          <cell r="I1481">
            <v>40.33</v>
          </cell>
          <cell r="J1481">
            <v>22.793600000000005</v>
          </cell>
        </row>
        <row r="1482">
          <cell r="A1482" t="str">
            <v>Promedio11-11</v>
          </cell>
          <cell r="B1482">
            <v>35.43</v>
          </cell>
          <cell r="C1482">
            <v>34.555</v>
          </cell>
          <cell r="D1482">
            <v>33.93</v>
          </cell>
          <cell r="E1482">
            <v>32.217500000000001</v>
          </cell>
          <cell r="F1482">
            <v>33.5</v>
          </cell>
          <cell r="G1482">
            <v>22.384999999999998</v>
          </cell>
          <cell r="H1482">
            <v>55.230000000000004</v>
          </cell>
          <cell r="I1482">
            <v>40.405000000000001</v>
          </cell>
          <cell r="J1482">
            <v>22.793600000000005</v>
          </cell>
        </row>
        <row r="1484">
          <cell r="A1484" t="str">
            <v>FECHA</v>
          </cell>
          <cell r="B1484" t="str">
            <v>SUPERIOR 98</v>
          </cell>
          <cell r="C1484" t="str">
            <v>SUPERIOR 95</v>
          </cell>
          <cell r="D1484" t="str">
            <v>REGULAR</v>
          </cell>
          <cell r="E1484" t="str">
            <v>DIESEL</v>
          </cell>
          <cell r="F1484" t="str">
            <v>KEROSINA</v>
          </cell>
          <cell r="G1484" t="str">
            <v>BUNKER Rack</v>
          </cell>
          <cell r="H1484" t="str">
            <v>AV-GAS</v>
          </cell>
          <cell r="I1484" t="str">
            <v>Turbo-Jet A1</v>
          </cell>
          <cell r="J1484" t="str">
            <v>GLP</v>
          </cell>
        </row>
        <row r="1485">
          <cell r="B1485" t="str">
            <v>Q/GALON</v>
          </cell>
          <cell r="C1485" t="str">
            <v>Q/GALON</v>
          </cell>
          <cell r="D1485" t="str">
            <v>Q/GALON</v>
          </cell>
          <cell r="E1485" t="str">
            <v>Q/GALON</v>
          </cell>
          <cell r="F1485" t="str">
            <v>Q/GALON</v>
          </cell>
          <cell r="G1485" t="str">
            <v>Q/GALON</v>
          </cell>
          <cell r="H1485" t="str">
            <v>Q/GALON</v>
          </cell>
          <cell r="I1485" t="str">
            <v>Q/GALON</v>
          </cell>
          <cell r="J1485" t="str">
            <v>Q/GALON</v>
          </cell>
        </row>
        <row r="1486">
          <cell r="A1486">
            <v>40882</v>
          </cell>
          <cell r="B1486">
            <v>34.799999999999997</v>
          </cell>
          <cell r="C1486">
            <v>34.07</v>
          </cell>
          <cell r="D1486">
            <v>33.47</v>
          </cell>
          <cell r="E1486">
            <v>31.89</v>
          </cell>
          <cell r="F1486">
            <v>33.5</v>
          </cell>
          <cell r="G1486">
            <v>22.39</v>
          </cell>
          <cell r="H1486">
            <v>55.13</v>
          </cell>
          <cell r="I1486">
            <v>40.33</v>
          </cell>
          <cell r="J1486">
            <v>22.793600000000005</v>
          </cell>
        </row>
        <row r="1487">
          <cell r="A1487">
            <v>40889</v>
          </cell>
          <cell r="B1487">
            <v>34.32</v>
          </cell>
          <cell r="C1487">
            <v>33.56</v>
          </cell>
          <cell r="D1487">
            <v>32.94</v>
          </cell>
          <cell r="E1487">
            <v>31.12</v>
          </cell>
          <cell r="F1487">
            <v>33.5</v>
          </cell>
          <cell r="G1487">
            <v>22.3</v>
          </cell>
          <cell r="H1487">
            <v>45.42</v>
          </cell>
          <cell r="I1487">
            <v>34.76</v>
          </cell>
          <cell r="J1487">
            <v>22.793600000000005</v>
          </cell>
        </row>
        <row r="1488">
          <cell r="A1488">
            <v>40896</v>
          </cell>
          <cell r="B1488">
            <v>34.32</v>
          </cell>
          <cell r="C1488">
            <v>33.56</v>
          </cell>
          <cell r="D1488">
            <v>32.92</v>
          </cell>
          <cell r="E1488">
            <v>31.04</v>
          </cell>
          <cell r="F1488">
            <v>33.5</v>
          </cell>
          <cell r="G1488">
            <v>22.52</v>
          </cell>
          <cell r="H1488">
            <v>45.42</v>
          </cell>
          <cell r="I1488">
            <v>34.76</v>
          </cell>
          <cell r="J1488">
            <v>23.631600000000002</v>
          </cell>
        </row>
        <row r="1489">
          <cell r="A1489">
            <v>40903</v>
          </cell>
          <cell r="B1489">
            <v>32.909999999999997</v>
          </cell>
          <cell r="C1489">
            <v>32.299999999999997</v>
          </cell>
          <cell r="D1489">
            <v>31.68</v>
          </cell>
          <cell r="E1489">
            <v>30.24</v>
          </cell>
          <cell r="F1489">
            <v>33.5</v>
          </cell>
          <cell r="G1489">
            <v>21.53</v>
          </cell>
          <cell r="H1489">
            <v>45.42</v>
          </cell>
          <cell r="I1489">
            <v>34.01</v>
          </cell>
          <cell r="J1489">
            <v>22.793600000000005</v>
          </cell>
        </row>
        <row r="1490">
          <cell r="A1490" t="str">
            <v>Promedio12-11</v>
          </cell>
          <cell r="B1490">
            <v>34.087499999999999</v>
          </cell>
          <cell r="C1490">
            <v>33.372500000000002</v>
          </cell>
          <cell r="D1490">
            <v>32.752499999999998</v>
          </cell>
          <cell r="E1490">
            <v>31.072500000000002</v>
          </cell>
          <cell r="F1490">
            <v>33.5</v>
          </cell>
          <cell r="G1490">
            <v>22.184999999999999</v>
          </cell>
          <cell r="H1490">
            <v>47.847500000000011</v>
          </cell>
          <cell r="I1490">
            <v>35.964999999999996</v>
          </cell>
          <cell r="J1490">
            <v>23.003100000000003</v>
          </cell>
        </row>
        <row r="1492">
          <cell r="A1492" t="str">
            <v>FECHA</v>
          </cell>
          <cell r="B1492" t="str">
            <v>SUPERIOR 98</v>
          </cell>
          <cell r="C1492" t="str">
            <v>SUPERIOR 95</v>
          </cell>
          <cell r="D1492" t="str">
            <v>REGULAR</v>
          </cell>
          <cell r="E1492" t="str">
            <v>DIESEL</v>
          </cell>
          <cell r="F1492" t="str">
            <v>KEROSINA</v>
          </cell>
          <cell r="G1492" t="str">
            <v>BUNKER Rack</v>
          </cell>
          <cell r="H1492" t="str">
            <v>AV-GAS</v>
          </cell>
          <cell r="I1492" t="str">
            <v>Turbo-Jet A1</v>
          </cell>
          <cell r="J1492" t="str">
            <v>GLP</v>
          </cell>
        </row>
        <row r="1493">
          <cell r="B1493" t="str">
            <v>Q/GALON</v>
          </cell>
          <cell r="C1493" t="str">
            <v>Q/GALON</v>
          </cell>
          <cell r="D1493" t="str">
            <v>Q/GALON</v>
          </cell>
          <cell r="E1493" t="str">
            <v>Q/GALON</v>
          </cell>
          <cell r="F1493" t="str">
            <v>Q/GALON</v>
          </cell>
          <cell r="G1493" t="str">
            <v>Q/GALON</v>
          </cell>
          <cell r="H1493" t="str">
            <v>Q/GALON</v>
          </cell>
          <cell r="I1493" t="str">
            <v>Q/GALON</v>
          </cell>
          <cell r="J1493" t="str">
            <v>Q/GALON</v>
          </cell>
        </row>
        <row r="1494">
          <cell r="A1494">
            <v>40911</v>
          </cell>
          <cell r="B1494">
            <v>33.340000000000003</v>
          </cell>
          <cell r="C1494">
            <v>32.5</v>
          </cell>
          <cell r="D1494">
            <v>31.83</v>
          </cell>
          <cell r="E1494">
            <v>30.39</v>
          </cell>
          <cell r="F1494">
            <v>33.5</v>
          </cell>
          <cell r="G1494">
            <v>21.5</v>
          </cell>
          <cell r="H1494">
            <v>45.42</v>
          </cell>
          <cell r="I1494">
            <v>34.01</v>
          </cell>
          <cell r="J1494">
            <v>22.793600000000005</v>
          </cell>
        </row>
        <row r="1495">
          <cell r="A1495">
            <v>40917</v>
          </cell>
          <cell r="B1495">
            <v>34.29</v>
          </cell>
          <cell r="C1495">
            <v>33.43</v>
          </cell>
          <cell r="D1495">
            <v>32.78</v>
          </cell>
          <cell r="E1495">
            <v>31.34</v>
          </cell>
          <cell r="F1495">
            <v>33.5</v>
          </cell>
          <cell r="G1495">
            <v>21.69</v>
          </cell>
          <cell r="H1495">
            <v>45.1</v>
          </cell>
          <cell r="I1495">
            <v>33.700000000000003</v>
          </cell>
          <cell r="J1495">
            <v>22.793600000000005</v>
          </cell>
        </row>
        <row r="1496">
          <cell r="A1496">
            <v>40925</v>
          </cell>
          <cell r="B1496">
            <v>34.29</v>
          </cell>
          <cell r="C1496">
            <v>33.43</v>
          </cell>
          <cell r="D1496">
            <v>32.78</v>
          </cell>
          <cell r="E1496">
            <v>31.34</v>
          </cell>
          <cell r="F1496">
            <v>33.5</v>
          </cell>
          <cell r="G1496">
            <v>22.18</v>
          </cell>
          <cell r="H1496">
            <v>45.1</v>
          </cell>
          <cell r="I1496">
            <v>33.700000000000003</v>
          </cell>
          <cell r="J1496">
            <v>22.793600000000005</v>
          </cell>
        </row>
        <row r="1497">
          <cell r="A1497">
            <v>40931</v>
          </cell>
          <cell r="B1497">
            <v>34.29</v>
          </cell>
          <cell r="C1497">
            <v>33.43</v>
          </cell>
          <cell r="D1497">
            <v>32.78</v>
          </cell>
          <cell r="E1497">
            <v>31.34</v>
          </cell>
          <cell r="F1497">
            <v>33.5</v>
          </cell>
          <cell r="G1497">
            <v>22.28</v>
          </cell>
          <cell r="H1497">
            <v>45.1</v>
          </cell>
          <cell r="I1497">
            <v>35.58</v>
          </cell>
          <cell r="J1497">
            <v>22.793600000000005</v>
          </cell>
        </row>
        <row r="1498">
          <cell r="A1498">
            <v>40938</v>
          </cell>
          <cell r="B1498">
            <v>33.17</v>
          </cell>
          <cell r="C1498">
            <v>32.770000000000003</v>
          </cell>
          <cell r="D1498">
            <v>32.159999999999997</v>
          </cell>
          <cell r="E1498">
            <v>30.17</v>
          </cell>
          <cell r="F1498">
            <v>33.5</v>
          </cell>
          <cell r="G1498">
            <v>22.28</v>
          </cell>
          <cell r="H1498">
            <v>44.9</v>
          </cell>
          <cell r="I1498">
            <v>35.43</v>
          </cell>
          <cell r="J1498">
            <v>22.793600000000005</v>
          </cell>
        </row>
        <row r="1499">
          <cell r="A1499" t="str">
            <v>Promedio1-12</v>
          </cell>
          <cell r="B1499">
            <v>33.875999999999998</v>
          </cell>
          <cell r="C1499">
            <v>33.112000000000009</v>
          </cell>
          <cell r="D1499">
            <v>32.466000000000001</v>
          </cell>
          <cell r="E1499">
            <v>30.916000000000004</v>
          </cell>
          <cell r="F1499">
            <v>33.5</v>
          </cell>
          <cell r="G1499">
            <v>21.986000000000001</v>
          </cell>
          <cell r="H1499">
            <v>45.124000000000002</v>
          </cell>
          <cell r="I1499">
            <v>34.484000000000002</v>
          </cell>
          <cell r="J1499">
            <v>22.793600000000005</v>
          </cell>
        </row>
        <row r="1501">
          <cell r="A1501" t="str">
            <v>FECHA</v>
          </cell>
          <cell r="B1501" t="str">
            <v>SUPERIOR 98</v>
          </cell>
          <cell r="C1501" t="str">
            <v>SUPERIOR 95</v>
          </cell>
          <cell r="D1501" t="str">
            <v>REGULAR</v>
          </cell>
          <cell r="E1501" t="str">
            <v>DIESEL</v>
          </cell>
          <cell r="F1501" t="str">
            <v>KEROSINA</v>
          </cell>
          <cell r="G1501" t="str">
            <v>BUNKER Rack</v>
          </cell>
          <cell r="H1501" t="str">
            <v>AV-GAS</v>
          </cell>
          <cell r="I1501" t="str">
            <v>Turbo-Jet A1</v>
          </cell>
          <cell r="J1501" t="str">
            <v>GLP</v>
          </cell>
        </row>
        <row r="1502">
          <cell r="B1502" t="str">
            <v>Q/GALON</v>
          </cell>
          <cell r="C1502" t="str">
            <v>Q/GALON</v>
          </cell>
          <cell r="D1502" t="str">
            <v>Q/GALON</v>
          </cell>
          <cell r="E1502" t="str">
            <v>Q/GALON</v>
          </cell>
          <cell r="F1502" t="str">
            <v>Q/GALON</v>
          </cell>
          <cell r="G1502" t="str">
            <v>Q/GALON</v>
          </cell>
          <cell r="H1502" t="str">
            <v>Q/GALON</v>
          </cell>
          <cell r="I1502" t="str">
            <v>Q/GALON</v>
          </cell>
          <cell r="J1502" t="str">
            <v>Q/GALON</v>
          </cell>
        </row>
        <row r="1503">
          <cell r="A1503">
            <v>40945</v>
          </cell>
          <cell r="B1503">
            <v>34.659999999999997</v>
          </cell>
          <cell r="C1503">
            <v>33.94</v>
          </cell>
          <cell r="D1503">
            <v>33.29</v>
          </cell>
          <cell r="E1503">
            <v>31.78</v>
          </cell>
          <cell r="F1503">
            <v>33.5</v>
          </cell>
          <cell r="G1503">
            <v>22.94</v>
          </cell>
          <cell r="H1503">
            <v>44.87</v>
          </cell>
          <cell r="I1503">
            <v>35.130000000000003</v>
          </cell>
          <cell r="J1503">
            <v>22.793600000000005</v>
          </cell>
        </row>
        <row r="1504">
          <cell r="A1504">
            <v>40952</v>
          </cell>
          <cell r="B1504">
            <v>36.72</v>
          </cell>
          <cell r="C1504">
            <v>35.51</v>
          </cell>
          <cell r="D1504">
            <v>34.799999999999997</v>
          </cell>
          <cell r="E1504">
            <v>32.69</v>
          </cell>
          <cell r="F1504">
            <v>33.5</v>
          </cell>
          <cell r="G1504">
            <v>23.11</v>
          </cell>
          <cell r="H1504">
            <v>45.18</v>
          </cell>
          <cell r="I1504">
            <v>36.130000000000003</v>
          </cell>
          <cell r="J1504">
            <v>22.793600000000005</v>
          </cell>
        </row>
        <row r="1505">
          <cell r="A1505">
            <v>40959</v>
          </cell>
          <cell r="B1505">
            <v>36.67</v>
          </cell>
          <cell r="C1505">
            <v>35.869999999999997</v>
          </cell>
          <cell r="D1505">
            <v>35.17</v>
          </cell>
          <cell r="E1505">
            <v>32.81</v>
          </cell>
          <cell r="F1505">
            <v>33.5</v>
          </cell>
          <cell r="G1505">
            <v>23.6</v>
          </cell>
          <cell r="H1505">
            <v>45.05</v>
          </cell>
          <cell r="I1505">
            <v>36.03</v>
          </cell>
          <cell r="J1505">
            <v>22.793600000000005</v>
          </cell>
        </row>
        <row r="1506">
          <cell r="A1506">
            <v>40966</v>
          </cell>
          <cell r="B1506">
            <v>36.67</v>
          </cell>
          <cell r="C1506">
            <v>35.869999999999997</v>
          </cell>
          <cell r="D1506">
            <v>35.17</v>
          </cell>
          <cell r="E1506">
            <v>32.81</v>
          </cell>
          <cell r="F1506">
            <v>33.5</v>
          </cell>
          <cell r="G1506">
            <v>23.95</v>
          </cell>
          <cell r="H1506">
            <v>45.05</v>
          </cell>
          <cell r="I1506">
            <v>36.03</v>
          </cell>
          <cell r="J1506">
            <v>22.793600000000005</v>
          </cell>
        </row>
        <row r="1507">
          <cell r="A1507" t="str">
            <v>Promedio2-12</v>
          </cell>
          <cell r="B1507">
            <v>36.18</v>
          </cell>
          <cell r="C1507">
            <v>35.297499999999999</v>
          </cell>
          <cell r="D1507">
            <v>34.607500000000002</v>
          </cell>
          <cell r="E1507">
            <v>32.522500000000001</v>
          </cell>
          <cell r="F1507">
            <v>33.5</v>
          </cell>
          <cell r="G1507">
            <v>23.400000000000002</v>
          </cell>
          <cell r="H1507">
            <v>45.037499999999994</v>
          </cell>
          <cell r="I1507">
            <v>35.83</v>
          </cell>
          <cell r="J1507">
            <v>22.793600000000005</v>
          </cell>
        </row>
        <row r="1509">
          <cell r="A1509" t="str">
            <v>FECHA</v>
          </cell>
          <cell r="B1509" t="str">
            <v>SUPERIOR 98</v>
          </cell>
          <cell r="C1509" t="str">
            <v>SUPERIOR 95</v>
          </cell>
          <cell r="D1509" t="str">
            <v>REGULAR</v>
          </cell>
          <cell r="E1509" t="str">
            <v>DIESEL</v>
          </cell>
          <cell r="F1509" t="str">
            <v>KEROSINA</v>
          </cell>
          <cell r="G1509" t="str">
            <v>BUNKER Rack</v>
          </cell>
          <cell r="H1509" t="str">
            <v>AV-GAS</v>
          </cell>
          <cell r="I1509" t="str">
            <v>Turbo-Jet A1</v>
          </cell>
          <cell r="J1509" t="str">
            <v>GLP</v>
          </cell>
        </row>
        <row r="1510">
          <cell r="B1510" t="str">
            <v>Q/GALON</v>
          </cell>
          <cell r="C1510" t="str">
            <v>Q/GALON</v>
          </cell>
          <cell r="D1510" t="str">
            <v>Q/GALON</v>
          </cell>
          <cell r="E1510" t="str">
            <v>Q/GALON</v>
          </cell>
          <cell r="F1510" t="str">
            <v>Q/GALON</v>
          </cell>
          <cell r="G1510" t="str">
            <v>Q/GALON</v>
          </cell>
          <cell r="H1510" t="str">
            <v>Q/GALON</v>
          </cell>
          <cell r="I1510" t="str">
            <v>Q/GALON</v>
          </cell>
          <cell r="J1510" t="str">
            <v>Q/GALON</v>
          </cell>
        </row>
        <row r="1511">
          <cell r="A1511">
            <v>40973</v>
          </cell>
          <cell r="B1511">
            <v>36.67</v>
          </cell>
          <cell r="C1511">
            <v>35.869999999999997</v>
          </cell>
          <cell r="D1511">
            <v>35.17</v>
          </cell>
          <cell r="E1511">
            <v>32.81</v>
          </cell>
          <cell r="F1511">
            <v>33.5</v>
          </cell>
          <cell r="G1511">
            <v>24.06</v>
          </cell>
          <cell r="I1511">
            <v>37.86</v>
          </cell>
          <cell r="J1511">
            <v>22.793600000000005</v>
          </cell>
        </row>
        <row r="1512">
          <cell r="A1512">
            <v>40980</v>
          </cell>
          <cell r="B1512">
            <v>38.28</v>
          </cell>
          <cell r="C1512">
            <v>36.92</v>
          </cell>
          <cell r="D1512">
            <v>36.340000000000003</v>
          </cell>
          <cell r="E1512">
            <v>33.18</v>
          </cell>
          <cell r="F1512">
            <v>35.5</v>
          </cell>
          <cell r="G1512">
            <v>24.29</v>
          </cell>
          <cell r="I1512">
            <v>37.86</v>
          </cell>
          <cell r="J1512">
            <v>19.274000000000004</v>
          </cell>
        </row>
        <row r="1513">
          <cell r="A1513">
            <v>40987</v>
          </cell>
          <cell r="B1513">
            <v>38.18</v>
          </cell>
          <cell r="C1513">
            <v>37.380000000000003</v>
          </cell>
          <cell r="D1513">
            <v>36.82</v>
          </cell>
          <cell r="E1513">
            <v>33.369999999999997</v>
          </cell>
          <cell r="F1513">
            <v>35.5</v>
          </cell>
          <cell r="G1513">
            <v>25.32</v>
          </cell>
          <cell r="I1513">
            <v>37.86</v>
          </cell>
          <cell r="J1513">
            <v>18.436000000000003</v>
          </cell>
        </row>
        <row r="1514">
          <cell r="A1514">
            <v>40994</v>
          </cell>
          <cell r="B1514">
            <v>37.020000000000003</v>
          </cell>
          <cell r="C1514">
            <v>36.65</v>
          </cell>
          <cell r="D1514">
            <v>36.119999999999997</v>
          </cell>
          <cell r="E1514">
            <v>32.82</v>
          </cell>
          <cell r="F1514">
            <v>35.5</v>
          </cell>
          <cell r="G1514">
            <v>26.44</v>
          </cell>
          <cell r="I1514">
            <v>37.86</v>
          </cell>
          <cell r="J1514">
            <v>17.598000000000003</v>
          </cell>
        </row>
        <row r="1515">
          <cell r="A1515" t="str">
            <v>Promedio3-12</v>
          </cell>
          <cell r="B1515">
            <v>37.537500000000001</v>
          </cell>
          <cell r="C1515">
            <v>36.704999999999998</v>
          </cell>
          <cell r="D1515">
            <v>36.112500000000004</v>
          </cell>
          <cell r="E1515">
            <v>33.045000000000002</v>
          </cell>
          <cell r="F1515">
            <v>35</v>
          </cell>
          <cell r="G1515">
            <v>25.027499999999996</v>
          </cell>
          <cell r="H1515" t="e">
            <v>#DIV/0!</v>
          </cell>
          <cell r="I1515">
            <v>37.86</v>
          </cell>
          <cell r="J1515">
            <v>19.525400000000005</v>
          </cell>
        </row>
        <row r="1517">
          <cell r="A1517" t="str">
            <v>FECHA</v>
          </cell>
          <cell r="B1517" t="str">
            <v>SUPERIOR 98</v>
          </cell>
          <cell r="C1517" t="str">
            <v>SUPERIOR 95</v>
          </cell>
          <cell r="D1517" t="str">
            <v>REGULAR</v>
          </cell>
          <cell r="E1517" t="str">
            <v>DIESEL</v>
          </cell>
          <cell r="F1517" t="str">
            <v>KEROSINA</v>
          </cell>
          <cell r="G1517" t="str">
            <v>BUNKER Rack</v>
          </cell>
          <cell r="H1517" t="str">
            <v>AV-GAS</v>
          </cell>
          <cell r="I1517" t="str">
            <v>Turbo-Jet A1</v>
          </cell>
          <cell r="J1517" t="str">
            <v>GLP</v>
          </cell>
        </row>
        <row r="1518">
          <cell r="B1518" t="str">
            <v>Q/GALON</v>
          </cell>
          <cell r="C1518" t="str">
            <v>Q/GALON</v>
          </cell>
          <cell r="D1518" t="str">
            <v>Q/GALON</v>
          </cell>
          <cell r="E1518" t="str">
            <v>Q/GALON</v>
          </cell>
          <cell r="F1518" t="str">
            <v>Q/GALON</v>
          </cell>
          <cell r="G1518" t="str">
            <v>Q/GALON</v>
          </cell>
          <cell r="H1518" t="str">
            <v>Q/GALON</v>
          </cell>
          <cell r="I1518" t="str">
            <v>Q/GALON</v>
          </cell>
          <cell r="J1518" t="str">
            <v>Q/GALON</v>
          </cell>
        </row>
        <row r="1519">
          <cell r="A1519">
            <v>41001</v>
          </cell>
          <cell r="B1519">
            <v>38.46</v>
          </cell>
          <cell r="C1519">
            <v>37.68</v>
          </cell>
          <cell r="D1519">
            <v>37.15</v>
          </cell>
          <cell r="E1519">
            <v>33.56</v>
          </cell>
          <cell r="F1519">
            <v>35.5</v>
          </cell>
          <cell r="G1519">
            <v>26.44</v>
          </cell>
          <cell r="I1519">
            <v>37.840000000000003</v>
          </cell>
          <cell r="J1519">
            <v>17.598000000000003</v>
          </cell>
        </row>
        <row r="1520">
          <cell r="A1520">
            <v>41008</v>
          </cell>
          <cell r="B1520">
            <v>38.42</v>
          </cell>
          <cell r="C1520">
            <v>37.659999999999997</v>
          </cell>
          <cell r="D1520">
            <v>37.119999999999997</v>
          </cell>
          <cell r="E1520">
            <v>33.21</v>
          </cell>
          <cell r="F1520">
            <v>35.5</v>
          </cell>
          <cell r="G1520">
            <v>25.86</v>
          </cell>
          <cell r="I1520">
            <v>37.840000000000003</v>
          </cell>
          <cell r="J1520">
            <v>17.598000000000003</v>
          </cell>
        </row>
        <row r="1521">
          <cell r="A1521">
            <v>41015</v>
          </cell>
          <cell r="B1521">
            <v>38.5</v>
          </cell>
          <cell r="C1521">
            <v>37.78</v>
          </cell>
          <cell r="D1521">
            <v>37.22</v>
          </cell>
          <cell r="E1521">
            <v>33.03</v>
          </cell>
          <cell r="F1521">
            <v>35.5</v>
          </cell>
          <cell r="G1521">
            <v>24.73</v>
          </cell>
          <cell r="I1521">
            <v>37.840000000000003</v>
          </cell>
          <cell r="J1521">
            <v>17.598000000000003</v>
          </cell>
        </row>
        <row r="1522">
          <cell r="A1522">
            <v>41022</v>
          </cell>
          <cell r="B1522">
            <v>38.22</v>
          </cell>
          <cell r="C1522">
            <v>37.46</v>
          </cell>
          <cell r="D1522">
            <v>36.909999999999997</v>
          </cell>
          <cell r="E1522">
            <v>32.69</v>
          </cell>
          <cell r="F1522">
            <v>35.5</v>
          </cell>
          <cell r="G1522">
            <v>24.45</v>
          </cell>
          <cell r="I1522">
            <v>37.840000000000003</v>
          </cell>
          <cell r="J1522">
            <v>17.598000000000003</v>
          </cell>
        </row>
        <row r="1523">
          <cell r="A1523">
            <v>41029</v>
          </cell>
          <cell r="B1523">
            <v>38.07</v>
          </cell>
          <cell r="C1523">
            <v>37.299999999999997</v>
          </cell>
          <cell r="D1523">
            <v>36.72</v>
          </cell>
          <cell r="E1523">
            <v>32.590000000000003</v>
          </cell>
          <cell r="F1523">
            <v>35.5</v>
          </cell>
          <cell r="G1523">
            <v>24.26</v>
          </cell>
          <cell r="I1523">
            <v>37.840000000000003</v>
          </cell>
          <cell r="J1523">
            <v>17.598000000000003</v>
          </cell>
        </row>
        <row r="1524">
          <cell r="A1524" t="str">
            <v>Promedio4-12</v>
          </cell>
          <cell r="B1524">
            <v>38.333999999999996</v>
          </cell>
          <cell r="C1524">
            <v>37.576000000000001</v>
          </cell>
          <cell r="D1524">
            <v>37.023999999999994</v>
          </cell>
          <cell r="E1524">
            <v>33.016000000000005</v>
          </cell>
          <cell r="F1524">
            <v>35.5</v>
          </cell>
          <cell r="G1524">
            <v>25.148000000000003</v>
          </cell>
          <cell r="H1524" t="e">
            <v>#DIV/0!</v>
          </cell>
          <cell r="I1524">
            <v>37.840000000000003</v>
          </cell>
          <cell r="J1524">
            <v>17.598000000000003</v>
          </cell>
        </row>
        <row r="1526">
          <cell r="A1526" t="str">
            <v>FECHA</v>
          </cell>
          <cell r="B1526" t="str">
            <v>SUPERIOR 98</v>
          </cell>
          <cell r="C1526" t="str">
            <v>SUPERIOR 95</v>
          </cell>
          <cell r="D1526" t="str">
            <v>REGULAR</v>
          </cell>
          <cell r="E1526" t="str">
            <v>DIESEL</v>
          </cell>
          <cell r="F1526" t="str">
            <v>KEROSINA</v>
          </cell>
          <cell r="G1526" t="str">
            <v>BUNKER Rack</v>
          </cell>
          <cell r="H1526" t="str">
            <v>AV-GAS</v>
          </cell>
          <cell r="I1526" t="str">
            <v>Turbo-Jet A1</v>
          </cell>
          <cell r="J1526" t="str">
            <v>GLP</v>
          </cell>
        </row>
        <row r="1527">
          <cell r="B1527" t="str">
            <v>Q/GALON</v>
          </cell>
          <cell r="C1527" t="str">
            <v>Q/GALON</v>
          </cell>
          <cell r="D1527" t="str">
            <v>Q/GALON</v>
          </cell>
          <cell r="E1527" t="str">
            <v>Q/GALON</v>
          </cell>
          <cell r="F1527" t="str">
            <v>Q/GALON</v>
          </cell>
          <cell r="G1527" t="str">
            <v>Q/GALON</v>
          </cell>
          <cell r="H1527" t="str">
            <v>Q/GALON</v>
          </cell>
          <cell r="I1527" t="str">
            <v>Q/GALON</v>
          </cell>
          <cell r="J1527" t="str">
            <v>Q/GALON</v>
          </cell>
        </row>
        <row r="1528">
          <cell r="A1528">
            <v>41036</v>
          </cell>
          <cell r="B1528">
            <v>37.44</v>
          </cell>
          <cell r="C1528">
            <v>36.92</v>
          </cell>
          <cell r="D1528">
            <v>36.33</v>
          </cell>
          <cell r="E1528">
            <v>32.74</v>
          </cell>
          <cell r="F1528">
            <v>35.5</v>
          </cell>
          <cell r="G1528">
            <v>24.11</v>
          </cell>
          <cell r="I1528">
            <v>37.94</v>
          </cell>
          <cell r="J1528">
            <v>17.598000000000003</v>
          </cell>
        </row>
        <row r="1529">
          <cell r="A1529">
            <v>41043</v>
          </cell>
          <cell r="B1529">
            <v>36.880000000000003</v>
          </cell>
          <cell r="C1529">
            <v>36.14</v>
          </cell>
          <cell r="D1529">
            <v>35.57</v>
          </cell>
          <cell r="E1529">
            <v>32.06</v>
          </cell>
          <cell r="F1529">
            <v>35.5</v>
          </cell>
          <cell r="G1529">
            <v>23.62</v>
          </cell>
          <cell r="I1529">
            <v>37.94</v>
          </cell>
          <cell r="J1529">
            <v>17.598000000000003</v>
          </cell>
        </row>
        <row r="1530">
          <cell r="A1530">
            <v>41050</v>
          </cell>
          <cell r="B1530">
            <v>35.93</v>
          </cell>
          <cell r="C1530">
            <v>35.97</v>
          </cell>
          <cell r="D1530">
            <v>34.78</v>
          </cell>
          <cell r="E1530">
            <v>31.25</v>
          </cell>
          <cell r="F1530">
            <v>35</v>
          </cell>
          <cell r="G1530">
            <v>23.37</v>
          </cell>
          <cell r="I1530">
            <v>37.94</v>
          </cell>
          <cell r="J1530">
            <v>17.598000000000003</v>
          </cell>
        </row>
        <row r="1531">
          <cell r="A1531">
            <v>41057</v>
          </cell>
          <cell r="B1531">
            <v>35.75</v>
          </cell>
          <cell r="C1531">
            <v>34.97</v>
          </cell>
          <cell r="D1531">
            <v>34.35</v>
          </cell>
          <cell r="E1531">
            <v>30.59</v>
          </cell>
          <cell r="F1531">
            <v>35</v>
          </cell>
          <cell r="G1531">
            <v>23.21</v>
          </cell>
          <cell r="I1531">
            <v>29.74</v>
          </cell>
          <cell r="J1531">
            <v>17.598000000000003</v>
          </cell>
        </row>
        <row r="1532">
          <cell r="A1532" t="str">
            <v>Promedio5-12</v>
          </cell>
          <cell r="B1532">
            <v>36.5</v>
          </cell>
          <cell r="C1532">
            <v>36</v>
          </cell>
          <cell r="D1532">
            <v>35.2575</v>
          </cell>
          <cell r="E1532">
            <v>31.660000000000004</v>
          </cell>
          <cell r="F1532">
            <v>35.25</v>
          </cell>
          <cell r="G1532">
            <v>23.577500000000001</v>
          </cell>
          <cell r="H1532" t="e">
            <v>#DIV/0!</v>
          </cell>
          <cell r="I1532">
            <v>35.89</v>
          </cell>
          <cell r="J1532">
            <v>17.598000000000003</v>
          </cell>
        </row>
        <row r="1534">
          <cell r="A1534" t="str">
            <v>FECHA</v>
          </cell>
          <cell r="B1534" t="str">
            <v>SUPERIOR 98</v>
          </cell>
          <cell r="C1534" t="str">
            <v>SUPERIOR 95</v>
          </cell>
          <cell r="D1534" t="str">
            <v>REGULAR</v>
          </cell>
          <cell r="E1534" t="str">
            <v>DIESEL</v>
          </cell>
          <cell r="F1534" t="str">
            <v>KEROSINA</v>
          </cell>
          <cell r="G1534" t="str">
            <v>BUNKER Rack</v>
          </cell>
          <cell r="H1534" t="str">
            <v>AV-GAS</v>
          </cell>
          <cell r="I1534" t="str">
            <v>Turbo-Jet A1</v>
          </cell>
          <cell r="J1534" t="str">
            <v>GLP</v>
          </cell>
        </row>
        <row r="1535">
          <cell r="B1535" t="str">
            <v>Q/GALON</v>
          </cell>
          <cell r="C1535" t="str">
            <v>Q/GALON</v>
          </cell>
          <cell r="D1535" t="str">
            <v>Q/GALON</v>
          </cell>
          <cell r="E1535" t="str">
            <v>Q/GALON</v>
          </cell>
          <cell r="F1535" t="str">
            <v>Q/GALON</v>
          </cell>
          <cell r="G1535" t="str">
            <v>Q/GALON</v>
          </cell>
          <cell r="H1535" t="str">
            <v>Q/GALON</v>
          </cell>
          <cell r="I1535" t="str">
            <v>Q/GALON</v>
          </cell>
          <cell r="J1535" t="str">
            <v>Q/GALON</v>
          </cell>
        </row>
        <row r="1536">
          <cell r="A1536">
            <v>41064</v>
          </cell>
          <cell r="B1536">
            <v>0</v>
          </cell>
          <cell r="C1536">
            <v>0</v>
          </cell>
          <cell r="D1536">
            <v>0</v>
          </cell>
          <cell r="E1536">
            <v>0</v>
          </cell>
          <cell r="G1536">
            <v>22.64</v>
          </cell>
          <cell r="I1536">
            <v>29.69</v>
          </cell>
        </row>
        <row r="1537">
          <cell r="A1537">
            <v>41071</v>
          </cell>
          <cell r="B1537">
            <v>0</v>
          </cell>
          <cell r="C1537">
            <v>0</v>
          </cell>
          <cell r="D1537">
            <v>0</v>
          </cell>
          <cell r="E1537">
            <v>0</v>
          </cell>
          <cell r="G1537">
            <v>22.64</v>
          </cell>
        </row>
        <row r="1538">
          <cell r="A1538">
            <v>41078</v>
          </cell>
          <cell r="B1538">
            <v>0</v>
          </cell>
          <cell r="C1538">
            <v>0</v>
          </cell>
          <cell r="D1538">
            <v>0</v>
          </cell>
          <cell r="E1538">
            <v>0</v>
          </cell>
        </row>
        <row r="1539">
          <cell r="A1539">
            <v>41085</v>
          </cell>
          <cell r="B1539">
            <v>0</v>
          </cell>
          <cell r="C1539">
            <v>0</v>
          </cell>
          <cell r="D1539">
            <v>0</v>
          </cell>
          <cell r="E1539">
            <v>0</v>
          </cell>
        </row>
        <row r="1540">
          <cell r="A1540" t="str">
            <v>-</v>
          </cell>
          <cell r="B1540">
            <v>0</v>
          </cell>
          <cell r="C1540">
            <v>0</v>
          </cell>
          <cell r="D1540">
            <v>0</v>
          </cell>
          <cell r="E1540">
            <v>0</v>
          </cell>
          <cell r="F1540" t="e">
            <v>#DIV/0!</v>
          </cell>
          <cell r="G1540">
            <v>22.64</v>
          </cell>
          <cell r="H1540" t="e">
            <v>#DIV/0!</v>
          </cell>
          <cell r="I1540">
            <v>29.69</v>
          </cell>
          <cell r="J1540" t="e">
            <v>#DIV/0!</v>
          </cell>
        </row>
        <row r="1541">
          <cell r="B1541" t="str">
            <v/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gasodieselglp"/>
      <sheetName val="gasolinas 05"/>
      <sheetName val="gasolinas 06"/>
      <sheetName val="Gasolinas 07"/>
      <sheetName val="Gasolinas 2008"/>
      <sheetName val="Gasolinas 2009"/>
      <sheetName val="Gasolinas 2010"/>
      <sheetName val="Gasolinas 2011 "/>
      <sheetName val="Gasolinas 2012"/>
      <sheetName val="Gasolinas 2013"/>
      <sheetName val="Gasolinas 2014"/>
      <sheetName val="Gasolinas 2015"/>
      <sheetName val="Gasolinas 2016"/>
      <sheetName val="Gasolinas 2017"/>
      <sheetName val="Gasolinas 2018"/>
      <sheetName val="Gasolinas 2019"/>
      <sheetName val="Gasolinas 2020"/>
      <sheetName val="Gasolineras 2021"/>
      <sheetName val="Gasolineras 2022"/>
      <sheetName val=" SC COMBUSTIBLES 2002-2021"/>
      <sheetName val="AS COMBUSTIBLES 2002-2021"/>
      <sheetName val="X-SEMANA-SC"/>
      <sheetName val="X-MES-AS"/>
      <sheetName val=" SC COMBUSTIBLES 2002-2020"/>
      <sheetName val="AS COMBUSTIBLES 2002-2020"/>
      <sheetName val="PROMEDIO GLP"/>
      <sheetName val="GLP WEB 2019"/>
      <sheetName val="Tabulacion"/>
      <sheetName val="Precio Sugeridos"/>
      <sheetName val="GLP por Cía 03 a 06"/>
      <sheetName val="X-MES-81-05 (2)"/>
      <sheetName val="X-MES-81-05"/>
      <sheetName val="Cuadre"/>
      <sheetName val="X-MES-81-05 (3)"/>
      <sheetName val="Hoja2"/>
      <sheetName val="GLP por Cía 03 a 06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9">
          <cell r="B19">
            <v>34.552499999999995</v>
          </cell>
          <cell r="C19">
            <v>33.842500000000001</v>
          </cell>
          <cell r="D19">
            <v>33.077500000000001</v>
          </cell>
          <cell r="E19">
            <v>30.195</v>
          </cell>
          <cell r="F19">
            <v>33.272500000000001</v>
          </cell>
          <cell r="G19">
            <v>32.947499999999998</v>
          </cell>
          <cell r="H19">
            <v>32.200000000000003</v>
          </cell>
          <cell r="I19">
            <v>29.29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gasodieselglp"/>
      <sheetName val="gasolinas 05"/>
      <sheetName val="gasolinas 06"/>
      <sheetName val="Gasolinas 07"/>
      <sheetName val="Gasolinas 2008"/>
      <sheetName val="Gasolinas 2009"/>
      <sheetName val="Gasolinas 2010"/>
      <sheetName val="Gasolinas 2011 "/>
      <sheetName val="Gasolinas 2012"/>
      <sheetName val="Gasolinas 2013"/>
      <sheetName val="Gasolinas 2014"/>
      <sheetName val="Gasolinas 2015"/>
      <sheetName val="Gasolinas 2016"/>
      <sheetName val="Gasolinas 2017"/>
      <sheetName val="Gasolinas 2018"/>
      <sheetName val="Gasolinas 2019"/>
      <sheetName val="Gasolinas 2020"/>
      <sheetName val="Gasolineras 2021"/>
      <sheetName val=" SC COMBUSTIBLES 2002-2020"/>
      <sheetName val="AS COMBUSTIBLES 2002-2020"/>
      <sheetName val="X-SEMANA-SC"/>
      <sheetName val="X-MES-AS"/>
      <sheetName val="GLP WEB 2019"/>
      <sheetName val="Tabulacion"/>
      <sheetName val="Precio Sugeridos"/>
      <sheetName val="GLP por Cía 03 a 06"/>
      <sheetName val="X-MES-81-05 (2)"/>
      <sheetName val="X-MES-81-05"/>
      <sheetName val="Cuadre"/>
      <sheetName val="X-MES-81-05 (3)"/>
      <sheetName val="Hoja2"/>
      <sheetName val="GLP por Cía 03 a 06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9">
          <cell r="C129">
            <v>123</v>
          </cell>
          <cell r="D129">
            <v>173</v>
          </cell>
          <cell r="E129" t="str">
            <v>N/V</v>
          </cell>
          <cell r="F129" t="str">
            <v>N/V</v>
          </cell>
          <cell r="G129">
            <v>492</v>
          </cell>
        </row>
        <row r="130">
          <cell r="C130">
            <v>123</v>
          </cell>
          <cell r="D130">
            <v>173</v>
          </cell>
          <cell r="E130">
            <v>197</v>
          </cell>
          <cell r="F130">
            <v>295</v>
          </cell>
          <cell r="G130">
            <v>492</v>
          </cell>
        </row>
        <row r="131">
          <cell r="C131">
            <v>123</v>
          </cell>
          <cell r="D131">
            <v>173</v>
          </cell>
          <cell r="E131">
            <v>197</v>
          </cell>
          <cell r="F131">
            <v>295</v>
          </cell>
          <cell r="G131">
            <v>492</v>
          </cell>
        </row>
        <row r="132">
          <cell r="C132"/>
          <cell r="D132"/>
          <cell r="E132"/>
          <cell r="F132"/>
          <cell r="G132"/>
        </row>
        <row r="133">
          <cell r="C133">
            <v>123</v>
          </cell>
          <cell r="D133">
            <v>173</v>
          </cell>
          <cell r="E133" t="str">
            <v>N/V</v>
          </cell>
          <cell r="F133" t="str">
            <v>N/V</v>
          </cell>
          <cell r="G133">
            <v>492</v>
          </cell>
        </row>
        <row r="134">
          <cell r="C134">
            <v>123</v>
          </cell>
          <cell r="D134">
            <v>173</v>
          </cell>
          <cell r="E134">
            <v>197</v>
          </cell>
          <cell r="F134">
            <v>295</v>
          </cell>
          <cell r="G134">
            <v>492</v>
          </cell>
        </row>
        <row r="135">
          <cell r="C135">
            <v>123</v>
          </cell>
          <cell r="D135">
            <v>173</v>
          </cell>
          <cell r="E135">
            <v>197</v>
          </cell>
          <cell r="F135">
            <v>295</v>
          </cell>
          <cell r="G135">
            <v>492</v>
          </cell>
        </row>
        <row r="136">
          <cell r="C136"/>
          <cell r="D136"/>
          <cell r="E136"/>
          <cell r="F136"/>
          <cell r="G136"/>
        </row>
        <row r="137">
          <cell r="C137">
            <v>115</v>
          </cell>
          <cell r="D137">
            <v>161</v>
          </cell>
          <cell r="E137" t="str">
            <v>N/V</v>
          </cell>
          <cell r="F137" t="str">
            <v>N/V</v>
          </cell>
          <cell r="G137">
            <v>460</v>
          </cell>
        </row>
        <row r="138">
          <cell r="C138">
            <v>115</v>
          </cell>
          <cell r="D138">
            <v>161</v>
          </cell>
          <cell r="E138">
            <v>184</v>
          </cell>
          <cell r="F138">
            <v>276</v>
          </cell>
          <cell r="G138">
            <v>460</v>
          </cell>
        </row>
        <row r="139">
          <cell r="C139">
            <v>115</v>
          </cell>
          <cell r="D139">
            <v>161</v>
          </cell>
          <cell r="E139">
            <v>184</v>
          </cell>
          <cell r="F139">
            <v>276</v>
          </cell>
          <cell r="G139">
            <v>460</v>
          </cell>
        </row>
        <row r="140">
          <cell r="C140"/>
          <cell r="D140"/>
          <cell r="E140"/>
          <cell r="F140"/>
          <cell r="G140"/>
        </row>
        <row r="141">
          <cell r="C141">
            <v>115</v>
          </cell>
          <cell r="D141">
            <v>161</v>
          </cell>
          <cell r="E141" t="str">
            <v>N/V</v>
          </cell>
          <cell r="F141" t="str">
            <v>N/V</v>
          </cell>
          <cell r="G141">
            <v>460</v>
          </cell>
        </row>
        <row r="142">
          <cell r="C142">
            <v>115</v>
          </cell>
          <cell r="D142">
            <v>161</v>
          </cell>
          <cell r="E142">
            <v>184</v>
          </cell>
          <cell r="F142">
            <v>276</v>
          </cell>
          <cell r="G142">
            <v>460</v>
          </cell>
        </row>
        <row r="143">
          <cell r="C143">
            <v>115</v>
          </cell>
          <cell r="D143">
            <v>161</v>
          </cell>
          <cell r="E143">
            <v>184</v>
          </cell>
          <cell r="F143">
            <v>276</v>
          </cell>
          <cell r="G143">
            <v>460</v>
          </cell>
        </row>
        <row r="144">
          <cell r="C144"/>
          <cell r="D144"/>
          <cell r="E144"/>
          <cell r="F144"/>
          <cell r="G144"/>
        </row>
        <row r="145">
          <cell r="C145">
            <v>115</v>
          </cell>
          <cell r="D145">
            <v>161</v>
          </cell>
          <cell r="E145" t="str">
            <v>N/V</v>
          </cell>
          <cell r="F145" t="str">
            <v>N/V</v>
          </cell>
          <cell r="G145">
            <v>460</v>
          </cell>
        </row>
        <row r="146">
          <cell r="C146">
            <v>115</v>
          </cell>
          <cell r="D146">
            <v>161</v>
          </cell>
          <cell r="E146">
            <v>184</v>
          </cell>
          <cell r="F146">
            <v>276</v>
          </cell>
          <cell r="G146">
            <v>460</v>
          </cell>
        </row>
        <row r="147">
          <cell r="C147">
            <v>115</v>
          </cell>
          <cell r="D147">
            <v>161</v>
          </cell>
          <cell r="E147">
            <v>184</v>
          </cell>
          <cell r="F147">
            <v>276</v>
          </cell>
          <cell r="G147">
            <v>460</v>
          </cell>
        </row>
        <row r="149">
          <cell r="C149">
            <v>115</v>
          </cell>
          <cell r="D149">
            <v>161</v>
          </cell>
          <cell r="E149" t="str">
            <v>N/V</v>
          </cell>
          <cell r="F149" t="str">
            <v>N/V</v>
          </cell>
          <cell r="G149">
            <v>460</v>
          </cell>
        </row>
        <row r="150">
          <cell r="C150">
            <v>115</v>
          </cell>
          <cell r="D150">
            <v>161</v>
          </cell>
          <cell r="E150">
            <v>184</v>
          </cell>
          <cell r="F150">
            <v>276</v>
          </cell>
          <cell r="G150">
            <v>460</v>
          </cell>
        </row>
        <row r="151">
          <cell r="C151">
            <v>115</v>
          </cell>
          <cell r="D151">
            <v>161</v>
          </cell>
          <cell r="E151">
            <v>184</v>
          </cell>
          <cell r="F151">
            <v>276</v>
          </cell>
          <cell r="G151">
            <v>460</v>
          </cell>
        </row>
        <row r="152">
          <cell r="C152"/>
          <cell r="D152"/>
          <cell r="E152"/>
          <cell r="F152"/>
          <cell r="G152"/>
        </row>
        <row r="153">
          <cell r="C153">
            <v>115</v>
          </cell>
          <cell r="D153">
            <v>161</v>
          </cell>
          <cell r="E153" t="str">
            <v>N/V</v>
          </cell>
          <cell r="F153" t="str">
            <v>N/V</v>
          </cell>
          <cell r="G153">
            <v>460</v>
          </cell>
        </row>
        <row r="154">
          <cell r="C154">
            <v>115</v>
          </cell>
          <cell r="D154">
            <v>161</v>
          </cell>
          <cell r="E154">
            <v>184</v>
          </cell>
          <cell r="F154">
            <v>276</v>
          </cell>
          <cell r="G154">
            <v>460</v>
          </cell>
        </row>
        <row r="155">
          <cell r="C155">
            <v>115</v>
          </cell>
          <cell r="D155">
            <v>161</v>
          </cell>
          <cell r="E155">
            <v>184</v>
          </cell>
          <cell r="F155">
            <v>276</v>
          </cell>
          <cell r="G155">
            <v>460</v>
          </cell>
        </row>
        <row r="156">
          <cell r="C156"/>
          <cell r="D156"/>
          <cell r="E156"/>
          <cell r="F156"/>
          <cell r="G156"/>
        </row>
        <row r="157">
          <cell r="C157">
            <v>115</v>
          </cell>
          <cell r="D157">
            <v>161</v>
          </cell>
          <cell r="E157" t="str">
            <v>N/V</v>
          </cell>
          <cell r="F157" t="str">
            <v>N/V</v>
          </cell>
          <cell r="G157">
            <v>460</v>
          </cell>
        </row>
        <row r="158">
          <cell r="C158">
            <v>115</v>
          </cell>
          <cell r="D158">
            <v>161</v>
          </cell>
          <cell r="E158">
            <v>184</v>
          </cell>
          <cell r="F158">
            <v>276</v>
          </cell>
          <cell r="G158">
            <v>460</v>
          </cell>
        </row>
        <row r="159">
          <cell r="C159">
            <v>115</v>
          </cell>
          <cell r="D159">
            <v>161</v>
          </cell>
          <cell r="E159">
            <v>184</v>
          </cell>
          <cell r="F159">
            <v>276</v>
          </cell>
          <cell r="G159">
            <v>460</v>
          </cell>
        </row>
        <row r="160">
          <cell r="C160"/>
          <cell r="D160"/>
          <cell r="E160"/>
          <cell r="F160"/>
          <cell r="G160"/>
        </row>
        <row r="161">
          <cell r="C161">
            <v>115</v>
          </cell>
          <cell r="D161">
            <v>161</v>
          </cell>
          <cell r="E161" t="str">
            <v>N/V</v>
          </cell>
          <cell r="F161" t="str">
            <v>N/V</v>
          </cell>
          <cell r="G161">
            <v>460</v>
          </cell>
        </row>
        <row r="162">
          <cell r="C162">
            <v>115</v>
          </cell>
          <cell r="D162">
            <v>161</v>
          </cell>
          <cell r="E162">
            <v>184</v>
          </cell>
          <cell r="F162">
            <v>276</v>
          </cell>
          <cell r="G162">
            <v>460</v>
          </cell>
        </row>
        <row r="163">
          <cell r="C163">
            <v>115</v>
          </cell>
          <cell r="D163">
            <v>161</v>
          </cell>
          <cell r="E163">
            <v>184</v>
          </cell>
          <cell r="F163">
            <v>276</v>
          </cell>
          <cell r="G163">
            <v>460</v>
          </cell>
        </row>
        <row r="164">
          <cell r="C164"/>
          <cell r="D164"/>
          <cell r="E164"/>
          <cell r="F164"/>
          <cell r="G164"/>
        </row>
        <row r="165">
          <cell r="C165">
            <v>115</v>
          </cell>
          <cell r="D165">
            <v>161</v>
          </cell>
          <cell r="E165" t="str">
            <v>N/V</v>
          </cell>
          <cell r="F165" t="str">
            <v>N/V</v>
          </cell>
          <cell r="G165">
            <v>460</v>
          </cell>
        </row>
        <row r="166">
          <cell r="C166">
            <v>115</v>
          </cell>
          <cell r="D166">
            <v>161</v>
          </cell>
          <cell r="E166">
            <v>184</v>
          </cell>
          <cell r="F166">
            <v>276</v>
          </cell>
          <cell r="G166">
            <v>460</v>
          </cell>
        </row>
        <row r="217">
          <cell r="C217">
            <v>115</v>
          </cell>
          <cell r="D217">
            <v>161</v>
          </cell>
          <cell r="E217" t="str">
            <v>N/V</v>
          </cell>
          <cell r="F217" t="str">
            <v>N/V</v>
          </cell>
          <cell r="G217">
            <v>460</v>
          </cell>
        </row>
        <row r="218">
          <cell r="C218">
            <v>115</v>
          </cell>
          <cell r="D218">
            <v>161</v>
          </cell>
          <cell r="E218">
            <v>184</v>
          </cell>
          <cell r="F218">
            <v>276</v>
          </cell>
          <cell r="G218">
            <v>460</v>
          </cell>
        </row>
        <row r="219">
          <cell r="C219">
            <v>115</v>
          </cell>
          <cell r="D219">
            <v>161</v>
          </cell>
          <cell r="E219">
            <v>184</v>
          </cell>
          <cell r="F219">
            <v>276</v>
          </cell>
          <cell r="G219">
            <v>460</v>
          </cell>
        </row>
        <row r="220">
          <cell r="C220"/>
          <cell r="D220"/>
          <cell r="E220"/>
          <cell r="F220"/>
          <cell r="G220"/>
        </row>
        <row r="221">
          <cell r="C221">
            <v>115</v>
          </cell>
          <cell r="D221">
            <v>161</v>
          </cell>
          <cell r="E221" t="str">
            <v>N/V</v>
          </cell>
          <cell r="F221" t="str">
            <v>N/V</v>
          </cell>
          <cell r="G221">
            <v>460</v>
          </cell>
        </row>
        <row r="222">
          <cell r="C222">
            <v>115</v>
          </cell>
          <cell r="D222">
            <v>161</v>
          </cell>
          <cell r="E222">
            <v>184</v>
          </cell>
          <cell r="F222">
            <v>276</v>
          </cell>
          <cell r="G222">
            <v>460</v>
          </cell>
        </row>
        <row r="223">
          <cell r="C223">
            <v>115</v>
          </cell>
          <cell r="D223">
            <v>161</v>
          </cell>
          <cell r="E223">
            <v>184</v>
          </cell>
          <cell r="F223">
            <v>276</v>
          </cell>
          <cell r="G223">
            <v>460</v>
          </cell>
        </row>
        <row r="224">
          <cell r="C224"/>
          <cell r="D224"/>
          <cell r="E224"/>
          <cell r="F224"/>
          <cell r="G224"/>
        </row>
        <row r="225">
          <cell r="C225">
            <v>115</v>
          </cell>
          <cell r="D225">
            <v>161</v>
          </cell>
          <cell r="E225" t="str">
            <v>N/V</v>
          </cell>
          <cell r="F225" t="str">
            <v>N/V</v>
          </cell>
          <cell r="G225">
            <v>460</v>
          </cell>
        </row>
        <row r="226">
          <cell r="C226">
            <v>115</v>
          </cell>
          <cell r="D226">
            <v>161</v>
          </cell>
          <cell r="E226">
            <v>184</v>
          </cell>
          <cell r="F226">
            <v>276</v>
          </cell>
          <cell r="G226">
            <v>460</v>
          </cell>
        </row>
        <row r="227">
          <cell r="C227">
            <v>115</v>
          </cell>
          <cell r="D227">
            <v>161</v>
          </cell>
          <cell r="E227">
            <v>184</v>
          </cell>
          <cell r="F227">
            <v>276</v>
          </cell>
          <cell r="G227">
            <v>460</v>
          </cell>
        </row>
        <row r="228">
          <cell r="C228"/>
          <cell r="D228"/>
          <cell r="E228"/>
          <cell r="F228"/>
          <cell r="G228"/>
        </row>
        <row r="229">
          <cell r="C229">
            <v>110</v>
          </cell>
          <cell r="D229">
            <v>154</v>
          </cell>
          <cell r="E229" t="str">
            <v>N/V</v>
          </cell>
          <cell r="F229" t="str">
            <v>N/V</v>
          </cell>
          <cell r="G229">
            <v>440</v>
          </cell>
        </row>
        <row r="230">
          <cell r="C230">
            <v>110</v>
          </cell>
          <cell r="D230">
            <v>154</v>
          </cell>
          <cell r="E230">
            <v>176</v>
          </cell>
          <cell r="F230">
            <v>264</v>
          </cell>
          <cell r="G230">
            <v>440</v>
          </cell>
        </row>
        <row r="231">
          <cell r="C231">
            <v>110</v>
          </cell>
          <cell r="D231">
            <v>154</v>
          </cell>
          <cell r="E231">
            <v>176</v>
          </cell>
          <cell r="F231">
            <v>264</v>
          </cell>
          <cell r="G231">
            <v>440</v>
          </cell>
        </row>
        <row r="232">
          <cell r="C232"/>
          <cell r="D232"/>
          <cell r="E232"/>
          <cell r="F232"/>
          <cell r="G232"/>
        </row>
        <row r="233">
          <cell r="C233">
            <v>110</v>
          </cell>
          <cell r="D233">
            <v>154</v>
          </cell>
          <cell r="E233" t="str">
            <v>N/V</v>
          </cell>
          <cell r="F233" t="str">
            <v>N/V</v>
          </cell>
          <cell r="G233">
            <v>440</v>
          </cell>
        </row>
        <row r="234">
          <cell r="C234">
            <v>110</v>
          </cell>
          <cell r="D234">
            <v>154</v>
          </cell>
          <cell r="E234">
            <v>176</v>
          </cell>
          <cell r="F234">
            <v>264</v>
          </cell>
          <cell r="G234">
            <v>440</v>
          </cell>
        </row>
        <row r="235">
          <cell r="C235">
            <v>110</v>
          </cell>
          <cell r="D235">
            <v>154</v>
          </cell>
          <cell r="E235">
            <v>176</v>
          </cell>
          <cell r="F235">
            <v>264</v>
          </cell>
          <cell r="G235">
            <v>440</v>
          </cell>
        </row>
        <row r="237">
          <cell r="C237">
            <v>110</v>
          </cell>
          <cell r="D237">
            <v>154</v>
          </cell>
          <cell r="E237" t="str">
            <v>N/V</v>
          </cell>
          <cell r="F237" t="str">
            <v>N/V</v>
          </cell>
          <cell r="G237">
            <v>440</v>
          </cell>
        </row>
        <row r="238">
          <cell r="C238">
            <v>110</v>
          </cell>
          <cell r="D238">
            <v>154</v>
          </cell>
          <cell r="E238">
            <v>176</v>
          </cell>
          <cell r="F238">
            <v>264</v>
          </cell>
          <cell r="G238">
            <v>440</v>
          </cell>
        </row>
        <row r="239">
          <cell r="C239">
            <v>110</v>
          </cell>
          <cell r="D239">
            <v>154</v>
          </cell>
          <cell r="E239">
            <v>176</v>
          </cell>
          <cell r="F239">
            <v>264</v>
          </cell>
          <cell r="G239">
            <v>440</v>
          </cell>
        </row>
        <row r="240">
          <cell r="C240"/>
          <cell r="D240"/>
          <cell r="E240"/>
          <cell r="F240"/>
          <cell r="G240"/>
        </row>
        <row r="241">
          <cell r="C241">
            <v>110</v>
          </cell>
          <cell r="D241">
            <v>154</v>
          </cell>
          <cell r="E241" t="str">
            <v>N/V</v>
          </cell>
          <cell r="F241" t="str">
            <v>N/V</v>
          </cell>
          <cell r="G241">
            <v>440</v>
          </cell>
        </row>
        <row r="242">
          <cell r="C242">
            <v>110</v>
          </cell>
          <cell r="D242">
            <v>154</v>
          </cell>
          <cell r="E242">
            <v>176</v>
          </cell>
          <cell r="F242">
            <v>264</v>
          </cell>
          <cell r="G242">
            <v>440</v>
          </cell>
        </row>
        <row r="243">
          <cell r="C243">
            <v>110</v>
          </cell>
          <cell r="D243">
            <v>154</v>
          </cell>
          <cell r="E243">
            <v>176</v>
          </cell>
          <cell r="F243">
            <v>264</v>
          </cell>
          <cell r="G243">
            <v>440</v>
          </cell>
        </row>
        <row r="244">
          <cell r="C244"/>
          <cell r="D244"/>
          <cell r="E244"/>
          <cell r="F244"/>
          <cell r="G244"/>
        </row>
        <row r="245">
          <cell r="C245">
            <v>110</v>
          </cell>
          <cell r="D245">
            <v>154</v>
          </cell>
          <cell r="E245" t="str">
            <v>N/V</v>
          </cell>
          <cell r="F245" t="str">
            <v>N/V</v>
          </cell>
          <cell r="G245">
            <v>440</v>
          </cell>
        </row>
        <row r="246">
          <cell r="C246">
            <v>110</v>
          </cell>
          <cell r="D246">
            <v>154</v>
          </cell>
          <cell r="E246">
            <v>176</v>
          </cell>
          <cell r="F246">
            <v>264</v>
          </cell>
          <cell r="G246">
            <v>440</v>
          </cell>
        </row>
        <row r="247">
          <cell r="C247">
            <v>110</v>
          </cell>
          <cell r="D247">
            <v>154</v>
          </cell>
          <cell r="E247">
            <v>176</v>
          </cell>
          <cell r="F247">
            <v>264</v>
          </cell>
          <cell r="G247">
            <v>440</v>
          </cell>
        </row>
        <row r="248">
          <cell r="C248"/>
          <cell r="D248"/>
          <cell r="E248"/>
          <cell r="F248"/>
          <cell r="G248"/>
        </row>
        <row r="249">
          <cell r="C249">
            <v>110</v>
          </cell>
          <cell r="D249">
            <v>154</v>
          </cell>
          <cell r="E249" t="str">
            <v>N/V</v>
          </cell>
          <cell r="F249" t="str">
            <v>N/V</v>
          </cell>
          <cell r="G249">
            <v>440</v>
          </cell>
        </row>
        <row r="250">
          <cell r="C250">
            <v>110</v>
          </cell>
          <cell r="D250">
            <v>154</v>
          </cell>
          <cell r="E250">
            <v>176</v>
          </cell>
          <cell r="F250">
            <v>264</v>
          </cell>
          <cell r="G250">
            <v>440</v>
          </cell>
        </row>
        <row r="251">
          <cell r="C251">
            <v>110</v>
          </cell>
          <cell r="D251">
            <v>154</v>
          </cell>
          <cell r="E251">
            <v>176</v>
          </cell>
          <cell r="F251">
            <v>264</v>
          </cell>
          <cell r="G251">
            <v>440</v>
          </cell>
        </row>
        <row r="252">
          <cell r="C252"/>
          <cell r="D252"/>
          <cell r="E252"/>
          <cell r="F252"/>
          <cell r="G252"/>
        </row>
        <row r="253">
          <cell r="C253">
            <v>110</v>
          </cell>
          <cell r="D253">
            <v>154</v>
          </cell>
          <cell r="E253" t="str">
            <v>N/V</v>
          </cell>
          <cell r="F253" t="str">
            <v>N/V</v>
          </cell>
          <cell r="G253">
            <v>440</v>
          </cell>
        </row>
        <row r="254">
          <cell r="C254">
            <v>110</v>
          </cell>
          <cell r="D254">
            <v>154</v>
          </cell>
          <cell r="E254">
            <v>176</v>
          </cell>
          <cell r="F254">
            <v>264</v>
          </cell>
          <cell r="G254">
            <v>440</v>
          </cell>
        </row>
        <row r="255">
          <cell r="C255">
            <v>110</v>
          </cell>
          <cell r="D255">
            <v>154</v>
          </cell>
          <cell r="E255">
            <v>176</v>
          </cell>
          <cell r="F255">
            <v>264</v>
          </cell>
          <cell r="G255">
            <v>440</v>
          </cell>
        </row>
        <row r="256">
          <cell r="C256"/>
          <cell r="D256"/>
          <cell r="E256"/>
          <cell r="F256"/>
          <cell r="G256"/>
        </row>
        <row r="257">
          <cell r="C257">
            <v>110</v>
          </cell>
          <cell r="D257">
            <v>154</v>
          </cell>
          <cell r="E257" t="str">
            <v>N/V</v>
          </cell>
          <cell r="F257" t="str">
            <v>N/V</v>
          </cell>
          <cell r="G257">
            <v>440</v>
          </cell>
        </row>
        <row r="258">
          <cell r="C258">
            <v>110</v>
          </cell>
          <cell r="D258">
            <v>154</v>
          </cell>
          <cell r="E258">
            <v>176</v>
          </cell>
          <cell r="F258">
            <v>264</v>
          </cell>
          <cell r="G258">
            <v>440</v>
          </cell>
        </row>
        <row r="259">
          <cell r="C259">
            <v>110</v>
          </cell>
          <cell r="D259">
            <v>154</v>
          </cell>
          <cell r="E259">
            <v>176</v>
          </cell>
          <cell r="F259">
            <v>264</v>
          </cell>
          <cell r="G259">
            <v>440</v>
          </cell>
        </row>
        <row r="260">
          <cell r="C260"/>
          <cell r="D260"/>
          <cell r="E260"/>
          <cell r="F260"/>
          <cell r="G260"/>
        </row>
        <row r="261">
          <cell r="C261">
            <v>110</v>
          </cell>
          <cell r="D261">
            <v>154</v>
          </cell>
          <cell r="E261" t="str">
            <v>N/V</v>
          </cell>
          <cell r="F261" t="str">
            <v>N/V</v>
          </cell>
          <cell r="G261">
            <v>440</v>
          </cell>
        </row>
        <row r="262">
          <cell r="C262">
            <v>110</v>
          </cell>
          <cell r="D262">
            <v>154</v>
          </cell>
          <cell r="E262">
            <v>176</v>
          </cell>
          <cell r="F262">
            <v>264</v>
          </cell>
          <cell r="G262">
            <v>440</v>
          </cell>
        </row>
        <row r="263">
          <cell r="C263">
            <v>110</v>
          </cell>
          <cell r="D263">
            <v>154</v>
          </cell>
          <cell r="E263">
            <v>176</v>
          </cell>
          <cell r="F263">
            <v>264</v>
          </cell>
          <cell r="G263">
            <v>440</v>
          </cell>
        </row>
        <row r="264">
          <cell r="C264"/>
          <cell r="D264"/>
          <cell r="E264"/>
          <cell r="F264"/>
          <cell r="G264"/>
        </row>
        <row r="265">
          <cell r="C265">
            <v>110</v>
          </cell>
          <cell r="D265">
            <v>154</v>
          </cell>
          <cell r="E265" t="str">
            <v>N/V</v>
          </cell>
          <cell r="F265" t="str">
            <v>N/V</v>
          </cell>
          <cell r="G265">
            <v>440</v>
          </cell>
        </row>
        <row r="266">
          <cell r="C266">
            <v>110</v>
          </cell>
          <cell r="D266">
            <v>154</v>
          </cell>
          <cell r="E266">
            <v>176</v>
          </cell>
          <cell r="F266">
            <v>264</v>
          </cell>
          <cell r="G266">
            <v>440</v>
          </cell>
        </row>
        <row r="267">
          <cell r="C267">
            <v>110</v>
          </cell>
          <cell r="D267">
            <v>154</v>
          </cell>
          <cell r="E267">
            <v>176</v>
          </cell>
          <cell r="F267">
            <v>264</v>
          </cell>
          <cell r="G267">
            <v>440</v>
          </cell>
        </row>
        <row r="268">
          <cell r="C268"/>
          <cell r="D268"/>
          <cell r="E268"/>
          <cell r="F268"/>
          <cell r="G268"/>
        </row>
        <row r="269">
          <cell r="C269">
            <v>110</v>
          </cell>
          <cell r="D269">
            <v>154</v>
          </cell>
          <cell r="E269" t="str">
            <v>N/V</v>
          </cell>
          <cell r="F269" t="str">
            <v>N/V</v>
          </cell>
          <cell r="G269">
            <v>440</v>
          </cell>
        </row>
        <row r="270">
          <cell r="C270">
            <v>110</v>
          </cell>
          <cell r="D270">
            <v>154</v>
          </cell>
          <cell r="E270">
            <v>176</v>
          </cell>
          <cell r="F270">
            <v>264</v>
          </cell>
          <cell r="G270">
            <v>440</v>
          </cell>
        </row>
        <row r="271">
          <cell r="C271">
            <v>110</v>
          </cell>
          <cell r="D271">
            <v>154</v>
          </cell>
          <cell r="E271">
            <v>176</v>
          </cell>
          <cell r="F271">
            <v>264</v>
          </cell>
          <cell r="G271">
            <v>440</v>
          </cell>
        </row>
        <row r="272">
          <cell r="C272"/>
          <cell r="D272"/>
          <cell r="E272"/>
          <cell r="F272"/>
          <cell r="G272"/>
        </row>
        <row r="273">
          <cell r="C273">
            <v>110</v>
          </cell>
          <cell r="D273">
            <v>154</v>
          </cell>
          <cell r="E273" t="str">
            <v>N/V</v>
          </cell>
          <cell r="F273" t="str">
            <v>N/V</v>
          </cell>
          <cell r="G273">
            <v>440</v>
          </cell>
        </row>
        <row r="274">
          <cell r="C274">
            <v>110</v>
          </cell>
          <cell r="D274">
            <v>154</v>
          </cell>
          <cell r="E274">
            <v>176</v>
          </cell>
          <cell r="F274">
            <v>264</v>
          </cell>
          <cell r="G274">
            <v>440</v>
          </cell>
        </row>
        <row r="275">
          <cell r="C275">
            <v>110</v>
          </cell>
          <cell r="D275">
            <v>154</v>
          </cell>
          <cell r="E275">
            <v>176</v>
          </cell>
          <cell r="F275">
            <v>264</v>
          </cell>
          <cell r="G275">
            <v>440</v>
          </cell>
        </row>
        <row r="276">
          <cell r="C276"/>
          <cell r="D276"/>
          <cell r="E276"/>
          <cell r="F276"/>
          <cell r="G276"/>
        </row>
        <row r="277">
          <cell r="C277">
            <v>110</v>
          </cell>
          <cell r="D277">
            <v>154</v>
          </cell>
          <cell r="E277" t="str">
            <v>N/V</v>
          </cell>
          <cell r="F277" t="str">
            <v>N/V</v>
          </cell>
          <cell r="G277">
            <v>440</v>
          </cell>
        </row>
        <row r="278">
          <cell r="C278">
            <v>110</v>
          </cell>
          <cell r="D278">
            <v>154</v>
          </cell>
          <cell r="E278">
            <v>176</v>
          </cell>
          <cell r="F278">
            <v>264</v>
          </cell>
          <cell r="G278">
            <v>440</v>
          </cell>
        </row>
        <row r="279">
          <cell r="C279">
            <v>110</v>
          </cell>
          <cell r="D279">
            <v>154</v>
          </cell>
          <cell r="E279">
            <v>176</v>
          </cell>
          <cell r="F279">
            <v>264</v>
          </cell>
          <cell r="G279">
            <v>440</v>
          </cell>
        </row>
        <row r="280">
          <cell r="C280"/>
          <cell r="D280"/>
          <cell r="E280"/>
          <cell r="F280"/>
          <cell r="G280"/>
        </row>
        <row r="281">
          <cell r="C281">
            <v>110</v>
          </cell>
          <cell r="D281">
            <v>154</v>
          </cell>
          <cell r="E281" t="str">
            <v>N/V</v>
          </cell>
          <cell r="F281" t="str">
            <v>N/V</v>
          </cell>
          <cell r="G281">
            <v>440</v>
          </cell>
        </row>
        <row r="282">
          <cell r="C282">
            <v>110</v>
          </cell>
          <cell r="D282">
            <v>154</v>
          </cell>
          <cell r="E282">
            <v>176</v>
          </cell>
          <cell r="F282">
            <v>264</v>
          </cell>
          <cell r="G282">
            <v>440</v>
          </cell>
        </row>
        <row r="283">
          <cell r="C283">
            <v>110</v>
          </cell>
          <cell r="D283">
            <v>154</v>
          </cell>
          <cell r="E283">
            <v>176</v>
          </cell>
          <cell r="F283">
            <v>264</v>
          </cell>
          <cell r="G283">
            <v>440</v>
          </cell>
        </row>
        <row r="284">
          <cell r="C284"/>
          <cell r="D284"/>
          <cell r="E284"/>
          <cell r="F284"/>
          <cell r="G284"/>
        </row>
        <row r="285">
          <cell r="C285">
            <v>110</v>
          </cell>
          <cell r="D285">
            <v>154</v>
          </cell>
          <cell r="E285" t="str">
            <v>N/V</v>
          </cell>
          <cell r="F285" t="str">
            <v>N/V</v>
          </cell>
          <cell r="G285">
            <v>440</v>
          </cell>
        </row>
        <row r="286">
          <cell r="C286">
            <v>110</v>
          </cell>
          <cell r="D286">
            <v>154</v>
          </cell>
          <cell r="E286">
            <v>176</v>
          </cell>
          <cell r="F286">
            <v>264</v>
          </cell>
          <cell r="G286">
            <v>440</v>
          </cell>
        </row>
        <row r="287">
          <cell r="C287">
            <v>110</v>
          </cell>
          <cell r="D287">
            <v>154</v>
          </cell>
          <cell r="E287">
            <v>176</v>
          </cell>
          <cell r="F287">
            <v>264</v>
          </cell>
          <cell r="G287">
            <v>440</v>
          </cell>
        </row>
        <row r="288">
          <cell r="C288"/>
          <cell r="D288"/>
          <cell r="E288"/>
          <cell r="F288"/>
          <cell r="G288"/>
        </row>
        <row r="289">
          <cell r="C289">
            <v>100</v>
          </cell>
          <cell r="D289">
            <v>140</v>
          </cell>
          <cell r="E289" t="str">
            <v>N/V</v>
          </cell>
          <cell r="F289" t="str">
            <v>N/V</v>
          </cell>
          <cell r="G289">
            <v>400</v>
          </cell>
        </row>
        <row r="290">
          <cell r="C290">
            <v>100</v>
          </cell>
          <cell r="D290">
            <v>140</v>
          </cell>
          <cell r="E290">
            <v>160</v>
          </cell>
          <cell r="F290">
            <v>240</v>
          </cell>
          <cell r="G290">
            <v>400</v>
          </cell>
        </row>
        <row r="291">
          <cell r="C291">
            <v>100</v>
          </cell>
          <cell r="D291">
            <v>140</v>
          </cell>
          <cell r="E291">
            <v>160</v>
          </cell>
          <cell r="F291">
            <v>240</v>
          </cell>
          <cell r="G291">
            <v>400</v>
          </cell>
        </row>
        <row r="292">
          <cell r="C292"/>
          <cell r="D292"/>
          <cell r="E292"/>
          <cell r="F292"/>
          <cell r="G292"/>
        </row>
        <row r="293">
          <cell r="C293">
            <v>100</v>
          </cell>
          <cell r="D293">
            <v>140</v>
          </cell>
          <cell r="E293" t="str">
            <v>N/V</v>
          </cell>
          <cell r="F293" t="str">
            <v>N/V</v>
          </cell>
          <cell r="G293">
            <v>400</v>
          </cell>
        </row>
        <row r="294">
          <cell r="C294">
            <v>100</v>
          </cell>
          <cell r="D294">
            <v>140</v>
          </cell>
          <cell r="E294">
            <v>160</v>
          </cell>
          <cell r="F294">
            <v>240</v>
          </cell>
          <cell r="G294">
            <v>400</v>
          </cell>
        </row>
        <row r="295">
          <cell r="C295">
            <v>100</v>
          </cell>
          <cell r="D295">
            <v>140</v>
          </cell>
          <cell r="E295">
            <v>160</v>
          </cell>
          <cell r="F295">
            <v>240</v>
          </cell>
          <cell r="G295">
            <v>400</v>
          </cell>
        </row>
        <row r="296">
          <cell r="C296"/>
          <cell r="D296"/>
          <cell r="E296"/>
          <cell r="F296"/>
          <cell r="G296"/>
        </row>
        <row r="297">
          <cell r="C297">
            <v>100</v>
          </cell>
          <cell r="D297">
            <v>140</v>
          </cell>
          <cell r="E297" t="str">
            <v>N/V</v>
          </cell>
          <cell r="F297" t="str">
            <v>N/V</v>
          </cell>
          <cell r="G297">
            <v>400</v>
          </cell>
        </row>
        <row r="298">
          <cell r="C298">
            <v>100</v>
          </cell>
          <cell r="D298">
            <v>140</v>
          </cell>
          <cell r="E298">
            <v>160</v>
          </cell>
          <cell r="F298">
            <v>240</v>
          </cell>
          <cell r="G298">
            <v>400</v>
          </cell>
        </row>
        <row r="299">
          <cell r="C299">
            <v>100</v>
          </cell>
          <cell r="D299">
            <v>140</v>
          </cell>
          <cell r="E299">
            <v>160</v>
          </cell>
          <cell r="F299">
            <v>240</v>
          </cell>
          <cell r="G299">
            <v>400</v>
          </cell>
        </row>
        <row r="300">
          <cell r="C300"/>
          <cell r="D300"/>
          <cell r="E300"/>
          <cell r="F300"/>
          <cell r="G300"/>
        </row>
        <row r="301">
          <cell r="C301">
            <v>100</v>
          </cell>
          <cell r="D301">
            <v>140</v>
          </cell>
          <cell r="E301" t="str">
            <v>N/V</v>
          </cell>
          <cell r="F301" t="str">
            <v>N/V</v>
          </cell>
          <cell r="G301">
            <v>400</v>
          </cell>
        </row>
        <row r="302">
          <cell r="C302">
            <v>100</v>
          </cell>
          <cell r="D302">
            <v>140</v>
          </cell>
          <cell r="E302">
            <v>160</v>
          </cell>
          <cell r="F302">
            <v>240</v>
          </cell>
          <cell r="G302">
            <v>400</v>
          </cell>
        </row>
        <row r="303">
          <cell r="C303">
            <v>100</v>
          </cell>
          <cell r="D303">
            <v>140</v>
          </cell>
          <cell r="E303">
            <v>160</v>
          </cell>
          <cell r="F303">
            <v>240</v>
          </cell>
          <cell r="G303">
            <v>400</v>
          </cell>
        </row>
        <row r="304">
          <cell r="C304"/>
          <cell r="D304"/>
          <cell r="E304"/>
          <cell r="F304"/>
          <cell r="G304"/>
        </row>
        <row r="305">
          <cell r="C305">
            <v>100</v>
          </cell>
          <cell r="D305">
            <v>140</v>
          </cell>
          <cell r="E305" t="str">
            <v>N/V</v>
          </cell>
          <cell r="F305" t="str">
            <v>N/V</v>
          </cell>
          <cell r="G305">
            <v>400</v>
          </cell>
        </row>
        <row r="306">
          <cell r="C306">
            <v>100</v>
          </cell>
          <cell r="D306">
            <v>140</v>
          </cell>
          <cell r="E306">
            <v>160</v>
          </cell>
          <cell r="F306">
            <v>240</v>
          </cell>
          <cell r="G306">
            <v>400</v>
          </cell>
        </row>
        <row r="307">
          <cell r="C307">
            <v>100</v>
          </cell>
          <cell r="D307">
            <v>140</v>
          </cell>
          <cell r="E307">
            <v>160</v>
          </cell>
          <cell r="F307">
            <v>240</v>
          </cell>
          <cell r="G307">
            <v>400</v>
          </cell>
        </row>
        <row r="308">
          <cell r="C308"/>
          <cell r="D308"/>
          <cell r="E308"/>
          <cell r="F308"/>
          <cell r="G308"/>
        </row>
        <row r="309">
          <cell r="C309">
            <v>100</v>
          </cell>
          <cell r="D309">
            <v>140</v>
          </cell>
          <cell r="E309" t="str">
            <v>N/V</v>
          </cell>
          <cell r="F309" t="str">
            <v>N/V</v>
          </cell>
          <cell r="G309">
            <v>400</v>
          </cell>
        </row>
        <row r="310">
          <cell r="C310">
            <v>100</v>
          </cell>
          <cell r="D310">
            <v>140</v>
          </cell>
          <cell r="E310">
            <v>160</v>
          </cell>
          <cell r="F310">
            <v>240</v>
          </cell>
          <cell r="G310">
            <v>400</v>
          </cell>
        </row>
        <row r="311">
          <cell r="C311">
            <v>100</v>
          </cell>
          <cell r="D311">
            <v>140</v>
          </cell>
          <cell r="E311">
            <v>160</v>
          </cell>
          <cell r="F311">
            <v>240</v>
          </cell>
          <cell r="G311">
            <v>400</v>
          </cell>
        </row>
        <row r="312">
          <cell r="C312"/>
          <cell r="D312"/>
          <cell r="E312"/>
          <cell r="F312"/>
          <cell r="G312"/>
        </row>
        <row r="313">
          <cell r="C313">
            <v>100</v>
          </cell>
          <cell r="D313">
            <v>140</v>
          </cell>
          <cell r="E313" t="str">
            <v>N/V</v>
          </cell>
          <cell r="F313" t="str">
            <v>N/V</v>
          </cell>
          <cell r="G313">
            <v>400</v>
          </cell>
        </row>
        <row r="314">
          <cell r="C314">
            <v>100</v>
          </cell>
          <cell r="D314">
            <v>140</v>
          </cell>
          <cell r="E314">
            <v>160</v>
          </cell>
          <cell r="F314">
            <v>240</v>
          </cell>
          <cell r="G314">
            <v>400</v>
          </cell>
        </row>
        <row r="315">
          <cell r="C315">
            <v>100</v>
          </cell>
          <cell r="D315">
            <v>140</v>
          </cell>
          <cell r="E315">
            <v>160</v>
          </cell>
          <cell r="F315">
            <v>240</v>
          </cell>
          <cell r="G315">
            <v>400</v>
          </cell>
        </row>
        <row r="316">
          <cell r="C316"/>
          <cell r="D316"/>
          <cell r="E316"/>
          <cell r="F316"/>
          <cell r="G316"/>
        </row>
        <row r="317">
          <cell r="C317">
            <v>110</v>
          </cell>
          <cell r="D317">
            <v>154</v>
          </cell>
          <cell r="E317" t="str">
            <v>N/V</v>
          </cell>
          <cell r="F317" t="str">
            <v>N/V</v>
          </cell>
          <cell r="G317">
            <v>440</v>
          </cell>
        </row>
        <row r="318">
          <cell r="C318">
            <v>110</v>
          </cell>
          <cell r="D318">
            <v>154</v>
          </cell>
          <cell r="E318">
            <v>176</v>
          </cell>
          <cell r="F318">
            <v>264</v>
          </cell>
          <cell r="G318">
            <v>440</v>
          </cell>
        </row>
        <row r="319">
          <cell r="C319">
            <v>110</v>
          </cell>
          <cell r="D319">
            <v>154</v>
          </cell>
          <cell r="E319">
            <v>176</v>
          </cell>
          <cell r="F319">
            <v>264</v>
          </cell>
          <cell r="G319">
            <v>440</v>
          </cell>
        </row>
        <row r="320">
          <cell r="C320"/>
          <cell r="D320"/>
          <cell r="E320"/>
          <cell r="F320"/>
          <cell r="G320"/>
        </row>
        <row r="321">
          <cell r="C321">
            <v>110</v>
          </cell>
          <cell r="D321">
            <v>154</v>
          </cell>
          <cell r="E321" t="str">
            <v>N/V</v>
          </cell>
          <cell r="F321" t="str">
            <v>N/V</v>
          </cell>
          <cell r="G321">
            <v>440</v>
          </cell>
        </row>
        <row r="322">
          <cell r="C322">
            <v>110</v>
          </cell>
          <cell r="D322">
            <v>154</v>
          </cell>
          <cell r="E322">
            <v>176</v>
          </cell>
          <cell r="F322">
            <v>264</v>
          </cell>
          <cell r="G322">
            <v>440</v>
          </cell>
        </row>
        <row r="323">
          <cell r="C323">
            <v>110</v>
          </cell>
          <cell r="D323">
            <v>154</v>
          </cell>
          <cell r="E323">
            <v>176</v>
          </cell>
          <cell r="F323">
            <v>264</v>
          </cell>
          <cell r="G323">
            <v>440</v>
          </cell>
        </row>
        <row r="324">
          <cell r="C324"/>
          <cell r="D324"/>
          <cell r="E324"/>
          <cell r="F324"/>
          <cell r="G324"/>
        </row>
        <row r="325">
          <cell r="C325">
            <v>110</v>
          </cell>
          <cell r="D325">
            <v>154</v>
          </cell>
          <cell r="E325" t="str">
            <v>N/V</v>
          </cell>
          <cell r="F325" t="str">
            <v>N/V</v>
          </cell>
          <cell r="G325">
            <v>440</v>
          </cell>
        </row>
        <row r="326">
          <cell r="C326">
            <v>110</v>
          </cell>
          <cell r="D326">
            <v>154</v>
          </cell>
          <cell r="E326">
            <v>176</v>
          </cell>
          <cell r="F326">
            <v>264</v>
          </cell>
          <cell r="G326">
            <v>440</v>
          </cell>
        </row>
        <row r="327">
          <cell r="C327">
            <v>110</v>
          </cell>
          <cell r="D327">
            <v>154</v>
          </cell>
          <cell r="E327">
            <v>176</v>
          </cell>
          <cell r="F327">
            <v>264</v>
          </cell>
          <cell r="G327">
            <v>440</v>
          </cell>
        </row>
        <row r="328">
          <cell r="C328"/>
          <cell r="D328"/>
          <cell r="E328"/>
          <cell r="F328"/>
          <cell r="G328"/>
        </row>
        <row r="329">
          <cell r="C329">
            <v>110</v>
          </cell>
          <cell r="D329">
            <v>154</v>
          </cell>
          <cell r="E329" t="str">
            <v>N/V</v>
          </cell>
          <cell r="F329" t="str">
            <v>N/V</v>
          </cell>
          <cell r="G329">
            <v>440</v>
          </cell>
        </row>
        <row r="330">
          <cell r="C330">
            <v>110</v>
          </cell>
          <cell r="D330">
            <v>154</v>
          </cell>
          <cell r="E330">
            <v>176</v>
          </cell>
          <cell r="F330">
            <v>264</v>
          </cell>
          <cell r="G330">
            <v>440</v>
          </cell>
        </row>
        <row r="331">
          <cell r="C331">
            <v>110</v>
          </cell>
          <cell r="D331">
            <v>154</v>
          </cell>
          <cell r="E331">
            <v>176</v>
          </cell>
          <cell r="F331">
            <v>264</v>
          </cell>
          <cell r="G331">
            <v>440</v>
          </cell>
        </row>
        <row r="332">
          <cell r="C332"/>
          <cell r="D332"/>
          <cell r="E332"/>
          <cell r="F332"/>
          <cell r="G332"/>
        </row>
        <row r="333">
          <cell r="C333">
            <v>110</v>
          </cell>
          <cell r="D333">
            <v>154</v>
          </cell>
          <cell r="E333" t="str">
            <v>N/V</v>
          </cell>
          <cell r="F333" t="str">
            <v>N/V</v>
          </cell>
          <cell r="G333">
            <v>440</v>
          </cell>
        </row>
        <row r="334">
          <cell r="C334">
            <v>110</v>
          </cell>
          <cell r="D334">
            <v>154</v>
          </cell>
          <cell r="E334">
            <v>176</v>
          </cell>
          <cell r="F334">
            <v>264</v>
          </cell>
          <cell r="G334">
            <v>440</v>
          </cell>
        </row>
        <row r="335">
          <cell r="C335">
            <v>110</v>
          </cell>
          <cell r="D335">
            <v>154</v>
          </cell>
          <cell r="E335">
            <v>176</v>
          </cell>
          <cell r="F335">
            <v>264</v>
          </cell>
          <cell r="G335">
            <v>440</v>
          </cell>
        </row>
        <row r="336">
          <cell r="C336"/>
          <cell r="D336"/>
          <cell r="E336"/>
          <cell r="F336"/>
          <cell r="G336"/>
        </row>
        <row r="337">
          <cell r="C337">
            <v>110</v>
          </cell>
          <cell r="D337">
            <v>154</v>
          </cell>
          <cell r="E337" t="str">
            <v>N/V</v>
          </cell>
          <cell r="F337" t="str">
            <v>N/V</v>
          </cell>
          <cell r="G337">
            <v>440</v>
          </cell>
        </row>
        <row r="338">
          <cell r="C338">
            <v>110</v>
          </cell>
          <cell r="D338">
            <v>154</v>
          </cell>
          <cell r="E338">
            <v>176</v>
          </cell>
          <cell r="F338">
            <v>264</v>
          </cell>
          <cell r="G338">
            <v>440</v>
          </cell>
        </row>
        <row r="339">
          <cell r="C339">
            <v>110</v>
          </cell>
          <cell r="D339">
            <v>154</v>
          </cell>
          <cell r="E339">
            <v>176</v>
          </cell>
          <cell r="F339">
            <v>264</v>
          </cell>
          <cell r="G339">
            <v>440</v>
          </cell>
        </row>
        <row r="340">
          <cell r="C340"/>
          <cell r="D340"/>
          <cell r="E340"/>
          <cell r="F340"/>
          <cell r="G340"/>
        </row>
        <row r="341">
          <cell r="C341">
            <v>110</v>
          </cell>
          <cell r="D341">
            <v>154</v>
          </cell>
          <cell r="E341" t="str">
            <v>N/V</v>
          </cell>
          <cell r="F341" t="str">
            <v>N/V</v>
          </cell>
          <cell r="G341">
            <v>440</v>
          </cell>
        </row>
        <row r="342">
          <cell r="C342">
            <v>110</v>
          </cell>
          <cell r="D342">
            <v>154</v>
          </cell>
          <cell r="E342">
            <v>176</v>
          </cell>
          <cell r="F342">
            <v>264</v>
          </cell>
          <cell r="G342">
            <v>440</v>
          </cell>
        </row>
        <row r="343">
          <cell r="C343">
            <v>110</v>
          </cell>
          <cell r="D343">
            <v>154</v>
          </cell>
          <cell r="E343">
            <v>176</v>
          </cell>
          <cell r="F343">
            <v>264</v>
          </cell>
          <cell r="G343">
            <v>440</v>
          </cell>
        </row>
        <row r="344">
          <cell r="C344"/>
          <cell r="D344"/>
          <cell r="E344"/>
          <cell r="F344"/>
          <cell r="G344"/>
        </row>
        <row r="345">
          <cell r="C345">
            <v>110</v>
          </cell>
          <cell r="D345">
            <v>154</v>
          </cell>
          <cell r="E345" t="str">
            <v>N/V</v>
          </cell>
          <cell r="F345" t="str">
            <v>N/V</v>
          </cell>
          <cell r="G345">
            <v>440</v>
          </cell>
        </row>
        <row r="346">
          <cell r="C346">
            <v>110</v>
          </cell>
          <cell r="D346">
            <v>154</v>
          </cell>
          <cell r="E346">
            <v>176</v>
          </cell>
          <cell r="F346">
            <v>264</v>
          </cell>
          <cell r="G346">
            <v>440</v>
          </cell>
        </row>
        <row r="347">
          <cell r="C347">
            <v>110</v>
          </cell>
          <cell r="D347">
            <v>154</v>
          </cell>
          <cell r="E347">
            <v>176</v>
          </cell>
          <cell r="F347">
            <v>264</v>
          </cell>
          <cell r="G347">
            <v>440</v>
          </cell>
        </row>
        <row r="348">
          <cell r="C348"/>
          <cell r="D348"/>
          <cell r="E348"/>
          <cell r="F348"/>
          <cell r="G348"/>
        </row>
        <row r="349">
          <cell r="C349">
            <v>110</v>
          </cell>
          <cell r="D349">
            <v>154</v>
          </cell>
          <cell r="E349" t="str">
            <v>N/V</v>
          </cell>
          <cell r="F349" t="str">
            <v>N/V</v>
          </cell>
          <cell r="G349">
            <v>440</v>
          </cell>
        </row>
        <row r="350">
          <cell r="C350">
            <v>110</v>
          </cell>
          <cell r="D350">
            <v>154</v>
          </cell>
          <cell r="E350">
            <v>176</v>
          </cell>
          <cell r="F350">
            <v>264</v>
          </cell>
          <cell r="G350">
            <v>440</v>
          </cell>
        </row>
        <row r="351">
          <cell r="C351">
            <v>110</v>
          </cell>
          <cell r="D351">
            <v>154</v>
          </cell>
          <cell r="E351">
            <v>176</v>
          </cell>
          <cell r="F351">
            <v>264</v>
          </cell>
          <cell r="G351">
            <v>440</v>
          </cell>
        </row>
        <row r="352">
          <cell r="C352"/>
          <cell r="D352"/>
          <cell r="E352"/>
          <cell r="F352"/>
          <cell r="G352"/>
        </row>
        <row r="353">
          <cell r="C353">
            <v>110</v>
          </cell>
          <cell r="D353">
            <v>154</v>
          </cell>
          <cell r="E353" t="str">
            <v>N/V</v>
          </cell>
          <cell r="F353" t="str">
            <v>N/V</v>
          </cell>
          <cell r="G353">
            <v>440</v>
          </cell>
        </row>
        <row r="354">
          <cell r="C354">
            <v>110</v>
          </cell>
          <cell r="D354">
            <v>154</v>
          </cell>
          <cell r="E354">
            <v>176</v>
          </cell>
          <cell r="F354">
            <v>264</v>
          </cell>
          <cell r="G354">
            <v>440</v>
          </cell>
        </row>
        <row r="355">
          <cell r="C355">
            <v>110</v>
          </cell>
          <cell r="D355">
            <v>154</v>
          </cell>
          <cell r="E355">
            <v>176</v>
          </cell>
          <cell r="F355">
            <v>264</v>
          </cell>
          <cell r="G355">
            <v>440</v>
          </cell>
        </row>
        <row r="356">
          <cell r="C356"/>
          <cell r="D356"/>
          <cell r="E356"/>
          <cell r="F356"/>
          <cell r="G356"/>
        </row>
        <row r="357">
          <cell r="C357">
            <v>110</v>
          </cell>
          <cell r="D357">
            <v>154</v>
          </cell>
          <cell r="E357" t="str">
            <v>N/V</v>
          </cell>
          <cell r="F357" t="str">
            <v>N/V</v>
          </cell>
          <cell r="G357">
            <v>440</v>
          </cell>
        </row>
        <row r="358">
          <cell r="C358">
            <v>110</v>
          </cell>
          <cell r="D358">
            <v>154</v>
          </cell>
          <cell r="E358">
            <v>176</v>
          </cell>
          <cell r="F358">
            <v>264</v>
          </cell>
          <cell r="G358">
            <v>440</v>
          </cell>
        </row>
        <row r="359">
          <cell r="C359">
            <v>110</v>
          </cell>
          <cell r="D359">
            <v>154</v>
          </cell>
          <cell r="E359">
            <v>176</v>
          </cell>
          <cell r="F359">
            <v>264</v>
          </cell>
          <cell r="G359">
            <v>440</v>
          </cell>
        </row>
        <row r="360">
          <cell r="C360"/>
          <cell r="D360"/>
          <cell r="E360"/>
          <cell r="F360"/>
          <cell r="G360"/>
        </row>
        <row r="361">
          <cell r="C361">
            <v>110</v>
          </cell>
          <cell r="D361">
            <v>154</v>
          </cell>
          <cell r="E361" t="str">
            <v>N/V</v>
          </cell>
          <cell r="F361" t="str">
            <v>N/V</v>
          </cell>
          <cell r="G361">
            <v>440</v>
          </cell>
        </row>
        <row r="362">
          <cell r="C362">
            <v>110</v>
          </cell>
          <cell r="D362">
            <v>154</v>
          </cell>
          <cell r="E362">
            <v>176</v>
          </cell>
          <cell r="F362">
            <v>264</v>
          </cell>
          <cell r="G362">
            <v>440</v>
          </cell>
        </row>
        <row r="363">
          <cell r="C363">
            <v>110</v>
          </cell>
          <cell r="D363">
            <v>154</v>
          </cell>
          <cell r="E363">
            <v>176</v>
          </cell>
          <cell r="F363">
            <v>264</v>
          </cell>
          <cell r="G363">
            <v>440</v>
          </cell>
        </row>
        <row r="364">
          <cell r="C364"/>
          <cell r="D364"/>
          <cell r="E364"/>
          <cell r="F364"/>
          <cell r="G364"/>
        </row>
        <row r="365">
          <cell r="C365">
            <v>110</v>
          </cell>
          <cell r="D365">
            <v>154</v>
          </cell>
          <cell r="E365" t="str">
            <v>N/V</v>
          </cell>
          <cell r="F365" t="str">
            <v>N/V</v>
          </cell>
          <cell r="G365">
            <v>440</v>
          </cell>
        </row>
        <row r="366">
          <cell r="C366">
            <v>110</v>
          </cell>
          <cell r="D366">
            <v>154</v>
          </cell>
          <cell r="E366">
            <v>176</v>
          </cell>
          <cell r="F366">
            <v>264</v>
          </cell>
          <cell r="G366">
            <v>440</v>
          </cell>
        </row>
        <row r="367">
          <cell r="C367">
            <v>110</v>
          </cell>
          <cell r="D367">
            <v>154</v>
          </cell>
          <cell r="E367">
            <v>176</v>
          </cell>
          <cell r="F367">
            <v>264</v>
          </cell>
          <cell r="G367">
            <v>440</v>
          </cell>
        </row>
        <row r="368">
          <cell r="C368"/>
          <cell r="D368"/>
          <cell r="E368"/>
          <cell r="F368"/>
          <cell r="G368"/>
        </row>
        <row r="369">
          <cell r="C369">
            <v>110</v>
          </cell>
          <cell r="D369">
            <v>154</v>
          </cell>
          <cell r="E369" t="str">
            <v>N/V</v>
          </cell>
          <cell r="F369" t="str">
            <v>N/V</v>
          </cell>
          <cell r="G369">
            <v>440</v>
          </cell>
        </row>
        <row r="370">
          <cell r="C370">
            <v>110</v>
          </cell>
          <cell r="D370">
            <v>154</v>
          </cell>
          <cell r="E370">
            <v>176</v>
          </cell>
          <cell r="F370">
            <v>264</v>
          </cell>
          <cell r="G370">
            <v>440</v>
          </cell>
        </row>
        <row r="371">
          <cell r="C371">
            <v>110</v>
          </cell>
          <cell r="D371">
            <v>154</v>
          </cell>
          <cell r="E371">
            <v>176</v>
          </cell>
          <cell r="F371">
            <v>264</v>
          </cell>
          <cell r="G371">
            <v>440</v>
          </cell>
        </row>
        <row r="372">
          <cell r="C372"/>
          <cell r="D372"/>
          <cell r="E372"/>
          <cell r="F372"/>
          <cell r="G372"/>
        </row>
        <row r="373">
          <cell r="C373">
            <v>105</v>
          </cell>
          <cell r="D373">
            <v>147</v>
          </cell>
          <cell r="E373" t="str">
            <v>N/V</v>
          </cell>
          <cell r="F373" t="str">
            <v>N/V</v>
          </cell>
          <cell r="G373">
            <v>420</v>
          </cell>
        </row>
        <row r="374">
          <cell r="C374">
            <v>105</v>
          </cell>
          <cell r="D374">
            <v>147</v>
          </cell>
          <cell r="E374">
            <v>168</v>
          </cell>
          <cell r="F374">
            <v>252</v>
          </cell>
          <cell r="G374">
            <v>420</v>
          </cell>
        </row>
        <row r="375">
          <cell r="C375">
            <v>105</v>
          </cell>
          <cell r="D375">
            <v>147</v>
          </cell>
          <cell r="E375">
            <v>168</v>
          </cell>
          <cell r="F375">
            <v>252</v>
          </cell>
          <cell r="G375">
            <v>420</v>
          </cell>
        </row>
        <row r="376">
          <cell r="C376"/>
          <cell r="D376"/>
          <cell r="E376"/>
          <cell r="F376"/>
          <cell r="G376"/>
        </row>
        <row r="377">
          <cell r="C377">
            <v>105</v>
          </cell>
          <cell r="D377">
            <v>147</v>
          </cell>
          <cell r="E377" t="str">
            <v>N/V</v>
          </cell>
          <cell r="F377" t="str">
            <v>N/V</v>
          </cell>
          <cell r="G377">
            <v>420</v>
          </cell>
        </row>
        <row r="378">
          <cell r="C378">
            <v>105</v>
          </cell>
          <cell r="D378">
            <v>147</v>
          </cell>
          <cell r="E378">
            <v>168</v>
          </cell>
          <cell r="F378">
            <v>252</v>
          </cell>
          <cell r="G378">
            <v>420</v>
          </cell>
        </row>
        <row r="379">
          <cell r="C379">
            <v>105</v>
          </cell>
          <cell r="D379">
            <v>147</v>
          </cell>
          <cell r="E379">
            <v>168</v>
          </cell>
          <cell r="F379">
            <v>252</v>
          </cell>
          <cell r="G379">
            <v>420</v>
          </cell>
        </row>
        <row r="380">
          <cell r="C380"/>
          <cell r="D380"/>
          <cell r="E380"/>
          <cell r="F380"/>
          <cell r="G380"/>
        </row>
        <row r="381">
          <cell r="C381">
            <v>105</v>
          </cell>
          <cell r="D381">
            <v>147</v>
          </cell>
          <cell r="E381" t="str">
            <v>N/V</v>
          </cell>
          <cell r="F381" t="str">
            <v>N/V</v>
          </cell>
          <cell r="G381">
            <v>420</v>
          </cell>
        </row>
        <row r="382">
          <cell r="C382">
            <v>105</v>
          </cell>
          <cell r="D382">
            <v>147</v>
          </cell>
          <cell r="E382">
            <v>168</v>
          </cell>
          <cell r="F382">
            <v>252</v>
          </cell>
          <cell r="G382">
            <v>420</v>
          </cell>
        </row>
        <row r="383">
          <cell r="C383">
            <v>105</v>
          </cell>
          <cell r="D383">
            <v>147</v>
          </cell>
          <cell r="E383">
            <v>168</v>
          </cell>
          <cell r="F383">
            <v>252</v>
          </cell>
          <cell r="G383">
            <v>420</v>
          </cell>
        </row>
        <row r="384">
          <cell r="C384"/>
          <cell r="D384"/>
          <cell r="E384"/>
          <cell r="F384"/>
          <cell r="G384"/>
        </row>
        <row r="385">
          <cell r="C385">
            <v>105</v>
          </cell>
          <cell r="D385">
            <v>147</v>
          </cell>
          <cell r="E385" t="str">
            <v>N/V</v>
          </cell>
          <cell r="F385" t="str">
            <v>N/V</v>
          </cell>
          <cell r="G385">
            <v>420</v>
          </cell>
        </row>
        <row r="386">
          <cell r="C386">
            <v>105</v>
          </cell>
          <cell r="D386">
            <v>147</v>
          </cell>
          <cell r="E386">
            <v>168</v>
          </cell>
          <cell r="F386">
            <v>252</v>
          </cell>
          <cell r="G386">
            <v>420</v>
          </cell>
        </row>
        <row r="387">
          <cell r="C387">
            <v>105</v>
          </cell>
          <cell r="D387">
            <v>147</v>
          </cell>
          <cell r="E387">
            <v>168</v>
          </cell>
          <cell r="F387">
            <v>252</v>
          </cell>
          <cell r="G387">
            <v>420</v>
          </cell>
        </row>
        <row r="388">
          <cell r="C388"/>
          <cell r="D388"/>
          <cell r="E388"/>
          <cell r="F388"/>
          <cell r="G388"/>
        </row>
        <row r="389">
          <cell r="C389">
            <v>105</v>
          </cell>
          <cell r="D389">
            <v>147</v>
          </cell>
          <cell r="E389" t="str">
            <v>N/V</v>
          </cell>
          <cell r="F389" t="str">
            <v>N/V</v>
          </cell>
          <cell r="G389">
            <v>420</v>
          </cell>
        </row>
        <row r="390">
          <cell r="C390">
            <v>105</v>
          </cell>
          <cell r="D390">
            <v>147</v>
          </cell>
          <cell r="E390">
            <v>168</v>
          </cell>
          <cell r="F390">
            <v>252</v>
          </cell>
          <cell r="G390">
            <v>420</v>
          </cell>
        </row>
        <row r="391">
          <cell r="C391">
            <v>105</v>
          </cell>
          <cell r="D391">
            <v>147</v>
          </cell>
          <cell r="E391">
            <v>168</v>
          </cell>
          <cell r="F391">
            <v>252</v>
          </cell>
          <cell r="G391">
            <v>420</v>
          </cell>
        </row>
        <row r="392">
          <cell r="C392"/>
          <cell r="D392"/>
          <cell r="E392"/>
          <cell r="F392"/>
          <cell r="G392"/>
        </row>
        <row r="393">
          <cell r="C393">
            <v>105</v>
          </cell>
          <cell r="D393">
            <v>147</v>
          </cell>
          <cell r="E393" t="str">
            <v>N/V</v>
          </cell>
          <cell r="F393" t="str">
            <v>N/V</v>
          </cell>
          <cell r="G393">
            <v>420</v>
          </cell>
        </row>
        <row r="394">
          <cell r="C394">
            <v>105</v>
          </cell>
          <cell r="D394">
            <v>147</v>
          </cell>
          <cell r="E394">
            <v>168</v>
          </cell>
          <cell r="F394">
            <v>252</v>
          </cell>
          <cell r="G394">
            <v>420</v>
          </cell>
        </row>
        <row r="395">
          <cell r="C395">
            <v>105</v>
          </cell>
          <cell r="D395">
            <v>147</v>
          </cell>
          <cell r="E395">
            <v>168</v>
          </cell>
          <cell r="F395">
            <v>252</v>
          </cell>
          <cell r="G395">
            <v>420</v>
          </cell>
        </row>
        <row r="396">
          <cell r="C396"/>
          <cell r="D396"/>
          <cell r="E396"/>
          <cell r="F396"/>
          <cell r="G396"/>
        </row>
        <row r="397">
          <cell r="C397">
            <v>105</v>
          </cell>
          <cell r="D397">
            <v>147</v>
          </cell>
          <cell r="E397" t="str">
            <v>N/V</v>
          </cell>
          <cell r="F397" t="str">
            <v>N/V</v>
          </cell>
          <cell r="G397">
            <v>420</v>
          </cell>
        </row>
        <row r="398">
          <cell r="C398">
            <v>99</v>
          </cell>
          <cell r="D398">
            <v>138.6</v>
          </cell>
          <cell r="E398">
            <v>158.4</v>
          </cell>
          <cell r="F398">
            <v>237.6</v>
          </cell>
          <cell r="G398">
            <v>396</v>
          </cell>
        </row>
        <row r="399">
          <cell r="C399">
            <v>99</v>
          </cell>
          <cell r="D399">
            <v>138.6</v>
          </cell>
          <cell r="E399">
            <v>158.4</v>
          </cell>
          <cell r="F399">
            <v>237.6</v>
          </cell>
          <cell r="G399">
            <v>396</v>
          </cell>
        </row>
        <row r="400">
          <cell r="C400" t="str">
            <v>25 Lbs.</v>
          </cell>
          <cell r="D400" t="str">
            <v>35 Lbs.</v>
          </cell>
          <cell r="E400" t="str">
            <v xml:space="preserve">40 Lbs. </v>
          </cell>
          <cell r="F400" t="str">
            <v>60 Lbs.</v>
          </cell>
          <cell r="G400" t="str">
            <v>100 Lbs.</v>
          </cell>
        </row>
      </sheetData>
      <sheetData sheetId="23"/>
      <sheetData sheetId="24"/>
      <sheetData sheetId="25">
        <row r="13">
          <cell r="C13"/>
          <cell r="D13"/>
          <cell r="E13"/>
          <cell r="F13"/>
          <cell r="G13"/>
        </row>
        <row r="14">
          <cell r="C14">
            <v>120</v>
          </cell>
          <cell r="D14">
            <v>168</v>
          </cell>
          <cell r="E14" t="str">
            <v>N/V</v>
          </cell>
          <cell r="F14" t="str">
            <v>N/V</v>
          </cell>
          <cell r="G14">
            <v>480</v>
          </cell>
        </row>
        <row r="15">
          <cell r="C15">
            <v>120</v>
          </cell>
          <cell r="D15">
            <v>168</v>
          </cell>
          <cell r="E15">
            <v>192</v>
          </cell>
          <cell r="F15">
            <v>288</v>
          </cell>
          <cell r="G15">
            <v>480</v>
          </cell>
        </row>
        <row r="16">
          <cell r="C16">
            <v>120</v>
          </cell>
          <cell r="D16">
            <v>168</v>
          </cell>
          <cell r="E16">
            <v>192</v>
          </cell>
          <cell r="F16">
            <v>288</v>
          </cell>
          <cell r="G16">
            <v>480</v>
          </cell>
        </row>
        <row r="17">
          <cell r="C17"/>
          <cell r="D17"/>
          <cell r="E17"/>
          <cell r="F17"/>
          <cell r="G17"/>
        </row>
        <row r="18">
          <cell r="C18">
            <v>120</v>
          </cell>
          <cell r="D18">
            <v>168</v>
          </cell>
          <cell r="E18" t="str">
            <v>N/V</v>
          </cell>
          <cell r="F18" t="str">
            <v>N/V</v>
          </cell>
          <cell r="G18">
            <v>480</v>
          </cell>
        </row>
        <row r="19">
          <cell r="C19">
            <v>120</v>
          </cell>
          <cell r="D19">
            <v>168</v>
          </cell>
          <cell r="E19">
            <v>192</v>
          </cell>
          <cell r="F19">
            <v>288</v>
          </cell>
          <cell r="G19">
            <v>480</v>
          </cell>
        </row>
        <row r="20">
          <cell r="C20">
            <v>120</v>
          </cell>
          <cell r="D20">
            <v>168</v>
          </cell>
          <cell r="E20">
            <v>192</v>
          </cell>
          <cell r="F20">
            <v>288</v>
          </cell>
          <cell r="G20">
            <v>480</v>
          </cell>
        </row>
        <row r="21">
          <cell r="C21"/>
          <cell r="D21"/>
          <cell r="E21"/>
          <cell r="F21"/>
          <cell r="G21"/>
        </row>
        <row r="22">
          <cell r="C22">
            <v>120</v>
          </cell>
          <cell r="D22">
            <v>168</v>
          </cell>
          <cell r="E22" t="str">
            <v>N/V</v>
          </cell>
          <cell r="F22" t="str">
            <v>N/V</v>
          </cell>
          <cell r="G22">
            <v>480</v>
          </cell>
        </row>
        <row r="23">
          <cell r="C23">
            <v>120</v>
          </cell>
          <cell r="D23">
            <v>168</v>
          </cell>
          <cell r="E23">
            <v>192</v>
          </cell>
          <cell r="F23">
            <v>288</v>
          </cell>
          <cell r="G23">
            <v>480</v>
          </cell>
        </row>
        <row r="24">
          <cell r="C24">
            <v>120</v>
          </cell>
          <cell r="D24">
            <v>168</v>
          </cell>
          <cell r="E24">
            <v>192</v>
          </cell>
          <cell r="F24">
            <v>288</v>
          </cell>
          <cell r="G24">
            <v>480</v>
          </cell>
        </row>
        <row r="25">
          <cell r="C25"/>
          <cell r="D25"/>
          <cell r="E25"/>
          <cell r="F25"/>
          <cell r="G25"/>
        </row>
        <row r="26">
          <cell r="C26">
            <v>120</v>
          </cell>
          <cell r="D26">
            <v>168</v>
          </cell>
          <cell r="E26" t="str">
            <v>N/V</v>
          </cell>
          <cell r="F26" t="str">
            <v>N/V</v>
          </cell>
          <cell r="G26">
            <v>480</v>
          </cell>
        </row>
        <row r="27">
          <cell r="C27">
            <v>120</v>
          </cell>
          <cell r="D27">
            <v>168</v>
          </cell>
          <cell r="E27">
            <v>192</v>
          </cell>
          <cell r="F27">
            <v>288</v>
          </cell>
          <cell r="G27">
            <v>480</v>
          </cell>
        </row>
        <row r="28">
          <cell r="C28">
            <v>120</v>
          </cell>
          <cell r="D28">
            <v>168</v>
          </cell>
          <cell r="E28">
            <v>192</v>
          </cell>
          <cell r="F28">
            <v>288</v>
          </cell>
          <cell r="G28">
            <v>480</v>
          </cell>
        </row>
        <row r="29">
          <cell r="C29"/>
          <cell r="D29"/>
          <cell r="E29"/>
          <cell r="F29"/>
          <cell r="G29"/>
        </row>
        <row r="30">
          <cell r="C30">
            <v>120</v>
          </cell>
          <cell r="D30">
            <v>168</v>
          </cell>
          <cell r="E30" t="str">
            <v>N/V</v>
          </cell>
          <cell r="F30" t="str">
            <v>N/V</v>
          </cell>
          <cell r="G30">
            <v>480</v>
          </cell>
        </row>
        <row r="31">
          <cell r="C31">
            <v>120</v>
          </cell>
          <cell r="D31">
            <v>168</v>
          </cell>
          <cell r="E31">
            <v>192</v>
          </cell>
          <cell r="F31">
            <v>288</v>
          </cell>
          <cell r="G31">
            <v>480</v>
          </cell>
        </row>
        <row r="32">
          <cell r="C32">
            <v>120</v>
          </cell>
          <cell r="D32">
            <v>168</v>
          </cell>
          <cell r="E32">
            <v>192</v>
          </cell>
          <cell r="F32">
            <v>288</v>
          </cell>
          <cell r="G32">
            <v>480</v>
          </cell>
        </row>
        <row r="186">
          <cell r="C186">
            <v>128</v>
          </cell>
          <cell r="D186">
            <v>180</v>
          </cell>
          <cell r="E186" t="str">
            <v>N/V</v>
          </cell>
          <cell r="F186" t="str">
            <v>N/V</v>
          </cell>
          <cell r="G186">
            <v>512</v>
          </cell>
        </row>
        <row r="187">
          <cell r="C187">
            <v>128</v>
          </cell>
          <cell r="D187">
            <v>180</v>
          </cell>
          <cell r="E187">
            <v>205</v>
          </cell>
          <cell r="F187">
            <v>308</v>
          </cell>
          <cell r="G187">
            <v>512</v>
          </cell>
        </row>
        <row r="188">
          <cell r="C188">
            <v>128</v>
          </cell>
          <cell r="D188">
            <v>180</v>
          </cell>
          <cell r="E188">
            <v>205</v>
          </cell>
          <cell r="F188">
            <v>308</v>
          </cell>
          <cell r="G188">
            <v>512</v>
          </cell>
        </row>
        <row r="189">
          <cell r="C189"/>
          <cell r="D189"/>
          <cell r="E189"/>
          <cell r="F189"/>
          <cell r="G189"/>
        </row>
        <row r="190">
          <cell r="C190">
            <v>128</v>
          </cell>
          <cell r="D190">
            <v>180</v>
          </cell>
          <cell r="E190" t="str">
            <v>N/V</v>
          </cell>
          <cell r="F190" t="str">
            <v>N/V</v>
          </cell>
          <cell r="G190">
            <v>512</v>
          </cell>
        </row>
        <row r="191">
          <cell r="C191">
            <v>128</v>
          </cell>
          <cell r="D191">
            <v>180</v>
          </cell>
          <cell r="E191">
            <v>205</v>
          </cell>
          <cell r="F191">
            <v>308</v>
          </cell>
          <cell r="G191">
            <v>512</v>
          </cell>
        </row>
        <row r="192">
          <cell r="C192">
            <v>128</v>
          </cell>
          <cell r="D192">
            <v>180</v>
          </cell>
          <cell r="E192">
            <v>205</v>
          </cell>
          <cell r="F192">
            <v>308</v>
          </cell>
          <cell r="G192">
            <v>512</v>
          </cell>
        </row>
        <row r="193">
          <cell r="C193"/>
          <cell r="D193"/>
          <cell r="E193"/>
          <cell r="F193"/>
          <cell r="G193"/>
        </row>
        <row r="194">
          <cell r="C194">
            <v>128</v>
          </cell>
          <cell r="D194">
            <v>180</v>
          </cell>
          <cell r="E194" t="str">
            <v>N/V</v>
          </cell>
          <cell r="F194" t="str">
            <v>N/V</v>
          </cell>
          <cell r="G194">
            <v>512</v>
          </cell>
        </row>
        <row r="195">
          <cell r="C195">
            <v>128</v>
          </cell>
          <cell r="D195">
            <v>180</v>
          </cell>
          <cell r="E195">
            <v>205</v>
          </cell>
          <cell r="F195">
            <v>308</v>
          </cell>
          <cell r="G195">
            <v>512</v>
          </cell>
        </row>
        <row r="196">
          <cell r="C196">
            <v>128</v>
          </cell>
          <cell r="D196">
            <v>180</v>
          </cell>
          <cell r="E196">
            <v>205</v>
          </cell>
          <cell r="F196">
            <v>308</v>
          </cell>
          <cell r="G196">
            <v>512</v>
          </cell>
        </row>
        <row r="197">
          <cell r="C197"/>
          <cell r="D197"/>
          <cell r="E197"/>
          <cell r="F197"/>
          <cell r="G197"/>
        </row>
        <row r="198">
          <cell r="C198">
            <v>123</v>
          </cell>
          <cell r="D198">
            <v>173</v>
          </cell>
          <cell r="E198" t="str">
            <v>N/V</v>
          </cell>
          <cell r="F198" t="str">
            <v>N/V</v>
          </cell>
          <cell r="G198">
            <v>492</v>
          </cell>
        </row>
        <row r="199">
          <cell r="C199">
            <v>123</v>
          </cell>
          <cell r="D199">
            <v>173</v>
          </cell>
          <cell r="E199">
            <v>197</v>
          </cell>
          <cell r="F199">
            <v>295</v>
          </cell>
          <cell r="G199">
            <v>492</v>
          </cell>
        </row>
        <row r="200">
          <cell r="C200">
            <v>123</v>
          </cell>
          <cell r="D200">
            <v>173</v>
          </cell>
          <cell r="E200">
            <v>197</v>
          </cell>
          <cell r="F200">
            <v>295</v>
          </cell>
          <cell r="G200">
            <v>492</v>
          </cell>
        </row>
        <row r="202">
          <cell r="C202">
            <v>123</v>
          </cell>
          <cell r="D202">
            <v>173</v>
          </cell>
          <cell r="E202" t="str">
            <v>N/V</v>
          </cell>
          <cell r="F202" t="str">
            <v>N/V</v>
          </cell>
          <cell r="G202">
            <v>492</v>
          </cell>
        </row>
        <row r="203">
          <cell r="C203">
            <v>123</v>
          </cell>
          <cell r="D203">
            <v>173</v>
          </cell>
          <cell r="E203">
            <v>197</v>
          </cell>
          <cell r="F203">
            <v>295</v>
          </cell>
          <cell r="G203">
            <v>492</v>
          </cell>
        </row>
        <row r="204">
          <cell r="C204">
            <v>123</v>
          </cell>
          <cell r="D204">
            <v>173</v>
          </cell>
          <cell r="E204">
            <v>197</v>
          </cell>
          <cell r="F204">
            <v>295</v>
          </cell>
          <cell r="G204">
            <v>492</v>
          </cell>
        </row>
        <row r="205">
          <cell r="C205"/>
          <cell r="D205"/>
          <cell r="E205"/>
          <cell r="F205"/>
          <cell r="G205"/>
        </row>
        <row r="206">
          <cell r="C206">
            <v>123</v>
          </cell>
          <cell r="D206">
            <v>173</v>
          </cell>
          <cell r="E206" t="str">
            <v>N/V</v>
          </cell>
          <cell r="F206" t="str">
            <v>N/V</v>
          </cell>
          <cell r="G206">
            <v>492</v>
          </cell>
        </row>
        <row r="207">
          <cell r="C207">
            <v>123</v>
          </cell>
          <cell r="D207">
            <v>173</v>
          </cell>
          <cell r="E207">
            <v>197</v>
          </cell>
          <cell r="F207">
            <v>295</v>
          </cell>
          <cell r="G207">
            <v>492</v>
          </cell>
        </row>
        <row r="208">
          <cell r="C208">
            <v>123</v>
          </cell>
          <cell r="D208">
            <v>173</v>
          </cell>
          <cell r="E208">
            <v>197</v>
          </cell>
          <cell r="F208">
            <v>295</v>
          </cell>
          <cell r="G208">
            <v>492</v>
          </cell>
        </row>
        <row r="209">
          <cell r="C209"/>
          <cell r="D209"/>
          <cell r="E209"/>
          <cell r="F209"/>
          <cell r="G209"/>
        </row>
        <row r="210">
          <cell r="C210">
            <v>123</v>
          </cell>
          <cell r="D210">
            <v>173</v>
          </cell>
          <cell r="E210" t="str">
            <v>N/V</v>
          </cell>
          <cell r="F210" t="str">
            <v>N/V</v>
          </cell>
          <cell r="G210">
            <v>492</v>
          </cell>
        </row>
        <row r="211">
          <cell r="C211">
            <v>123</v>
          </cell>
          <cell r="D211">
            <v>173</v>
          </cell>
          <cell r="E211">
            <v>197</v>
          </cell>
          <cell r="F211">
            <v>295</v>
          </cell>
          <cell r="G211">
            <v>492</v>
          </cell>
        </row>
        <row r="212">
          <cell r="C212">
            <v>123</v>
          </cell>
          <cell r="D212">
            <v>173</v>
          </cell>
          <cell r="E212">
            <v>197</v>
          </cell>
          <cell r="F212">
            <v>295</v>
          </cell>
          <cell r="G212">
            <v>492</v>
          </cell>
        </row>
        <row r="213">
          <cell r="C213"/>
          <cell r="D213"/>
          <cell r="E213"/>
          <cell r="F213"/>
          <cell r="G213"/>
        </row>
        <row r="214">
          <cell r="C214">
            <v>123</v>
          </cell>
          <cell r="D214">
            <v>173</v>
          </cell>
          <cell r="E214" t="str">
            <v>N/V</v>
          </cell>
          <cell r="F214" t="str">
            <v>N/V</v>
          </cell>
          <cell r="G214">
            <v>492</v>
          </cell>
        </row>
        <row r="215">
          <cell r="C215">
            <v>123</v>
          </cell>
          <cell r="D215">
            <v>173</v>
          </cell>
          <cell r="E215">
            <v>197</v>
          </cell>
          <cell r="F215">
            <v>295</v>
          </cell>
          <cell r="G215">
            <v>492</v>
          </cell>
        </row>
        <row r="216">
          <cell r="C216">
            <v>123</v>
          </cell>
          <cell r="D216">
            <v>173</v>
          </cell>
          <cell r="E216">
            <v>197</v>
          </cell>
          <cell r="F216">
            <v>295</v>
          </cell>
          <cell r="G216">
            <v>492</v>
          </cell>
        </row>
      </sheetData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P por Cía 03 a 06"/>
    </sheetNames>
    <sheetDataSet>
      <sheetData sheetId="0">
        <row r="408">
          <cell r="C408">
            <v>110</v>
          </cell>
          <cell r="D408">
            <v>154</v>
          </cell>
          <cell r="E408" t="str">
            <v>N/V</v>
          </cell>
          <cell r="F408" t="str">
            <v>N/V</v>
          </cell>
          <cell r="G408">
            <v>440</v>
          </cell>
        </row>
        <row r="409">
          <cell r="C409">
            <v>110</v>
          </cell>
          <cell r="D409">
            <v>154</v>
          </cell>
          <cell r="E409">
            <v>176</v>
          </cell>
          <cell r="F409">
            <v>264</v>
          </cell>
          <cell r="G409">
            <v>440</v>
          </cell>
        </row>
        <row r="410">
          <cell r="C410">
            <v>110</v>
          </cell>
          <cell r="D410">
            <v>154</v>
          </cell>
          <cell r="E410">
            <v>176</v>
          </cell>
          <cell r="F410">
            <v>264</v>
          </cell>
          <cell r="G410">
            <v>440</v>
          </cell>
        </row>
        <row r="411">
          <cell r="C411"/>
          <cell r="D411"/>
          <cell r="E411"/>
          <cell r="F411"/>
          <cell r="G411"/>
        </row>
        <row r="412">
          <cell r="C412">
            <v>110</v>
          </cell>
          <cell r="D412">
            <v>154</v>
          </cell>
          <cell r="E412" t="str">
            <v>N/V</v>
          </cell>
          <cell r="F412" t="str">
            <v>N/V</v>
          </cell>
          <cell r="G412">
            <v>440</v>
          </cell>
        </row>
        <row r="413">
          <cell r="C413">
            <v>110</v>
          </cell>
          <cell r="D413">
            <v>154</v>
          </cell>
          <cell r="E413">
            <v>176</v>
          </cell>
          <cell r="F413">
            <v>264</v>
          </cell>
          <cell r="G413">
            <v>440</v>
          </cell>
        </row>
        <row r="414">
          <cell r="C414">
            <v>110</v>
          </cell>
          <cell r="D414">
            <v>154</v>
          </cell>
          <cell r="E414">
            <v>176</v>
          </cell>
          <cell r="F414">
            <v>264</v>
          </cell>
          <cell r="G414">
            <v>440</v>
          </cell>
        </row>
        <row r="415">
          <cell r="C415"/>
          <cell r="D415"/>
          <cell r="E415"/>
          <cell r="F415"/>
          <cell r="G415"/>
        </row>
        <row r="416">
          <cell r="C416">
            <v>110</v>
          </cell>
          <cell r="D416">
            <v>154</v>
          </cell>
          <cell r="E416" t="str">
            <v>N/V</v>
          </cell>
          <cell r="F416" t="str">
            <v>N/V</v>
          </cell>
          <cell r="G416">
            <v>440</v>
          </cell>
        </row>
        <row r="417">
          <cell r="C417">
            <v>110</v>
          </cell>
          <cell r="D417">
            <v>154</v>
          </cell>
          <cell r="E417">
            <v>176</v>
          </cell>
          <cell r="F417">
            <v>264</v>
          </cell>
          <cell r="G417">
            <v>440</v>
          </cell>
        </row>
        <row r="418">
          <cell r="C418">
            <v>110</v>
          </cell>
          <cell r="D418">
            <v>154</v>
          </cell>
          <cell r="E418">
            <v>176</v>
          </cell>
          <cell r="F418">
            <v>264</v>
          </cell>
          <cell r="G418">
            <v>440</v>
          </cell>
        </row>
        <row r="419">
          <cell r="C419"/>
          <cell r="D419"/>
          <cell r="E419"/>
          <cell r="F419"/>
          <cell r="G419"/>
        </row>
        <row r="420">
          <cell r="C420">
            <v>110</v>
          </cell>
          <cell r="D420">
            <v>154</v>
          </cell>
          <cell r="E420" t="str">
            <v>N/V</v>
          </cell>
          <cell r="F420" t="str">
            <v>N/V</v>
          </cell>
          <cell r="G420">
            <v>440</v>
          </cell>
        </row>
        <row r="421">
          <cell r="C421">
            <v>110</v>
          </cell>
          <cell r="D421">
            <v>154</v>
          </cell>
          <cell r="E421">
            <v>176</v>
          </cell>
          <cell r="F421">
            <v>264</v>
          </cell>
          <cell r="G421">
            <v>440</v>
          </cell>
        </row>
        <row r="422">
          <cell r="C422">
            <v>110</v>
          </cell>
          <cell r="D422">
            <v>154</v>
          </cell>
          <cell r="E422">
            <v>176</v>
          </cell>
          <cell r="F422">
            <v>264</v>
          </cell>
          <cell r="G422">
            <v>440</v>
          </cell>
        </row>
        <row r="423">
          <cell r="C423"/>
          <cell r="D423"/>
          <cell r="E423"/>
          <cell r="F423"/>
          <cell r="G423"/>
        </row>
        <row r="424">
          <cell r="C424">
            <v>110</v>
          </cell>
          <cell r="D424">
            <v>154</v>
          </cell>
          <cell r="E424" t="str">
            <v>N/V</v>
          </cell>
          <cell r="F424" t="str">
            <v>N/V</v>
          </cell>
          <cell r="G424">
            <v>440</v>
          </cell>
        </row>
        <row r="425">
          <cell r="C425">
            <v>110</v>
          </cell>
          <cell r="D425">
            <v>154</v>
          </cell>
          <cell r="E425">
            <v>176</v>
          </cell>
          <cell r="F425">
            <v>264</v>
          </cell>
          <cell r="G425">
            <v>440</v>
          </cell>
        </row>
        <row r="426">
          <cell r="C426">
            <v>110</v>
          </cell>
          <cell r="D426">
            <v>154</v>
          </cell>
          <cell r="E426">
            <v>176</v>
          </cell>
          <cell r="F426">
            <v>264</v>
          </cell>
          <cell r="G426">
            <v>440</v>
          </cell>
        </row>
        <row r="427">
          <cell r="C427"/>
          <cell r="D427"/>
          <cell r="E427"/>
          <cell r="F427"/>
          <cell r="G427"/>
        </row>
        <row r="428">
          <cell r="C428">
            <v>110</v>
          </cell>
          <cell r="D428">
            <v>154</v>
          </cell>
          <cell r="E428" t="str">
            <v>N/V</v>
          </cell>
          <cell r="F428" t="str">
            <v>N/V</v>
          </cell>
          <cell r="G428">
            <v>440</v>
          </cell>
        </row>
        <row r="429">
          <cell r="C429">
            <v>110</v>
          </cell>
          <cell r="D429">
            <v>154</v>
          </cell>
          <cell r="E429">
            <v>176</v>
          </cell>
          <cell r="F429">
            <v>264</v>
          </cell>
          <cell r="G429">
            <v>440</v>
          </cell>
        </row>
        <row r="430">
          <cell r="C430">
            <v>110</v>
          </cell>
          <cell r="D430">
            <v>154</v>
          </cell>
          <cell r="E430">
            <v>176</v>
          </cell>
          <cell r="F430">
            <v>264</v>
          </cell>
          <cell r="G430">
            <v>440</v>
          </cell>
        </row>
        <row r="432">
          <cell r="C432">
            <v>110</v>
          </cell>
        </row>
        <row r="433">
          <cell r="C433">
            <v>110</v>
          </cell>
        </row>
        <row r="434">
          <cell r="C434">
            <v>110</v>
          </cell>
        </row>
        <row r="435">
          <cell r="C435"/>
        </row>
        <row r="436">
          <cell r="C436">
            <v>110</v>
          </cell>
        </row>
        <row r="437">
          <cell r="C437">
            <v>110</v>
          </cell>
        </row>
        <row r="438">
          <cell r="C438">
            <v>110</v>
          </cell>
        </row>
        <row r="439">
          <cell r="C439"/>
        </row>
        <row r="440">
          <cell r="C440">
            <v>110</v>
          </cell>
        </row>
        <row r="441">
          <cell r="C441">
            <v>110</v>
          </cell>
        </row>
        <row r="442">
          <cell r="C442">
            <v>110</v>
          </cell>
        </row>
        <row r="443">
          <cell r="C443"/>
        </row>
        <row r="444">
          <cell r="C444">
            <v>110</v>
          </cell>
        </row>
        <row r="445">
          <cell r="C445">
            <v>110</v>
          </cell>
        </row>
        <row r="446">
          <cell r="C446">
            <v>110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olinas 05"/>
      <sheetName val="gasolinas 06"/>
      <sheetName val="Gasolinas 07"/>
      <sheetName val="Gasolinas 2008"/>
      <sheetName val="Gasolinas 2009"/>
      <sheetName val="Gasolinas 2010"/>
      <sheetName val="Gasolinas 2011 "/>
      <sheetName val="Gasolinas 2012"/>
      <sheetName val="Gasolinas 2013"/>
      <sheetName val=" SC COMBUSTIBLES 2002-2013"/>
      <sheetName val="AS COMBUSTIBLES 2002-2013"/>
      <sheetName val="X-MES-AS"/>
      <sheetName val="X-SEMANA-SC"/>
      <sheetName val="Tabulacion"/>
      <sheetName val="X-MES-81-05 (2)"/>
      <sheetName val="GLP por Cía 03 a 06"/>
      <sheetName val="X-MES-81-05"/>
      <sheetName val="PROMEDIO GLP"/>
      <sheetName val="Cuad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204">
          <cell r="C1204">
            <v>118.6046511627907</v>
          </cell>
        </row>
        <row r="1205">
          <cell r="C1205">
            <v>114.24444444444444</v>
          </cell>
        </row>
        <row r="1208">
          <cell r="C1208">
            <v>118.6046511627907</v>
          </cell>
        </row>
        <row r="1209">
          <cell r="C1209">
            <v>114.24444444444444</v>
          </cell>
        </row>
        <row r="1212">
          <cell r="C1212">
            <v>130</v>
          </cell>
        </row>
        <row r="1213">
          <cell r="C1213">
            <v>130</v>
          </cell>
        </row>
        <row r="1216">
          <cell r="C1216">
            <v>130</v>
          </cell>
        </row>
        <row r="1217">
          <cell r="C1217">
            <v>130</v>
          </cell>
        </row>
        <row r="1220">
          <cell r="C1220">
            <v>130</v>
          </cell>
        </row>
        <row r="1221">
          <cell r="C1221">
            <v>130</v>
          </cell>
        </row>
        <row r="1224">
          <cell r="C1224">
            <v>130</v>
          </cell>
        </row>
        <row r="1225">
          <cell r="C1225">
            <v>130</v>
          </cell>
        </row>
        <row r="1228">
          <cell r="C1228">
            <v>130</v>
          </cell>
        </row>
        <row r="1229">
          <cell r="C1229">
            <v>130</v>
          </cell>
        </row>
        <row r="1232">
          <cell r="C1232">
            <v>130</v>
          </cell>
        </row>
        <row r="1233">
          <cell r="C1233">
            <v>130</v>
          </cell>
        </row>
        <row r="1272">
          <cell r="C1272">
            <v>130</v>
          </cell>
        </row>
        <row r="1276">
          <cell r="C1276">
            <v>130</v>
          </cell>
        </row>
        <row r="1280">
          <cell r="C1280">
            <v>130</v>
          </cell>
        </row>
        <row r="1284">
          <cell r="C1284">
            <v>130</v>
          </cell>
        </row>
        <row r="1288">
          <cell r="C1288">
            <v>131</v>
          </cell>
        </row>
        <row r="1292">
          <cell r="C1292">
            <v>131</v>
          </cell>
        </row>
        <row r="1296">
          <cell r="C1296">
            <v>131</v>
          </cell>
        </row>
        <row r="1300">
          <cell r="C1300">
            <v>131</v>
          </cell>
        </row>
        <row r="1304">
          <cell r="C1304">
            <v>131</v>
          </cell>
        </row>
        <row r="1324">
          <cell r="C1324">
            <v>131</v>
          </cell>
        </row>
        <row r="1328">
          <cell r="C1328">
            <v>131</v>
          </cell>
        </row>
        <row r="1332">
          <cell r="C1332">
            <v>131</v>
          </cell>
        </row>
        <row r="1336">
          <cell r="C1336">
            <v>128</v>
          </cell>
        </row>
        <row r="1340">
          <cell r="C1340">
            <v>128</v>
          </cell>
        </row>
        <row r="1360">
          <cell r="C1360">
            <v>128</v>
          </cell>
        </row>
        <row r="1361">
          <cell r="C1361">
            <v>128</v>
          </cell>
        </row>
        <row r="1364">
          <cell r="C1364">
            <v>128</v>
          </cell>
        </row>
        <row r="1365">
          <cell r="C1365">
            <v>128</v>
          </cell>
        </row>
        <row r="1368">
          <cell r="C1368">
            <v>128</v>
          </cell>
        </row>
        <row r="1369">
          <cell r="C1369">
            <v>128</v>
          </cell>
        </row>
        <row r="1372">
          <cell r="C1372">
            <v>128</v>
          </cell>
        </row>
        <row r="1373">
          <cell r="C1373">
            <v>128</v>
          </cell>
        </row>
        <row r="1376">
          <cell r="C1376">
            <v>136</v>
          </cell>
        </row>
        <row r="1377">
          <cell r="C1377">
            <v>137</v>
          </cell>
        </row>
        <row r="1380">
          <cell r="C1380">
            <v>136</v>
          </cell>
        </row>
        <row r="1381">
          <cell r="C1381">
            <v>137</v>
          </cell>
        </row>
        <row r="1384">
          <cell r="C1384">
            <v>136</v>
          </cell>
        </row>
        <row r="1385">
          <cell r="C1385">
            <v>137</v>
          </cell>
        </row>
        <row r="1388">
          <cell r="C1388">
            <v>136</v>
          </cell>
        </row>
        <row r="1389">
          <cell r="C1389">
            <v>137</v>
          </cell>
        </row>
        <row r="1392">
          <cell r="C1392">
            <v>136</v>
          </cell>
        </row>
        <row r="1393">
          <cell r="C1393">
            <v>137</v>
          </cell>
        </row>
        <row r="1396">
          <cell r="C1396">
            <v>136</v>
          </cell>
        </row>
        <row r="1397">
          <cell r="C1397">
            <v>137</v>
          </cell>
        </row>
        <row r="1401">
          <cell r="C1401">
            <v>137</v>
          </cell>
        </row>
        <row r="1405">
          <cell r="C1405">
            <v>137</v>
          </cell>
        </row>
        <row r="1409">
          <cell r="C1409">
            <v>137</v>
          </cell>
        </row>
        <row r="1413">
          <cell r="C1413">
            <v>137</v>
          </cell>
        </row>
      </sheetData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B1:O135"/>
  <sheetViews>
    <sheetView view="pageBreakPreview" zoomScale="115" zoomScaleNormal="130" zoomScaleSheetLayoutView="115" workbookViewId="0">
      <selection activeCell="D25" sqref="D25"/>
    </sheetView>
  </sheetViews>
  <sheetFormatPr baseColWidth="10" defaultColWidth="11.42578125" defaultRowHeight="12.75"/>
  <sheetData>
    <row r="1" spans="2:8" ht="16.5" customHeight="1">
      <c r="B1" s="1497" t="s">
        <v>53</v>
      </c>
      <c r="C1" s="1498"/>
      <c r="D1" s="1498"/>
      <c r="E1" s="1498"/>
      <c r="F1" s="1498"/>
      <c r="G1" s="1498"/>
      <c r="H1" s="1499"/>
    </row>
    <row r="2" spans="2:8" ht="12" customHeight="1">
      <c r="B2" s="1500" t="s">
        <v>578</v>
      </c>
      <c r="C2" s="1501"/>
      <c r="D2" s="1501"/>
      <c r="E2" s="1501"/>
      <c r="F2" s="1501"/>
      <c r="G2" s="1501"/>
      <c r="H2" s="1502"/>
    </row>
    <row r="3" spans="2:8">
      <c r="B3" s="1506" t="s">
        <v>569</v>
      </c>
      <c r="C3" s="1507"/>
      <c r="D3" s="1507"/>
      <c r="E3" s="1507"/>
      <c r="F3" s="1507"/>
      <c r="G3" s="1507"/>
      <c r="H3" s="1508"/>
    </row>
    <row r="4" spans="2:8" ht="5.25" customHeight="1">
      <c r="B4" s="22"/>
      <c r="C4" s="75"/>
      <c r="D4" s="75"/>
      <c r="E4" s="75"/>
      <c r="F4" s="75"/>
      <c r="G4" s="75"/>
      <c r="H4" s="340"/>
    </row>
    <row r="5" spans="2:8">
      <c r="B5" s="1506" t="s">
        <v>36</v>
      </c>
      <c r="C5" s="1507"/>
      <c r="D5" s="1507"/>
      <c r="E5" s="1507"/>
      <c r="F5" s="1507"/>
      <c r="G5" s="1507"/>
      <c r="H5" s="1508"/>
    </row>
    <row r="6" spans="2:8">
      <c r="B6" s="1506" t="s">
        <v>22</v>
      </c>
      <c r="C6" s="1507"/>
      <c r="D6" s="1507"/>
      <c r="E6" s="1507"/>
      <c r="F6" s="1507"/>
      <c r="G6" s="1507"/>
      <c r="H6" s="1508"/>
    </row>
    <row r="7" spans="2:8">
      <c r="B7" s="1506" t="s">
        <v>23</v>
      </c>
      <c r="C7" s="1507"/>
      <c r="D7" s="1507"/>
      <c r="E7" s="1507"/>
      <c r="F7" s="1507"/>
      <c r="G7" s="1507"/>
      <c r="H7" s="1508"/>
    </row>
    <row r="8" spans="2:8" ht="12.75" customHeight="1">
      <c r="B8" s="1509" t="s">
        <v>0</v>
      </c>
      <c r="C8" s="1510"/>
      <c r="D8" s="1510"/>
      <c r="E8" s="1510"/>
      <c r="F8" s="1510"/>
      <c r="G8" s="1510"/>
      <c r="H8" s="1511"/>
    </row>
    <row r="9" spans="2:8">
      <c r="B9" s="552"/>
      <c r="C9" s="548"/>
      <c r="D9" s="548"/>
      <c r="E9" s="548"/>
      <c r="F9" s="548"/>
      <c r="G9" s="548"/>
      <c r="H9" s="551"/>
    </row>
    <row r="10" spans="2:8" ht="15.75" thickBot="1">
      <c r="B10" s="1503"/>
      <c r="C10" s="1504"/>
      <c r="D10" s="1504"/>
      <c r="E10" s="1504"/>
      <c r="F10" s="1504"/>
      <c r="G10" s="1504"/>
      <c r="H10" s="1505"/>
    </row>
    <row r="11" spans="2:8" ht="13.5" customHeight="1" thickBot="1">
      <c r="B11" s="1489" t="s">
        <v>1</v>
      </c>
      <c r="C11" s="1491" t="s">
        <v>2</v>
      </c>
      <c r="D11" s="1492"/>
      <c r="E11" s="1493"/>
      <c r="F11" s="1494" t="s">
        <v>3</v>
      </c>
      <c r="G11" s="1495"/>
      <c r="H11" s="1496"/>
    </row>
    <row r="12" spans="2:8" ht="16.5" customHeight="1" thickBot="1">
      <c r="B12" s="1490"/>
      <c r="C12" s="904" t="s">
        <v>4</v>
      </c>
      <c r="D12" s="725" t="s">
        <v>5</v>
      </c>
      <c r="E12" s="726" t="s">
        <v>6</v>
      </c>
      <c r="F12" s="921" t="s">
        <v>4</v>
      </c>
      <c r="G12" s="922" t="s">
        <v>5</v>
      </c>
      <c r="H12" s="923" t="s">
        <v>6</v>
      </c>
    </row>
    <row r="13" spans="2:8">
      <c r="B13" s="905">
        <v>38355</v>
      </c>
      <c r="C13" s="908">
        <v>19.45</v>
      </c>
      <c r="D13" s="909">
        <v>18.88</v>
      </c>
      <c r="E13" s="910">
        <v>16.34</v>
      </c>
      <c r="F13" s="908">
        <v>19.149999999999999</v>
      </c>
      <c r="G13" s="909">
        <v>18.579999999999998</v>
      </c>
      <c r="H13" s="910">
        <v>16.07</v>
      </c>
    </row>
    <row r="14" spans="2:8">
      <c r="B14" s="906">
        <v>38362</v>
      </c>
      <c r="C14" s="911">
        <v>19.32</v>
      </c>
      <c r="D14" s="912">
        <v>18.760000000000002</v>
      </c>
      <c r="E14" s="913">
        <v>16.22</v>
      </c>
      <c r="F14" s="911">
        <v>19.03</v>
      </c>
      <c r="G14" s="912">
        <v>18.46</v>
      </c>
      <c r="H14" s="913">
        <v>15.98</v>
      </c>
    </row>
    <row r="15" spans="2:8">
      <c r="B15" s="906">
        <v>38369</v>
      </c>
      <c r="C15" s="911">
        <v>19.010000000000002</v>
      </c>
      <c r="D15" s="912">
        <v>18.43</v>
      </c>
      <c r="E15" s="913">
        <v>15.83</v>
      </c>
      <c r="F15" s="911">
        <v>18.72</v>
      </c>
      <c r="G15" s="912">
        <v>18.16</v>
      </c>
      <c r="H15" s="913">
        <v>15.59</v>
      </c>
    </row>
    <row r="16" spans="2:8">
      <c r="B16" s="906">
        <v>38376</v>
      </c>
      <c r="C16" s="911">
        <v>18.87</v>
      </c>
      <c r="D16" s="912">
        <v>18.3</v>
      </c>
      <c r="E16" s="913">
        <v>15.66</v>
      </c>
      <c r="F16" s="911">
        <v>18.579999999999998</v>
      </c>
      <c r="G16" s="912">
        <v>18.02</v>
      </c>
      <c r="H16" s="913">
        <v>15.44</v>
      </c>
    </row>
    <row r="17" spans="2:8" ht="13.5" thickBot="1">
      <c r="B17" s="907">
        <v>38383</v>
      </c>
      <c r="C17" s="914">
        <v>18.79</v>
      </c>
      <c r="D17" s="915">
        <v>18.23</v>
      </c>
      <c r="E17" s="916">
        <v>15.59</v>
      </c>
      <c r="F17" s="914">
        <v>18.510000000000002</v>
      </c>
      <c r="G17" s="915">
        <v>17.95</v>
      </c>
      <c r="H17" s="916">
        <v>15.34</v>
      </c>
    </row>
    <row r="18" spans="2:8" ht="13.5" thickBot="1">
      <c r="B18" s="917" t="s">
        <v>8</v>
      </c>
      <c r="C18" s="918">
        <f t="shared" ref="C18:H18" si="0">AVERAGE(C13:C17)</f>
        <v>19.088000000000001</v>
      </c>
      <c r="D18" s="919">
        <f t="shared" si="0"/>
        <v>18.520000000000003</v>
      </c>
      <c r="E18" s="919">
        <f t="shared" si="0"/>
        <v>15.928000000000001</v>
      </c>
      <c r="F18" s="919">
        <f t="shared" si="0"/>
        <v>18.797999999999998</v>
      </c>
      <c r="G18" s="919">
        <f t="shared" si="0"/>
        <v>18.234000000000002</v>
      </c>
      <c r="H18" s="920">
        <f t="shared" si="0"/>
        <v>15.684000000000001</v>
      </c>
    </row>
    <row r="19" spans="2:8">
      <c r="B19" s="906">
        <v>38390</v>
      </c>
      <c r="C19" s="911">
        <v>18.72</v>
      </c>
      <c r="D19" s="912">
        <v>18.18</v>
      </c>
      <c r="E19" s="913">
        <v>15.46</v>
      </c>
      <c r="F19" s="911">
        <v>18.41</v>
      </c>
      <c r="G19" s="912">
        <v>17.88</v>
      </c>
      <c r="H19" s="913">
        <v>15.27</v>
      </c>
    </row>
    <row r="20" spans="2:8">
      <c r="B20" s="906">
        <v>38397</v>
      </c>
      <c r="C20" s="911">
        <v>18.600000000000001</v>
      </c>
      <c r="D20" s="912">
        <v>18.07</v>
      </c>
      <c r="E20" s="913">
        <v>15.39</v>
      </c>
      <c r="F20" s="911">
        <v>18.25</v>
      </c>
      <c r="G20" s="912">
        <v>17.75</v>
      </c>
      <c r="H20" s="913">
        <v>15.14</v>
      </c>
    </row>
    <row r="21" spans="2:8">
      <c r="B21" s="906">
        <v>38404</v>
      </c>
      <c r="C21" s="911">
        <v>18.52</v>
      </c>
      <c r="D21" s="912">
        <v>18</v>
      </c>
      <c r="E21" s="913">
        <v>15.31</v>
      </c>
      <c r="F21" s="911">
        <v>18.21</v>
      </c>
      <c r="G21" s="912">
        <v>17.71</v>
      </c>
      <c r="H21" s="913">
        <v>15.11</v>
      </c>
    </row>
    <row r="22" spans="2:8" ht="13.5" thickBot="1">
      <c r="B22" s="907">
        <v>38411</v>
      </c>
      <c r="C22" s="914">
        <v>18.559999999999999</v>
      </c>
      <c r="D22" s="915">
        <v>18.04</v>
      </c>
      <c r="E22" s="916">
        <v>15.22</v>
      </c>
      <c r="F22" s="914">
        <v>18.260000000000002</v>
      </c>
      <c r="G22" s="915">
        <v>17.760000000000002</v>
      </c>
      <c r="H22" s="916">
        <v>14.89</v>
      </c>
    </row>
    <row r="23" spans="2:8" ht="13.5" thickBot="1">
      <c r="B23" s="917" t="s">
        <v>9</v>
      </c>
      <c r="C23" s="918">
        <f t="shared" ref="C23:H23" si="1">AVERAGE(C19:C22)</f>
        <v>18.600000000000001</v>
      </c>
      <c r="D23" s="919">
        <f t="shared" si="1"/>
        <v>18.072499999999998</v>
      </c>
      <c r="E23" s="919">
        <f t="shared" si="1"/>
        <v>15.345000000000001</v>
      </c>
      <c r="F23" s="919">
        <f t="shared" si="1"/>
        <v>18.282499999999999</v>
      </c>
      <c r="G23" s="919">
        <f t="shared" si="1"/>
        <v>17.774999999999999</v>
      </c>
      <c r="H23" s="920">
        <f t="shared" si="1"/>
        <v>15.102499999999999</v>
      </c>
    </row>
    <row r="24" spans="2:8">
      <c r="B24" s="906">
        <v>38418</v>
      </c>
      <c r="C24" s="911">
        <v>18.75</v>
      </c>
      <c r="D24" s="912">
        <v>18.22</v>
      </c>
      <c r="E24" s="913">
        <v>15.33</v>
      </c>
      <c r="F24" s="911">
        <v>18.5</v>
      </c>
      <c r="G24" s="912">
        <v>17.98</v>
      </c>
      <c r="H24" s="913">
        <v>15.03</v>
      </c>
    </row>
    <row r="25" spans="2:8">
      <c r="B25" s="906">
        <v>38427</v>
      </c>
      <c r="C25" s="911">
        <v>19.78</v>
      </c>
      <c r="D25" s="912">
        <v>19.260000000000002</v>
      </c>
      <c r="E25" s="913">
        <v>16.21</v>
      </c>
      <c r="F25" s="911">
        <v>19.489999999999998</v>
      </c>
      <c r="G25" s="912">
        <v>18.98</v>
      </c>
      <c r="H25" s="913">
        <v>15.99</v>
      </c>
    </row>
    <row r="26" spans="2:8">
      <c r="B26" s="906">
        <v>38433</v>
      </c>
      <c r="C26" s="911">
        <v>20.14</v>
      </c>
      <c r="D26" s="912">
        <v>19.63</v>
      </c>
      <c r="E26" s="913">
        <v>16.61</v>
      </c>
      <c r="F26" s="911">
        <v>19.84</v>
      </c>
      <c r="G26" s="912">
        <v>19.34</v>
      </c>
      <c r="H26" s="913">
        <v>16.41</v>
      </c>
    </row>
    <row r="27" spans="2:8" ht="13.5" thickBot="1">
      <c r="B27" s="907">
        <v>38441</v>
      </c>
      <c r="C27" s="914">
        <v>20.38</v>
      </c>
      <c r="D27" s="915">
        <v>19.87</v>
      </c>
      <c r="E27" s="916">
        <v>16.850000000000001</v>
      </c>
      <c r="F27" s="914">
        <v>20.02</v>
      </c>
      <c r="G27" s="915">
        <v>19.52</v>
      </c>
      <c r="H27" s="916">
        <v>16.59</v>
      </c>
    </row>
    <row r="28" spans="2:8" ht="13.5" thickBot="1">
      <c r="B28" s="917" t="s">
        <v>10</v>
      </c>
      <c r="C28" s="918">
        <f t="shared" ref="C28:H28" si="2">AVERAGE(C24:C27)</f>
        <v>19.762499999999999</v>
      </c>
      <c r="D28" s="919">
        <f t="shared" si="2"/>
        <v>19.245000000000001</v>
      </c>
      <c r="E28" s="919">
        <f t="shared" si="2"/>
        <v>16.25</v>
      </c>
      <c r="F28" s="919">
        <f t="shared" si="2"/>
        <v>19.462499999999999</v>
      </c>
      <c r="G28" s="919">
        <f t="shared" si="2"/>
        <v>18.954999999999998</v>
      </c>
      <c r="H28" s="920">
        <f t="shared" si="2"/>
        <v>16.004999999999999</v>
      </c>
    </row>
    <row r="29" spans="2:8">
      <c r="B29" s="906">
        <v>38447</v>
      </c>
      <c r="C29" s="911">
        <v>20.85</v>
      </c>
      <c r="D29" s="912">
        <v>20.34</v>
      </c>
      <c r="E29" s="913">
        <v>17.16</v>
      </c>
      <c r="F29" s="911">
        <v>20.49</v>
      </c>
      <c r="G29" s="912">
        <v>19.940000000000001</v>
      </c>
      <c r="H29" s="913">
        <v>16.93</v>
      </c>
    </row>
    <row r="30" spans="2:8">
      <c r="B30" s="906">
        <v>38455</v>
      </c>
      <c r="C30" s="911">
        <v>22.18</v>
      </c>
      <c r="D30" s="912">
        <v>21.66</v>
      </c>
      <c r="E30" s="913">
        <v>18.190000000000001</v>
      </c>
      <c r="F30" s="911">
        <v>21.97</v>
      </c>
      <c r="G30" s="912">
        <v>21.45</v>
      </c>
      <c r="H30" s="913">
        <v>18.09</v>
      </c>
    </row>
    <row r="31" spans="2:8">
      <c r="B31" s="906">
        <v>38460</v>
      </c>
      <c r="C31" s="911">
        <v>22.35</v>
      </c>
      <c r="D31" s="912">
        <v>21.82</v>
      </c>
      <c r="E31" s="913">
        <v>18.32</v>
      </c>
      <c r="F31" s="911">
        <v>22.16</v>
      </c>
      <c r="G31" s="912">
        <v>21.65</v>
      </c>
      <c r="H31" s="913">
        <v>18.27</v>
      </c>
    </row>
    <row r="32" spans="2:8" ht="13.5" thickBot="1">
      <c r="B32" s="907">
        <v>38467</v>
      </c>
      <c r="C32" s="914">
        <v>22.39</v>
      </c>
      <c r="D32" s="915">
        <v>21.86</v>
      </c>
      <c r="E32" s="916">
        <v>18.36</v>
      </c>
      <c r="F32" s="914">
        <v>22.19</v>
      </c>
      <c r="G32" s="915">
        <v>21.68</v>
      </c>
      <c r="H32" s="916">
        <v>18.27</v>
      </c>
    </row>
    <row r="33" spans="2:8" ht="13.5" thickBot="1">
      <c r="B33" s="917" t="s">
        <v>11</v>
      </c>
      <c r="C33" s="918">
        <f t="shared" ref="C33:H33" si="3">AVERAGE(C29:C32)</f>
        <v>21.942499999999999</v>
      </c>
      <c r="D33" s="919">
        <f t="shared" si="3"/>
        <v>21.42</v>
      </c>
      <c r="E33" s="919">
        <f t="shared" si="3"/>
        <v>18.0075</v>
      </c>
      <c r="F33" s="919">
        <f t="shared" si="3"/>
        <v>21.702499999999997</v>
      </c>
      <c r="G33" s="919">
        <f t="shared" si="3"/>
        <v>21.18</v>
      </c>
      <c r="H33" s="920">
        <f t="shared" si="3"/>
        <v>17.889999999999997</v>
      </c>
    </row>
    <row r="34" spans="2:8">
      <c r="B34" s="905">
        <v>38474</v>
      </c>
      <c r="C34" s="908">
        <v>22.51</v>
      </c>
      <c r="D34" s="909">
        <v>21.99</v>
      </c>
      <c r="E34" s="910">
        <v>18.510000000000002</v>
      </c>
      <c r="F34" s="908">
        <v>22.28</v>
      </c>
      <c r="G34" s="909">
        <v>21.76</v>
      </c>
      <c r="H34" s="910">
        <v>18.39</v>
      </c>
    </row>
    <row r="35" spans="2:8">
      <c r="B35" s="906">
        <v>38481</v>
      </c>
      <c r="C35" s="911">
        <v>22.51</v>
      </c>
      <c r="D35" s="912">
        <v>21.99</v>
      </c>
      <c r="E35" s="913">
        <v>18.55</v>
      </c>
      <c r="F35" s="911">
        <v>22.27</v>
      </c>
      <c r="G35" s="912">
        <v>21.77</v>
      </c>
      <c r="H35" s="913">
        <v>18.39</v>
      </c>
    </row>
    <row r="36" spans="2:8">
      <c r="B36" s="906">
        <v>38488</v>
      </c>
      <c r="C36" s="911">
        <v>22.51</v>
      </c>
      <c r="D36" s="912">
        <v>22.01</v>
      </c>
      <c r="E36" s="913">
        <v>18.559999999999999</v>
      </c>
      <c r="F36" s="911">
        <v>22.26</v>
      </c>
      <c r="G36" s="912">
        <v>21.76</v>
      </c>
      <c r="H36" s="913">
        <v>18.36</v>
      </c>
    </row>
    <row r="37" spans="2:8">
      <c r="B37" s="906">
        <v>38495</v>
      </c>
      <c r="C37" s="911">
        <v>22.46</v>
      </c>
      <c r="D37" s="912">
        <v>21.97</v>
      </c>
      <c r="E37" s="913">
        <v>18.53</v>
      </c>
      <c r="F37" s="911">
        <v>22.22</v>
      </c>
      <c r="G37" s="912">
        <v>21.72</v>
      </c>
      <c r="H37" s="913">
        <v>18.34</v>
      </c>
    </row>
    <row r="38" spans="2:8" ht="13.5" thickBot="1">
      <c r="B38" s="907">
        <v>38502</v>
      </c>
      <c r="C38" s="914">
        <v>22.39</v>
      </c>
      <c r="D38" s="915">
        <v>21.9</v>
      </c>
      <c r="E38" s="916">
        <v>18.37</v>
      </c>
      <c r="F38" s="914">
        <v>22.14</v>
      </c>
      <c r="G38" s="915">
        <v>21.63</v>
      </c>
      <c r="H38" s="916">
        <v>18.05</v>
      </c>
    </row>
    <row r="39" spans="2:8" ht="13.5" thickBot="1">
      <c r="B39" s="917" t="s">
        <v>12</v>
      </c>
      <c r="C39" s="918">
        <f t="shared" ref="C39:H39" si="4">AVERAGE(C34:C38)</f>
        <v>22.476000000000003</v>
      </c>
      <c r="D39" s="919">
        <f t="shared" si="4"/>
        <v>21.971999999999998</v>
      </c>
      <c r="E39" s="919">
        <f t="shared" si="4"/>
        <v>18.504000000000001</v>
      </c>
      <c r="F39" s="919">
        <f t="shared" si="4"/>
        <v>22.234000000000002</v>
      </c>
      <c r="G39" s="919">
        <f t="shared" si="4"/>
        <v>21.728000000000002</v>
      </c>
      <c r="H39" s="920">
        <f t="shared" si="4"/>
        <v>18.306000000000001</v>
      </c>
    </row>
    <row r="40" spans="2:8">
      <c r="B40" s="906">
        <v>38509</v>
      </c>
      <c r="C40" s="911">
        <v>22.31</v>
      </c>
      <c r="D40" s="912">
        <v>21.82</v>
      </c>
      <c r="E40" s="913">
        <v>17.43</v>
      </c>
      <c r="F40" s="911">
        <v>22.04</v>
      </c>
      <c r="G40" s="912">
        <v>21.54</v>
      </c>
      <c r="H40" s="913">
        <v>17.100000000000001</v>
      </c>
    </row>
    <row r="41" spans="2:8">
      <c r="B41" s="906">
        <v>38516</v>
      </c>
      <c r="C41" s="911">
        <v>22.27</v>
      </c>
      <c r="D41" s="912">
        <v>21.78</v>
      </c>
      <c r="E41" s="913">
        <v>17.29</v>
      </c>
      <c r="F41" s="911">
        <v>22.02</v>
      </c>
      <c r="G41" s="912">
        <v>21.52</v>
      </c>
      <c r="H41" s="913">
        <v>17.03</v>
      </c>
    </row>
    <row r="42" spans="2:8">
      <c r="B42" s="906">
        <v>38523</v>
      </c>
      <c r="C42" s="911">
        <v>22.2</v>
      </c>
      <c r="D42" s="912">
        <v>21.72</v>
      </c>
      <c r="E42" s="913">
        <v>17.16</v>
      </c>
      <c r="F42" s="911">
        <v>21.96</v>
      </c>
      <c r="G42" s="912">
        <v>21.47</v>
      </c>
      <c r="H42" s="913">
        <v>16.940000000000001</v>
      </c>
    </row>
    <row r="43" spans="2:8" ht="13.5" thickBot="1">
      <c r="B43" s="907">
        <v>38530</v>
      </c>
      <c r="C43" s="914">
        <v>22.11</v>
      </c>
      <c r="D43" s="915">
        <v>21.63</v>
      </c>
      <c r="E43" s="916">
        <v>17.11</v>
      </c>
      <c r="F43" s="914">
        <v>21.81</v>
      </c>
      <c r="G43" s="915">
        <v>21.33</v>
      </c>
      <c r="H43" s="916">
        <v>16.89</v>
      </c>
    </row>
    <row r="44" spans="2:8" ht="13.5" thickBot="1">
      <c r="B44" s="917" t="s">
        <v>13</v>
      </c>
      <c r="C44" s="918">
        <f t="shared" ref="C44:H44" si="5">AVERAGE(C40:C43)</f>
        <v>22.2225</v>
      </c>
      <c r="D44" s="919">
        <f t="shared" si="5"/>
        <v>21.737499999999997</v>
      </c>
      <c r="E44" s="919">
        <f t="shared" si="5"/>
        <v>17.247499999999999</v>
      </c>
      <c r="F44" s="919">
        <f t="shared" si="5"/>
        <v>21.957500000000003</v>
      </c>
      <c r="G44" s="919">
        <f t="shared" si="5"/>
        <v>21.465</v>
      </c>
      <c r="H44" s="920">
        <f t="shared" si="5"/>
        <v>16.990000000000002</v>
      </c>
    </row>
    <row r="45" spans="2:8">
      <c r="B45" s="906">
        <v>38537</v>
      </c>
      <c r="C45" s="911">
        <v>22.21</v>
      </c>
      <c r="D45" s="912">
        <v>21.71</v>
      </c>
      <c r="E45" s="913">
        <v>17.190000000000001</v>
      </c>
      <c r="F45" s="911">
        <v>21.92</v>
      </c>
      <c r="G45" s="912">
        <v>21.42</v>
      </c>
      <c r="H45" s="913">
        <v>17</v>
      </c>
    </row>
    <row r="46" spans="2:8">
      <c r="B46" s="906">
        <v>38544</v>
      </c>
      <c r="C46" s="911">
        <v>22.23</v>
      </c>
      <c r="D46" s="912">
        <v>21.73</v>
      </c>
      <c r="E46" s="913">
        <v>17.23</v>
      </c>
      <c r="F46" s="911">
        <v>21.94</v>
      </c>
      <c r="G46" s="912">
        <v>21.44</v>
      </c>
      <c r="H46" s="913">
        <v>17.03</v>
      </c>
    </row>
    <row r="47" spans="2:8">
      <c r="B47" s="906">
        <v>38551</v>
      </c>
      <c r="C47" s="911">
        <v>22.25</v>
      </c>
      <c r="D47" s="912">
        <v>21.75</v>
      </c>
      <c r="E47" s="913">
        <v>17.28</v>
      </c>
      <c r="F47" s="911">
        <v>21.94</v>
      </c>
      <c r="G47" s="912">
        <v>21.44</v>
      </c>
      <c r="H47" s="913">
        <v>17.05</v>
      </c>
    </row>
    <row r="48" spans="2:8" ht="13.5" thickBot="1">
      <c r="B48" s="907">
        <v>38558</v>
      </c>
      <c r="C48" s="914">
        <v>22.24</v>
      </c>
      <c r="D48" s="915">
        <v>21.74</v>
      </c>
      <c r="E48" s="916">
        <v>17.29</v>
      </c>
      <c r="F48" s="914">
        <v>21.92</v>
      </c>
      <c r="G48" s="915">
        <v>21.43</v>
      </c>
      <c r="H48" s="916">
        <v>17.05</v>
      </c>
    </row>
    <row r="49" spans="2:8" ht="13.5" thickBot="1">
      <c r="B49" s="917" t="s">
        <v>14</v>
      </c>
      <c r="C49" s="918">
        <f t="shared" ref="C49:H49" si="6">AVERAGE(C45:C48)</f>
        <v>22.232499999999998</v>
      </c>
      <c r="D49" s="919">
        <f t="shared" si="6"/>
        <v>21.732499999999998</v>
      </c>
      <c r="E49" s="919">
        <f t="shared" si="6"/>
        <v>17.247500000000002</v>
      </c>
      <c r="F49" s="919">
        <f t="shared" si="6"/>
        <v>21.93</v>
      </c>
      <c r="G49" s="919">
        <f t="shared" si="6"/>
        <v>21.432499999999997</v>
      </c>
      <c r="H49" s="920">
        <f t="shared" si="6"/>
        <v>17.032499999999999</v>
      </c>
    </row>
    <row r="50" spans="2:8">
      <c r="B50" s="905">
        <v>38565</v>
      </c>
      <c r="C50" s="908">
        <v>22.21</v>
      </c>
      <c r="D50" s="909">
        <v>21.72</v>
      </c>
      <c r="E50" s="910">
        <v>17.38</v>
      </c>
      <c r="F50" s="908">
        <v>21.88</v>
      </c>
      <c r="G50" s="909">
        <v>21.39</v>
      </c>
      <c r="H50" s="910">
        <v>17.22</v>
      </c>
    </row>
    <row r="51" spans="2:8">
      <c r="B51" s="906">
        <v>38572</v>
      </c>
      <c r="C51" s="911">
        <v>22.22</v>
      </c>
      <c r="D51" s="912">
        <v>21.72</v>
      </c>
      <c r="E51" s="913">
        <v>17.46</v>
      </c>
      <c r="F51" s="911">
        <v>21.88</v>
      </c>
      <c r="G51" s="912">
        <v>21.39</v>
      </c>
      <c r="H51" s="913">
        <v>17.27</v>
      </c>
    </row>
    <row r="52" spans="2:8">
      <c r="B52" s="906">
        <v>38580</v>
      </c>
      <c r="C52" s="911">
        <v>22.64</v>
      </c>
      <c r="D52" s="912">
        <v>22.12</v>
      </c>
      <c r="E52" s="913">
        <v>17.68</v>
      </c>
      <c r="F52" s="911">
        <v>22.35</v>
      </c>
      <c r="G52" s="912">
        <v>21.83</v>
      </c>
      <c r="H52" s="913">
        <v>17.45</v>
      </c>
    </row>
    <row r="53" spans="2:8">
      <c r="B53" s="906">
        <v>38586</v>
      </c>
      <c r="C53" s="911">
        <v>22.89</v>
      </c>
      <c r="D53" s="912">
        <v>22.36</v>
      </c>
      <c r="E53" s="913">
        <v>17.84</v>
      </c>
      <c r="F53" s="911">
        <v>22.61</v>
      </c>
      <c r="G53" s="912">
        <v>22.05</v>
      </c>
      <c r="H53" s="913">
        <v>17.68</v>
      </c>
    </row>
    <row r="54" spans="2:8" ht="13.5" thickBot="1">
      <c r="B54" s="907">
        <v>38593</v>
      </c>
      <c r="C54" s="914">
        <v>24.49</v>
      </c>
      <c r="D54" s="915">
        <v>23.97</v>
      </c>
      <c r="E54" s="916">
        <v>18.62</v>
      </c>
      <c r="F54" s="914">
        <v>24.34</v>
      </c>
      <c r="G54" s="915">
        <v>23.79</v>
      </c>
      <c r="H54" s="916">
        <v>18.53</v>
      </c>
    </row>
    <row r="55" spans="2:8" ht="13.5" thickBot="1">
      <c r="B55" s="917" t="s">
        <v>15</v>
      </c>
      <c r="C55" s="918">
        <f t="shared" ref="C55:H55" si="7">AVERAGE(C50:C54)</f>
        <v>22.889999999999997</v>
      </c>
      <c r="D55" s="919">
        <f t="shared" si="7"/>
        <v>22.378</v>
      </c>
      <c r="E55" s="919">
        <f t="shared" si="7"/>
        <v>17.795999999999999</v>
      </c>
      <c r="F55" s="919">
        <f t="shared" si="7"/>
        <v>22.612000000000002</v>
      </c>
      <c r="G55" s="919">
        <f t="shared" si="7"/>
        <v>22.089999999999996</v>
      </c>
      <c r="H55" s="920">
        <f t="shared" si="7"/>
        <v>17.630000000000003</v>
      </c>
    </row>
    <row r="56" spans="2:8">
      <c r="B56" s="906">
        <v>38600</v>
      </c>
      <c r="C56" s="911">
        <v>24.64</v>
      </c>
      <c r="D56" s="912">
        <v>24.1</v>
      </c>
      <c r="E56" s="913">
        <v>18.690000000000001</v>
      </c>
      <c r="F56" s="911">
        <v>24.37</v>
      </c>
      <c r="G56" s="912">
        <v>23.79</v>
      </c>
      <c r="H56" s="913">
        <v>18.52</v>
      </c>
    </row>
    <row r="57" spans="2:8">
      <c r="B57" s="906">
        <v>38607</v>
      </c>
      <c r="C57" s="911">
        <v>24.82</v>
      </c>
      <c r="D57" s="912">
        <v>24.29</v>
      </c>
      <c r="E57" s="913">
        <v>18.78</v>
      </c>
      <c r="F57" s="911">
        <v>24.45</v>
      </c>
      <c r="G57" s="912">
        <v>23.86</v>
      </c>
      <c r="H57" s="913">
        <v>18.54</v>
      </c>
    </row>
    <row r="58" spans="2:8">
      <c r="B58" s="906">
        <v>38614</v>
      </c>
      <c r="C58" s="911">
        <v>26.33</v>
      </c>
      <c r="D58" s="912">
        <v>25.8</v>
      </c>
      <c r="E58" s="913">
        <v>19.72</v>
      </c>
      <c r="F58" s="911">
        <v>26</v>
      </c>
      <c r="G58" s="912">
        <v>25.49</v>
      </c>
      <c r="H58" s="913">
        <v>19.5</v>
      </c>
    </row>
    <row r="59" spans="2:8" ht="13.5" thickBot="1">
      <c r="B59" s="907">
        <v>38621</v>
      </c>
      <c r="C59" s="914">
        <v>26.32</v>
      </c>
      <c r="D59" s="915">
        <v>25.81</v>
      </c>
      <c r="E59" s="916">
        <v>19.690000000000001</v>
      </c>
      <c r="F59" s="914">
        <v>26</v>
      </c>
      <c r="G59" s="915">
        <v>25.51</v>
      </c>
      <c r="H59" s="916">
        <v>19.489999999999998</v>
      </c>
    </row>
    <row r="60" spans="2:8" ht="13.5" thickBot="1">
      <c r="B60" s="917" t="s">
        <v>16</v>
      </c>
      <c r="C60" s="918">
        <f t="shared" ref="C60:H60" si="8">AVERAGE(C56:C59)</f>
        <v>25.527499999999996</v>
      </c>
      <c r="D60" s="919">
        <f t="shared" si="8"/>
        <v>25</v>
      </c>
      <c r="E60" s="919">
        <f t="shared" si="8"/>
        <v>19.22</v>
      </c>
      <c r="F60" s="919">
        <f t="shared" si="8"/>
        <v>25.204999999999998</v>
      </c>
      <c r="G60" s="919">
        <f t="shared" si="8"/>
        <v>24.662500000000001</v>
      </c>
      <c r="H60" s="920">
        <f t="shared" si="8"/>
        <v>19.012499999999999</v>
      </c>
    </row>
    <row r="61" spans="2:8">
      <c r="B61" s="905">
        <v>38628</v>
      </c>
      <c r="C61" s="908">
        <v>27.75</v>
      </c>
      <c r="D61" s="909">
        <v>27.24</v>
      </c>
      <c r="E61" s="910">
        <v>20.6</v>
      </c>
      <c r="F61" s="908">
        <v>27.48</v>
      </c>
      <c r="G61" s="909">
        <v>26.97</v>
      </c>
      <c r="H61" s="910">
        <v>20.5</v>
      </c>
    </row>
    <row r="62" spans="2:8">
      <c r="B62" s="906">
        <v>38635</v>
      </c>
      <c r="C62" s="911">
        <v>27.6</v>
      </c>
      <c r="D62" s="912">
        <v>27.12</v>
      </c>
      <c r="E62" s="913">
        <v>20.63</v>
      </c>
      <c r="F62" s="911">
        <v>27.08</v>
      </c>
      <c r="G62" s="912">
        <v>26.56</v>
      </c>
      <c r="H62" s="913">
        <v>20.11</v>
      </c>
    </row>
    <row r="63" spans="2:8">
      <c r="B63" s="906">
        <v>38642</v>
      </c>
      <c r="C63" s="911">
        <v>26.99</v>
      </c>
      <c r="D63" s="912">
        <v>26.47</v>
      </c>
      <c r="E63" s="913">
        <v>20.2</v>
      </c>
      <c r="F63" s="911">
        <v>26.61</v>
      </c>
      <c r="G63" s="912">
        <v>26.08</v>
      </c>
      <c r="H63" s="913">
        <v>19.95</v>
      </c>
    </row>
    <row r="64" spans="2:8">
      <c r="B64" s="906">
        <v>38649</v>
      </c>
      <c r="C64" s="911">
        <v>26.9</v>
      </c>
      <c r="D64" s="912">
        <v>26.4</v>
      </c>
      <c r="E64" s="913">
        <v>20.41</v>
      </c>
      <c r="F64" s="911">
        <v>26.55</v>
      </c>
      <c r="G64" s="912">
        <v>26.04</v>
      </c>
      <c r="H64" s="913">
        <v>20.3</v>
      </c>
    </row>
    <row r="65" spans="2:15" ht="13.5" thickBot="1">
      <c r="B65" s="907">
        <v>38656</v>
      </c>
      <c r="C65" s="914">
        <v>26.85</v>
      </c>
      <c r="D65" s="915">
        <v>26.36</v>
      </c>
      <c r="E65" s="916">
        <v>20.67</v>
      </c>
      <c r="F65" s="914">
        <v>26.54</v>
      </c>
      <c r="G65" s="915">
        <v>26.02</v>
      </c>
      <c r="H65" s="916">
        <v>20.5</v>
      </c>
    </row>
    <row r="66" spans="2:15" ht="13.5" thickBot="1">
      <c r="B66" s="917" t="s">
        <v>17</v>
      </c>
      <c r="C66" s="918">
        <f t="shared" ref="C66:H66" si="9">AVERAGE(C61:C65)</f>
        <v>27.218</v>
      </c>
      <c r="D66" s="919">
        <f t="shared" si="9"/>
        <v>26.717999999999996</v>
      </c>
      <c r="E66" s="919">
        <f t="shared" si="9"/>
        <v>20.502000000000002</v>
      </c>
      <c r="F66" s="919">
        <f t="shared" si="9"/>
        <v>26.851999999999997</v>
      </c>
      <c r="G66" s="919">
        <f t="shared" si="9"/>
        <v>26.334000000000003</v>
      </c>
      <c r="H66" s="920">
        <f t="shared" si="9"/>
        <v>20.271999999999998</v>
      </c>
    </row>
    <row r="67" spans="2:15">
      <c r="B67" s="906">
        <v>38663</v>
      </c>
      <c r="C67" s="911">
        <v>26.81</v>
      </c>
      <c r="D67" s="912">
        <v>26.33</v>
      </c>
      <c r="E67" s="913">
        <v>21.13</v>
      </c>
      <c r="F67" s="911">
        <v>26.52</v>
      </c>
      <c r="G67" s="912">
        <v>26.01</v>
      </c>
      <c r="H67" s="913">
        <v>20.87</v>
      </c>
    </row>
    <row r="68" spans="2:15">
      <c r="B68" s="906">
        <v>38670</v>
      </c>
      <c r="C68" s="911">
        <v>26.74</v>
      </c>
      <c r="D68" s="912">
        <v>26.26</v>
      </c>
      <c r="E68" s="913">
        <v>21.16</v>
      </c>
      <c r="F68" s="911">
        <v>26.39</v>
      </c>
      <c r="G68" s="912">
        <v>25.88</v>
      </c>
      <c r="H68" s="913">
        <v>20.96</v>
      </c>
    </row>
    <row r="69" spans="2:15" ht="13.5" thickBot="1">
      <c r="B69" s="906">
        <v>38677</v>
      </c>
      <c r="C69" s="911">
        <v>26.36</v>
      </c>
      <c r="D69" s="912">
        <v>25.87</v>
      </c>
      <c r="E69" s="913">
        <v>21.13</v>
      </c>
      <c r="F69" s="911">
        <v>26.07</v>
      </c>
      <c r="G69" s="912">
        <v>25.57</v>
      </c>
      <c r="H69" s="913">
        <v>20.97</v>
      </c>
    </row>
    <row r="70" spans="2:15" ht="13.5" thickBot="1">
      <c r="B70" s="907">
        <v>38684</v>
      </c>
      <c r="C70" s="914">
        <v>24.5</v>
      </c>
      <c r="D70" s="915">
        <v>24.02</v>
      </c>
      <c r="E70" s="916">
        <v>20.89</v>
      </c>
      <c r="F70" s="914">
        <v>23.82</v>
      </c>
      <c r="G70" s="915">
        <v>23.31</v>
      </c>
      <c r="H70" s="916">
        <v>20.58</v>
      </c>
      <c r="I70" s="1489"/>
      <c r="J70" s="1491"/>
      <c r="K70" s="1492"/>
      <c r="L70" s="1493"/>
      <c r="M70" s="1494"/>
      <c r="N70" s="1495"/>
      <c r="O70" s="1496"/>
    </row>
    <row r="71" spans="2:15" ht="13.5" thickBot="1">
      <c r="B71" s="917" t="s">
        <v>18</v>
      </c>
      <c r="C71" s="918">
        <f t="shared" ref="C71:H71" si="10">AVERAGE(C67:C70)</f>
        <v>26.102499999999999</v>
      </c>
      <c r="D71" s="919">
        <f t="shared" si="10"/>
        <v>25.62</v>
      </c>
      <c r="E71" s="919">
        <f t="shared" si="10"/>
        <v>21.077500000000001</v>
      </c>
      <c r="F71" s="919">
        <f t="shared" si="10"/>
        <v>25.699999999999996</v>
      </c>
      <c r="G71" s="919">
        <f t="shared" si="10"/>
        <v>25.192500000000003</v>
      </c>
      <c r="H71" s="920">
        <f t="shared" si="10"/>
        <v>20.844999999999999</v>
      </c>
      <c r="I71" s="1490"/>
      <c r="J71" s="904"/>
      <c r="K71" s="725"/>
      <c r="L71" s="726"/>
      <c r="M71" s="921"/>
      <c r="N71" s="922"/>
      <c r="O71" s="923"/>
    </row>
    <row r="72" spans="2:15">
      <c r="B72" s="906">
        <v>38691</v>
      </c>
      <c r="C72" s="911">
        <v>23.79</v>
      </c>
      <c r="D72" s="912">
        <v>23.27</v>
      </c>
      <c r="E72" s="913">
        <v>20.73</v>
      </c>
      <c r="F72" s="911">
        <v>23.39</v>
      </c>
      <c r="G72" s="912">
        <v>22.86</v>
      </c>
      <c r="H72" s="913">
        <v>20.51</v>
      </c>
      <c r="I72" s="905"/>
      <c r="J72" s="908"/>
      <c r="K72" s="909"/>
      <c r="L72" s="910"/>
      <c r="M72" s="908"/>
      <c r="N72" s="909"/>
      <c r="O72" s="910"/>
    </row>
    <row r="73" spans="2:15">
      <c r="B73" s="906">
        <v>38698</v>
      </c>
      <c r="C73" s="911">
        <v>23.38</v>
      </c>
      <c r="D73" s="912">
        <v>22.88</v>
      </c>
      <c r="E73" s="913">
        <v>20.64</v>
      </c>
      <c r="F73" s="911">
        <v>23.02</v>
      </c>
      <c r="G73" s="912">
        <v>22.52</v>
      </c>
      <c r="H73" s="913">
        <v>20.46</v>
      </c>
      <c r="I73" s="906"/>
      <c r="J73" s="911"/>
      <c r="K73" s="912"/>
      <c r="L73" s="913"/>
      <c r="M73" s="911"/>
      <c r="N73" s="912"/>
      <c r="O73" s="913"/>
    </row>
    <row r="74" spans="2:15">
      <c r="B74" s="906">
        <v>38705</v>
      </c>
      <c r="C74" s="911">
        <v>23.13</v>
      </c>
      <c r="D74" s="912">
        <v>22.65</v>
      </c>
      <c r="E74" s="913">
        <v>20.57</v>
      </c>
      <c r="F74" s="911">
        <v>22.81</v>
      </c>
      <c r="G74" s="912">
        <v>22.31</v>
      </c>
      <c r="H74" s="913">
        <v>20.43</v>
      </c>
      <c r="I74" s="906"/>
      <c r="J74" s="911"/>
      <c r="K74" s="912"/>
      <c r="L74" s="913"/>
      <c r="M74" s="911"/>
      <c r="N74" s="912"/>
      <c r="O74" s="913"/>
    </row>
    <row r="75" spans="2:15" ht="13.5" thickBot="1">
      <c r="B75" s="907">
        <v>38712</v>
      </c>
      <c r="C75" s="914">
        <v>22.87</v>
      </c>
      <c r="D75" s="915">
        <v>22.38</v>
      </c>
      <c r="E75" s="916">
        <v>20.51</v>
      </c>
      <c r="F75" s="914">
        <v>22.49</v>
      </c>
      <c r="G75" s="915">
        <v>21.99</v>
      </c>
      <c r="H75" s="916">
        <v>20.34</v>
      </c>
      <c r="I75" s="906"/>
      <c r="J75" s="911"/>
      <c r="K75" s="912"/>
      <c r="L75" s="913"/>
      <c r="M75" s="911"/>
      <c r="N75" s="912"/>
      <c r="O75" s="913"/>
    </row>
    <row r="76" spans="2:15" ht="13.5" thickBot="1">
      <c r="B76" s="917" t="s">
        <v>19</v>
      </c>
      <c r="C76" s="918">
        <f t="shared" ref="C76:H76" si="11">AVERAGE(C72:C75)</f>
        <v>23.2925</v>
      </c>
      <c r="D76" s="919">
        <f t="shared" si="11"/>
        <v>22.794999999999998</v>
      </c>
      <c r="E76" s="919">
        <f t="shared" si="11"/>
        <v>20.612500000000001</v>
      </c>
      <c r="F76" s="919">
        <f t="shared" si="11"/>
        <v>22.927499999999998</v>
      </c>
      <c r="G76" s="919">
        <f t="shared" si="11"/>
        <v>22.419999999999998</v>
      </c>
      <c r="H76" s="920">
        <f t="shared" si="11"/>
        <v>20.434999999999999</v>
      </c>
      <c r="I76" s="907"/>
      <c r="J76" s="914"/>
      <c r="K76" s="915"/>
      <c r="L76" s="916"/>
      <c r="M76" s="914"/>
      <c r="N76" s="915"/>
      <c r="O76" s="916"/>
    </row>
    <row r="77" spans="2:15" ht="13.5" thickBot="1">
      <c r="B77" s="924"/>
      <c r="C77" s="925"/>
      <c r="D77" s="926"/>
      <c r="E77" s="927"/>
      <c r="F77" s="925"/>
      <c r="G77" s="926"/>
      <c r="H77" s="927"/>
      <c r="I77" s="917"/>
      <c r="J77" s="918"/>
      <c r="K77" s="919"/>
      <c r="L77" s="919"/>
      <c r="M77" s="919"/>
      <c r="N77" s="919"/>
      <c r="O77" s="920"/>
    </row>
    <row r="78" spans="2:15">
      <c r="I78" s="906"/>
      <c r="J78" s="911"/>
      <c r="K78" s="912"/>
      <c r="L78" s="913"/>
      <c r="M78" s="911"/>
      <c r="N78" s="912"/>
      <c r="O78" s="913"/>
    </row>
    <row r="79" spans="2:15">
      <c r="I79" s="906"/>
      <c r="J79" s="911"/>
      <c r="K79" s="912"/>
      <c r="L79" s="913"/>
      <c r="M79" s="911"/>
      <c r="N79" s="912"/>
      <c r="O79" s="913"/>
    </row>
    <row r="80" spans="2:15">
      <c r="I80" s="906"/>
      <c r="J80" s="911"/>
      <c r="K80" s="912"/>
      <c r="L80" s="913"/>
      <c r="M80" s="911"/>
      <c r="N80" s="912"/>
      <c r="O80" s="913"/>
    </row>
    <row r="81" spans="9:15" ht="13.5" thickBot="1">
      <c r="I81" s="907"/>
      <c r="J81" s="914"/>
      <c r="K81" s="915"/>
      <c r="L81" s="916"/>
      <c r="M81" s="914"/>
      <c r="N81" s="915"/>
      <c r="O81" s="916"/>
    </row>
    <row r="82" spans="9:15" ht="13.5" thickBot="1">
      <c r="I82" s="917"/>
      <c r="J82" s="918"/>
      <c r="K82" s="919"/>
      <c r="L82" s="919"/>
      <c r="M82" s="919"/>
      <c r="N82" s="919"/>
      <c r="O82" s="920"/>
    </row>
    <row r="83" spans="9:15">
      <c r="I83" s="906"/>
      <c r="J83" s="911"/>
      <c r="K83" s="912"/>
      <c r="L83" s="913"/>
      <c r="M83" s="911"/>
      <c r="N83" s="912"/>
      <c r="O83" s="913"/>
    </row>
    <row r="84" spans="9:15">
      <c r="I84" s="906"/>
      <c r="J84" s="911"/>
      <c r="K84" s="912"/>
      <c r="L84" s="913"/>
      <c r="M84" s="911"/>
      <c r="N84" s="912"/>
      <c r="O84" s="913"/>
    </row>
    <row r="85" spans="9:15">
      <c r="I85" s="906"/>
      <c r="J85" s="911"/>
      <c r="K85" s="912"/>
      <c r="L85" s="913"/>
      <c r="M85" s="911"/>
      <c r="N85" s="912"/>
      <c r="O85" s="913"/>
    </row>
    <row r="86" spans="9:15" ht="13.5" thickBot="1">
      <c r="I86" s="907"/>
      <c r="J86" s="914"/>
      <c r="K86" s="915"/>
      <c r="L86" s="916"/>
      <c r="M86" s="914"/>
      <c r="N86" s="915"/>
      <c r="O86" s="916"/>
    </row>
    <row r="87" spans="9:15" ht="13.5" thickBot="1">
      <c r="I87" s="917"/>
      <c r="J87" s="918"/>
      <c r="K87" s="919"/>
      <c r="L87" s="919"/>
      <c r="M87" s="919"/>
      <c r="N87" s="919"/>
      <c r="O87" s="920"/>
    </row>
    <row r="88" spans="9:15">
      <c r="I88" s="906"/>
      <c r="J88" s="911"/>
      <c r="K88" s="912"/>
      <c r="L88" s="913"/>
      <c r="M88" s="911"/>
      <c r="N88" s="912"/>
      <c r="O88" s="913"/>
    </row>
    <row r="89" spans="9:15">
      <c r="I89" s="906"/>
      <c r="J89" s="911"/>
      <c r="K89" s="912"/>
      <c r="L89" s="913"/>
      <c r="M89" s="911"/>
      <c r="N89" s="912"/>
      <c r="O89" s="913"/>
    </row>
    <row r="90" spans="9:15">
      <c r="I90" s="906"/>
      <c r="J90" s="911"/>
      <c r="K90" s="912"/>
      <c r="L90" s="913"/>
      <c r="M90" s="911"/>
      <c r="N90" s="912"/>
      <c r="O90" s="913"/>
    </row>
    <row r="91" spans="9:15" ht="13.5" thickBot="1">
      <c r="I91" s="907"/>
      <c r="J91" s="914"/>
      <c r="K91" s="915"/>
      <c r="L91" s="916"/>
      <c r="M91" s="914"/>
      <c r="N91" s="915"/>
      <c r="O91" s="916"/>
    </row>
    <row r="92" spans="9:15" ht="13.5" thickBot="1">
      <c r="I92" s="917"/>
      <c r="J92" s="918"/>
      <c r="K92" s="919"/>
      <c r="L92" s="919"/>
      <c r="M92" s="919"/>
      <c r="N92" s="919"/>
      <c r="O92" s="920"/>
    </row>
    <row r="93" spans="9:15">
      <c r="I93" s="905"/>
      <c r="J93" s="908"/>
      <c r="K93" s="909"/>
      <c r="L93" s="910"/>
      <c r="M93" s="908"/>
      <c r="N93" s="909"/>
      <c r="O93" s="910"/>
    </row>
    <row r="94" spans="9:15">
      <c r="I94" s="906"/>
      <c r="J94" s="911"/>
      <c r="K94" s="912"/>
      <c r="L94" s="913"/>
      <c r="M94" s="911"/>
      <c r="N94" s="912"/>
      <c r="O94" s="913"/>
    </row>
    <row r="95" spans="9:15">
      <c r="I95" s="906"/>
      <c r="J95" s="911"/>
      <c r="K95" s="912"/>
      <c r="L95" s="913"/>
      <c r="M95" s="911"/>
      <c r="N95" s="912"/>
      <c r="O95" s="913"/>
    </row>
    <row r="96" spans="9:15">
      <c r="I96" s="906"/>
      <c r="J96" s="911"/>
      <c r="K96" s="912"/>
      <c r="L96" s="913"/>
      <c r="M96" s="911"/>
      <c r="N96" s="912"/>
      <c r="O96" s="913"/>
    </row>
    <row r="97" spans="9:15" ht="13.5" thickBot="1">
      <c r="I97" s="907"/>
      <c r="J97" s="914"/>
      <c r="K97" s="915"/>
      <c r="L97" s="916"/>
      <c r="M97" s="914"/>
      <c r="N97" s="915"/>
      <c r="O97" s="916"/>
    </row>
    <row r="98" spans="9:15" ht="13.5" thickBot="1">
      <c r="I98" s="917"/>
      <c r="J98" s="918"/>
      <c r="K98" s="919"/>
      <c r="L98" s="919"/>
      <c r="M98" s="919"/>
      <c r="N98" s="919"/>
      <c r="O98" s="920"/>
    </row>
    <row r="99" spans="9:15">
      <c r="I99" s="906"/>
      <c r="J99" s="911"/>
      <c r="K99" s="912"/>
      <c r="L99" s="913"/>
      <c r="M99" s="911"/>
      <c r="N99" s="912"/>
      <c r="O99" s="913"/>
    </row>
    <row r="100" spans="9:15">
      <c r="I100" s="906"/>
      <c r="J100" s="911"/>
      <c r="K100" s="912"/>
      <c r="L100" s="913"/>
      <c r="M100" s="911"/>
      <c r="N100" s="912"/>
      <c r="O100" s="913"/>
    </row>
    <row r="101" spans="9:15">
      <c r="I101" s="906"/>
      <c r="J101" s="911"/>
      <c r="K101" s="912"/>
      <c r="L101" s="913"/>
      <c r="M101" s="911"/>
      <c r="N101" s="912"/>
      <c r="O101" s="913"/>
    </row>
    <row r="102" spans="9:15" ht="13.5" thickBot="1">
      <c r="I102" s="907"/>
      <c r="J102" s="914"/>
      <c r="K102" s="915"/>
      <c r="L102" s="916"/>
      <c r="M102" s="914"/>
      <c r="N102" s="915"/>
      <c r="O102" s="916"/>
    </row>
    <row r="103" spans="9:15" ht="13.5" thickBot="1">
      <c r="I103" s="917"/>
      <c r="J103" s="918"/>
      <c r="K103" s="919"/>
      <c r="L103" s="919"/>
      <c r="M103" s="919"/>
      <c r="N103" s="919"/>
      <c r="O103" s="920"/>
    </row>
    <row r="104" spans="9:15">
      <c r="I104" s="906"/>
      <c r="J104" s="911"/>
      <c r="K104" s="912"/>
      <c r="L104" s="913"/>
      <c r="M104" s="911"/>
      <c r="N104" s="912"/>
      <c r="O104" s="913"/>
    </row>
    <row r="105" spans="9:15">
      <c r="I105" s="906"/>
      <c r="J105" s="911"/>
      <c r="K105" s="912"/>
      <c r="L105" s="913"/>
      <c r="M105" s="911"/>
      <c r="N105" s="912"/>
      <c r="O105" s="913"/>
    </row>
    <row r="106" spans="9:15">
      <c r="I106" s="906"/>
      <c r="J106" s="911"/>
      <c r="K106" s="912"/>
      <c r="L106" s="913"/>
      <c r="M106" s="911"/>
      <c r="N106" s="912"/>
      <c r="O106" s="913"/>
    </row>
    <row r="107" spans="9:15" ht="13.5" thickBot="1">
      <c r="I107" s="907"/>
      <c r="J107" s="914"/>
      <c r="K107" s="915"/>
      <c r="L107" s="916"/>
      <c r="M107" s="914"/>
      <c r="N107" s="915"/>
      <c r="O107" s="916"/>
    </row>
    <row r="108" spans="9:15" ht="13.5" thickBot="1">
      <c r="I108" s="917"/>
      <c r="J108" s="918"/>
      <c r="K108" s="919"/>
      <c r="L108" s="919"/>
      <c r="M108" s="919"/>
      <c r="N108" s="919"/>
      <c r="O108" s="920"/>
    </row>
    <row r="109" spans="9:15">
      <c r="I109" s="905"/>
      <c r="J109" s="908"/>
      <c r="K109" s="909"/>
      <c r="L109" s="910"/>
      <c r="M109" s="908"/>
      <c r="N109" s="909"/>
      <c r="O109" s="910"/>
    </row>
    <row r="110" spans="9:15">
      <c r="I110" s="906"/>
      <c r="J110" s="911"/>
      <c r="K110" s="912"/>
      <c r="L110" s="913"/>
      <c r="M110" s="911"/>
      <c r="N110" s="912"/>
      <c r="O110" s="913"/>
    </row>
    <row r="111" spans="9:15">
      <c r="I111" s="906"/>
      <c r="J111" s="911"/>
      <c r="K111" s="912"/>
      <c r="L111" s="913"/>
      <c r="M111" s="911"/>
      <c r="N111" s="912"/>
      <c r="O111" s="913"/>
    </row>
    <row r="112" spans="9:15">
      <c r="I112" s="906"/>
      <c r="J112" s="911"/>
      <c r="K112" s="912"/>
      <c r="L112" s="913"/>
      <c r="M112" s="911"/>
      <c r="N112" s="912"/>
      <c r="O112" s="913"/>
    </row>
    <row r="113" spans="9:15" ht="13.5" thickBot="1">
      <c r="I113" s="907"/>
      <c r="J113" s="914"/>
      <c r="K113" s="915"/>
      <c r="L113" s="916"/>
      <c r="M113" s="914"/>
      <c r="N113" s="915"/>
      <c r="O113" s="916"/>
    </row>
    <row r="114" spans="9:15" ht="13.5" thickBot="1">
      <c r="I114" s="917"/>
      <c r="J114" s="918"/>
      <c r="K114" s="919"/>
      <c r="L114" s="919"/>
      <c r="M114" s="919"/>
      <c r="N114" s="919"/>
      <c r="O114" s="920"/>
    </row>
    <row r="115" spans="9:15">
      <c r="I115" s="906"/>
      <c r="J115" s="911"/>
      <c r="K115" s="912"/>
      <c r="L115" s="913"/>
      <c r="M115" s="911"/>
      <c r="N115" s="912"/>
      <c r="O115" s="913"/>
    </row>
    <row r="116" spans="9:15">
      <c r="I116" s="906"/>
      <c r="J116" s="911"/>
      <c r="K116" s="912"/>
      <c r="L116" s="913"/>
      <c r="M116" s="911"/>
      <c r="N116" s="912"/>
      <c r="O116" s="913"/>
    </row>
    <row r="117" spans="9:15">
      <c r="I117" s="906"/>
      <c r="J117" s="911"/>
      <c r="K117" s="912"/>
      <c r="L117" s="913"/>
      <c r="M117" s="911"/>
      <c r="N117" s="912"/>
      <c r="O117" s="913"/>
    </row>
    <row r="118" spans="9:15" ht="13.5" thickBot="1">
      <c r="I118" s="907"/>
      <c r="J118" s="914"/>
      <c r="K118" s="915"/>
      <c r="L118" s="916"/>
      <c r="M118" s="914"/>
      <c r="N118" s="915"/>
      <c r="O118" s="916"/>
    </row>
    <row r="119" spans="9:15" ht="13.5" thickBot="1">
      <c r="I119" s="917"/>
      <c r="J119" s="918"/>
      <c r="K119" s="919"/>
      <c r="L119" s="919"/>
      <c r="M119" s="919"/>
      <c r="N119" s="919"/>
      <c r="O119" s="920"/>
    </row>
    <row r="120" spans="9:15">
      <c r="I120" s="905"/>
      <c r="J120" s="908"/>
      <c r="K120" s="909"/>
      <c r="L120" s="910"/>
      <c r="M120" s="908"/>
      <c r="N120" s="909"/>
      <c r="O120" s="910"/>
    </row>
    <row r="121" spans="9:15">
      <c r="I121" s="906"/>
      <c r="J121" s="911"/>
      <c r="K121" s="912"/>
      <c r="L121" s="913"/>
      <c r="M121" s="911"/>
      <c r="N121" s="912"/>
      <c r="O121" s="913"/>
    </row>
    <row r="122" spans="9:15">
      <c r="I122" s="906"/>
      <c r="J122" s="911"/>
      <c r="K122" s="912"/>
      <c r="L122" s="913"/>
      <c r="M122" s="911"/>
      <c r="N122" s="912"/>
      <c r="O122" s="913"/>
    </row>
    <row r="123" spans="9:15">
      <c r="I123" s="906"/>
      <c r="J123" s="911"/>
      <c r="K123" s="912"/>
      <c r="L123" s="913"/>
      <c r="M123" s="911"/>
      <c r="N123" s="912"/>
      <c r="O123" s="913"/>
    </row>
    <row r="124" spans="9:15" ht="13.5" thickBot="1">
      <c r="I124" s="907"/>
      <c r="J124" s="914"/>
      <c r="K124" s="915"/>
      <c r="L124" s="916"/>
      <c r="M124" s="914"/>
      <c r="N124" s="915"/>
      <c r="O124" s="916"/>
    </row>
    <row r="125" spans="9:15" ht="13.5" thickBot="1">
      <c r="I125" s="917"/>
      <c r="J125" s="918"/>
      <c r="K125" s="919"/>
      <c r="L125" s="919"/>
      <c r="M125" s="919"/>
      <c r="N125" s="919"/>
      <c r="O125" s="920"/>
    </row>
    <row r="126" spans="9:15">
      <c r="I126" s="906"/>
      <c r="J126" s="911"/>
      <c r="K126" s="912"/>
      <c r="L126" s="913"/>
      <c r="M126" s="911"/>
      <c r="N126" s="912"/>
      <c r="O126" s="913"/>
    </row>
    <row r="127" spans="9:15">
      <c r="I127" s="906"/>
      <c r="J127" s="911"/>
      <c r="K127" s="912"/>
      <c r="L127" s="913"/>
      <c r="M127" s="911"/>
      <c r="N127" s="912"/>
      <c r="O127" s="913"/>
    </row>
    <row r="128" spans="9:15">
      <c r="I128" s="906"/>
      <c r="J128" s="911"/>
      <c r="K128" s="912"/>
      <c r="L128" s="913"/>
      <c r="M128" s="911"/>
      <c r="N128" s="912"/>
      <c r="O128" s="913"/>
    </row>
    <row r="129" spans="9:15" ht="13.5" thickBot="1">
      <c r="I129" s="907"/>
      <c r="J129" s="914"/>
      <c r="K129" s="915"/>
      <c r="L129" s="916"/>
      <c r="M129" s="914"/>
      <c r="N129" s="915"/>
      <c r="O129" s="916"/>
    </row>
    <row r="130" spans="9:15" ht="13.5" thickBot="1">
      <c r="I130" s="917"/>
      <c r="J130" s="918"/>
      <c r="K130" s="919"/>
      <c r="L130" s="919"/>
      <c r="M130" s="919"/>
      <c r="N130" s="919"/>
      <c r="O130" s="920"/>
    </row>
    <row r="131" spans="9:15">
      <c r="I131" s="906"/>
      <c r="J131" s="911"/>
      <c r="K131" s="912"/>
      <c r="L131" s="913"/>
      <c r="M131" s="911"/>
      <c r="N131" s="912"/>
      <c r="O131" s="913"/>
    </row>
    <row r="132" spans="9:15">
      <c r="I132" s="906"/>
      <c r="J132" s="911"/>
      <c r="K132" s="912"/>
      <c r="L132" s="913"/>
      <c r="M132" s="911"/>
      <c r="N132" s="912"/>
      <c r="O132" s="913"/>
    </row>
    <row r="133" spans="9:15">
      <c r="I133" s="906"/>
      <c r="J133" s="911"/>
      <c r="K133" s="912"/>
      <c r="L133" s="913"/>
      <c r="M133" s="911"/>
      <c r="N133" s="912"/>
      <c r="O133" s="913"/>
    </row>
    <row r="134" spans="9:15" ht="13.5" thickBot="1">
      <c r="I134" s="907"/>
      <c r="J134" s="914"/>
      <c r="K134" s="915"/>
      <c r="L134" s="916"/>
      <c r="M134" s="914"/>
      <c r="N134" s="915"/>
      <c r="O134" s="916"/>
    </row>
    <row r="135" spans="9:15" ht="13.5" thickBot="1">
      <c r="I135" s="917"/>
      <c r="J135" s="918"/>
      <c r="K135" s="919"/>
      <c r="L135" s="919"/>
      <c r="M135" s="919"/>
      <c r="N135" s="919"/>
      <c r="O135" s="920"/>
    </row>
  </sheetData>
  <mergeCells count="14">
    <mergeCell ref="I70:I71"/>
    <mergeCell ref="J70:L70"/>
    <mergeCell ref="M70:O70"/>
    <mergeCell ref="B1:H1"/>
    <mergeCell ref="B2:H2"/>
    <mergeCell ref="B10:H10"/>
    <mergeCell ref="C11:E11"/>
    <mergeCell ref="F11:H11"/>
    <mergeCell ref="B3:H3"/>
    <mergeCell ref="B11:B12"/>
    <mergeCell ref="B5:H5"/>
    <mergeCell ref="B6:H6"/>
    <mergeCell ref="B7:H7"/>
    <mergeCell ref="B8:H8"/>
  </mergeCells>
  <phoneticPr fontId="5" type="noConversion"/>
  <pageMargins left="1.7322834645669292" right="0.74803149606299213" top="0.98425196850393704" bottom="0.98425196850393704" header="0" footer="0"/>
  <pageSetup paperSize="5" scale="88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N109"/>
  <sheetViews>
    <sheetView view="pageBreakPreview" zoomScaleNormal="75" workbookViewId="0">
      <selection activeCell="C42" sqref="C42"/>
    </sheetView>
  </sheetViews>
  <sheetFormatPr baseColWidth="10" defaultColWidth="11.42578125" defaultRowHeight="12.75"/>
  <cols>
    <col min="1" max="1" width="16.28515625" customWidth="1"/>
    <col min="2" max="2" width="11.28515625" customWidth="1"/>
    <col min="4" max="4" width="11.28515625" customWidth="1"/>
    <col min="10" max="10" width="4" customWidth="1"/>
    <col min="11" max="11" width="13.7109375" customWidth="1"/>
    <col min="12" max="12" width="11.85546875" customWidth="1"/>
    <col min="14" max="14" width="7.7109375" customWidth="1"/>
  </cols>
  <sheetData>
    <row r="1" spans="1:14">
      <c r="A1" s="107"/>
      <c r="B1" s="109"/>
      <c r="C1" s="81"/>
      <c r="D1" s="81"/>
      <c r="E1" s="81"/>
      <c r="F1" s="81"/>
      <c r="G1" s="81"/>
      <c r="H1" s="81"/>
      <c r="I1" s="82"/>
      <c r="J1" s="63"/>
      <c r="K1" s="72" t="s">
        <v>35</v>
      </c>
      <c r="L1" s="72" t="s">
        <v>34</v>
      </c>
    </row>
    <row r="2" spans="1:14">
      <c r="A2" s="1567" t="s">
        <v>36</v>
      </c>
      <c r="B2" s="1568"/>
      <c r="C2" s="1568"/>
      <c r="D2" s="1568"/>
      <c r="E2" s="1568"/>
      <c r="F2" s="1568"/>
      <c r="G2" s="1568"/>
      <c r="H2" s="1568"/>
      <c r="I2" s="1569"/>
      <c r="J2" s="63"/>
    </row>
    <row r="3" spans="1:14">
      <c r="A3" s="1543" t="s">
        <v>22</v>
      </c>
      <c r="B3" s="1544"/>
      <c r="C3" s="1544"/>
      <c r="D3" s="1544"/>
      <c r="E3" s="1544"/>
      <c r="F3" s="1544"/>
      <c r="G3" s="1544"/>
      <c r="H3" s="1544"/>
      <c r="I3" s="1545"/>
      <c r="J3" s="63"/>
    </row>
    <row r="4" spans="1:14">
      <c r="A4" s="1543" t="s">
        <v>23</v>
      </c>
      <c r="B4" s="1544"/>
      <c r="C4" s="1544"/>
      <c r="D4" s="1544"/>
      <c r="E4" s="1544"/>
      <c r="F4" s="1544"/>
      <c r="G4" s="1544"/>
      <c r="H4" s="1544"/>
      <c r="I4" s="1545"/>
      <c r="J4" s="63"/>
    </row>
    <row r="5" spans="1:14">
      <c r="A5" s="1543" t="s">
        <v>0</v>
      </c>
      <c r="B5" s="1544"/>
      <c r="C5" s="1544"/>
      <c r="D5" s="1544"/>
      <c r="E5" s="1544"/>
      <c r="F5" s="1544"/>
      <c r="G5" s="1544"/>
      <c r="H5" s="1544"/>
      <c r="I5" s="1545"/>
      <c r="J5" s="63"/>
    </row>
    <row r="6" spans="1:14" ht="13.5" thickBot="1">
      <c r="A6" s="104"/>
      <c r="B6" s="100"/>
      <c r="C6" s="100"/>
      <c r="D6" s="100"/>
      <c r="E6" s="100"/>
      <c r="F6" s="100"/>
      <c r="G6" s="100"/>
      <c r="H6" s="100"/>
      <c r="I6" s="101"/>
      <c r="J6" s="63"/>
    </row>
    <row r="7" spans="1:14" ht="25.5" customHeight="1" thickBot="1">
      <c r="A7" s="1199" t="s">
        <v>1</v>
      </c>
      <c r="B7" s="1561" t="s">
        <v>2</v>
      </c>
      <c r="C7" s="1562"/>
      <c r="D7" s="1562"/>
      <c r="E7" s="1563"/>
      <c r="F7" s="1564" t="s">
        <v>3</v>
      </c>
      <c r="G7" s="1565"/>
      <c r="H7" s="1565"/>
      <c r="I7" s="1566"/>
      <c r="J7" s="63"/>
    </row>
    <row r="8" spans="1:14" ht="24" customHeight="1" thickBot="1">
      <c r="A8" s="1200" t="s">
        <v>21</v>
      </c>
      <c r="B8" s="1201" t="s">
        <v>38</v>
      </c>
      <c r="C8" s="1201" t="s">
        <v>4</v>
      </c>
      <c r="D8" s="1202" t="s">
        <v>5</v>
      </c>
      <c r="E8" s="1203" t="s">
        <v>6</v>
      </c>
      <c r="F8" s="1204" t="s">
        <v>38</v>
      </c>
      <c r="G8" s="1204" t="s">
        <v>4</v>
      </c>
      <c r="H8" s="1205" t="s">
        <v>5</v>
      </c>
      <c r="I8" s="1206" t="s">
        <v>6</v>
      </c>
      <c r="J8" s="63"/>
    </row>
    <row r="9" spans="1:14">
      <c r="A9" s="10">
        <v>41645</v>
      </c>
      <c r="B9" s="1107">
        <v>36.049999999999997</v>
      </c>
      <c r="C9" s="1108">
        <v>35.61</v>
      </c>
      <c r="D9" s="1108">
        <v>34.11</v>
      </c>
      <c r="E9" s="1109">
        <v>32.35</v>
      </c>
      <c r="F9" s="1107">
        <v>35.270000000000003</v>
      </c>
      <c r="G9" s="1108">
        <v>34.869999999999997</v>
      </c>
      <c r="H9" s="1108">
        <v>33.42</v>
      </c>
      <c r="I9" s="1109">
        <v>31.67</v>
      </c>
      <c r="J9" s="79"/>
    </row>
    <row r="10" spans="1:14">
      <c r="A10" s="1207">
        <v>41652</v>
      </c>
      <c r="B10" s="1211">
        <v>35.43</v>
      </c>
      <c r="C10" s="1209">
        <v>35.130000000000003</v>
      </c>
      <c r="D10" s="1209">
        <v>33.64</v>
      </c>
      <c r="E10" s="1210">
        <v>32.28</v>
      </c>
      <c r="F10" s="1211">
        <v>34.53</v>
      </c>
      <c r="G10" s="1209">
        <v>34.33</v>
      </c>
      <c r="H10" s="1209">
        <v>32.869999999999997</v>
      </c>
      <c r="I10" s="1210">
        <v>31.56</v>
      </c>
      <c r="J10" s="79"/>
    </row>
    <row r="11" spans="1:14">
      <c r="A11" s="1110">
        <v>41659</v>
      </c>
      <c r="B11" s="1107">
        <v>34.9</v>
      </c>
      <c r="C11" s="1108">
        <v>34.4</v>
      </c>
      <c r="D11" s="1108">
        <v>32.89</v>
      </c>
      <c r="E11" s="1109">
        <v>31.87</v>
      </c>
      <c r="F11" s="1107">
        <v>34.020000000000003</v>
      </c>
      <c r="G11" s="1108">
        <v>33.65</v>
      </c>
      <c r="H11" s="1108">
        <v>32.14</v>
      </c>
      <c r="I11" s="1109">
        <v>31.12</v>
      </c>
      <c r="J11" s="79"/>
    </row>
    <row r="12" spans="1:14" ht="13.5" thickBot="1">
      <c r="A12" s="1207">
        <v>41666</v>
      </c>
      <c r="B12" s="1211">
        <v>34.659999999999997</v>
      </c>
      <c r="C12" s="1209">
        <v>34.200000000000003</v>
      </c>
      <c r="D12" s="1209">
        <v>32.68</v>
      </c>
      <c r="E12" s="1210">
        <v>31.6</v>
      </c>
      <c r="F12" s="1211">
        <v>33.82</v>
      </c>
      <c r="G12" s="1209">
        <v>33.4</v>
      </c>
      <c r="H12" s="1209">
        <v>31.9</v>
      </c>
      <c r="I12" s="1210">
        <v>30.83</v>
      </c>
      <c r="J12" s="79"/>
    </row>
    <row r="13" spans="1:14" ht="13.5" thickBot="1">
      <c r="A13" s="1212" t="s">
        <v>7</v>
      </c>
      <c r="B13" s="1213">
        <f t="shared" ref="B13:I13" si="0">AVERAGE(B9:B12)</f>
        <v>35.26</v>
      </c>
      <c r="C13" s="1213">
        <f t="shared" si="0"/>
        <v>34.835000000000008</v>
      </c>
      <c r="D13" s="1213">
        <f t="shared" si="0"/>
        <v>33.33</v>
      </c>
      <c r="E13" s="1213">
        <f t="shared" si="0"/>
        <v>32.024999999999999</v>
      </c>
      <c r="F13" s="1213">
        <f t="shared" si="0"/>
        <v>34.410000000000004</v>
      </c>
      <c r="G13" s="1213">
        <f t="shared" si="0"/>
        <v>34.0625</v>
      </c>
      <c r="H13" s="1213">
        <f t="shared" si="0"/>
        <v>32.582499999999996</v>
      </c>
      <c r="I13" s="1214">
        <f t="shared" si="0"/>
        <v>31.295000000000002</v>
      </c>
      <c r="J13" s="79"/>
    </row>
    <row r="14" spans="1:14">
      <c r="A14" s="10">
        <v>41673</v>
      </c>
      <c r="B14" s="1107">
        <v>34.68</v>
      </c>
      <c r="C14" s="1108">
        <v>34.200000000000003</v>
      </c>
      <c r="D14" s="1108">
        <v>32.68</v>
      </c>
      <c r="E14" s="1109">
        <v>31.6</v>
      </c>
      <c r="F14" s="1107">
        <v>33.82</v>
      </c>
      <c r="G14" s="1108">
        <v>33.4</v>
      </c>
      <c r="H14" s="1108">
        <v>31.9</v>
      </c>
      <c r="I14" s="1109">
        <v>30.83</v>
      </c>
      <c r="J14" s="79"/>
      <c r="K14" s="1540" t="s">
        <v>470</v>
      </c>
      <c r="L14" s="1541"/>
      <c r="M14" s="1541"/>
      <c r="N14" s="1542"/>
    </row>
    <row r="15" spans="1:14">
      <c r="A15" s="1207">
        <v>41680</v>
      </c>
      <c r="B15" s="1211">
        <v>34.22</v>
      </c>
      <c r="C15" s="1209">
        <v>33.71</v>
      </c>
      <c r="D15" s="1209">
        <v>32.340000000000003</v>
      </c>
      <c r="E15" s="1210">
        <v>31.17</v>
      </c>
      <c r="F15" s="1211">
        <v>33.33</v>
      </c>
      <c r="G15" s="1209">
        <v>32.880000000000003</v>
      </c>
      <c r="H15" s="1209">
        <v>31.37</v>
      </c>
      <c r="I15" s="1210">
        <v>30.34</v>
      </c>
      <c r="J15" s="79"/>
      <c r="K15" s="1543" t="s">
        <v>30</v>
      </c>
      <c r="L15" s="1544"/>
      <c r="M15" s="1544"/>
      <c r="N15" s="1545"/>
    </row>
    <row r="16" spans="1:14">
      <c r="A16" s="1110">
        <v>41687</v>
      </c>
      <c r="B16" s="1107">
        <v>34.130000000000003</v>
      </c>
      <c r="C16" s="1108">
        <v>33.58</v>
      </c>
      <c r="D16" s="1108">
        <v>32.090000000000003</v>
      </c>
      <c r="E16" s="1109">
        <v>31.06</v>
      </c>
      <c r="F16" s="1107">
        <v>33.31</v>
      </c>
      <c r="G16" s="1108">
        <v>32.81</v>
      </c>
      <c r="H16" s="1108">
        <v>31.32</v>
      </c>
      <c r="I16" s="1109">
        <v>30.28</v>
      </c>
      <c r="J16" s="79"/>
      <c r="K16" s="91" t="s">
        <v>25</v>
      </c>
      <c r="L16" s="92" t="s">
        <v>26</v>
      </c>
      <c r="M16" s="92" t="s">
        <v>27</v>
      </c>
      <c r="N16" s="93" t="s">
        <v>28</v>
      </c>
    </row>
    <row r="17" spans="1:14" ht="13.5" thickBot="1">
      <c r="A17" s="1207">
        <v>41694</v>
      </c>
      <c r="B17" s="1211">
        <v>34.799999999999997</v>
      </c>
      <c r="C17" s="1209">
        <v>34.22</v>
      </c>
      <c r="D17" s="1209">
        <v>32.72</v>
      </c>
      <c r="E17" s="1210">
        <v>31.23</v>
      </c>
      <c r="F17" s="1211">
        <v>33.979999999999997</v>
      </c>
      <c r="G17" s="1209">
        <v>33.479999999999997</v>
      </c>
      <c r="H17" s="1209">
        <v>31.95</v>
      </c>
      <c r="I17" s="1210">
        <v>30.5</v>
      </c>
      <c r="J17" s="79"/>
      <c r="K17" s="94"/>
      <c r="L17" s="92" t="s">
        <v>29</v>
      </c>
      <c r="M17" s="92" t="s">
        <v>29</v>
      </c>
      <c r="N17" s="93" t="s">
        <v>29</v>
      </c>
    </row>
    <row r="18" spans="1:14" ht="13.5" thickBot="1">
      <c r="A18" s="1212" t="s">
        <v>7</v>
      </c>
      <c r="B18" s="1213">
        <f t="shared" ref="B18:I18" si="1">AVERAGE(B14:B17)</f>
        <v>34.457499999999996</v>
      </c>
      <c r="C18" s="1213">
        <f t="shared" si="1"/>
        <v>33.927499999999995</v>
      </c>
      <c r="D18" s="1213">
        <f t="shared" si="1"/>
        <v>32.457500000000003</v>
      </c>
      <c r="E18" s="1213">
        <f t="shared" si="1"/>
        <v>31.265000000000001</v>
      </c>
      <c r="F18" s="1213">
        <f t="shared" si="1"/>
        <v>33.61</v>
      </c>
      <c r="G18" s="1213">
        <f t="shared" si="1"/>
        <v>33.142499999999998</v>
      </c>
      <c r="H18" s="1213">
        <f t="shared" si="1"/>
        <v>31.635000000000002</v>
      </c>
      <c r="I18" s="1214">
        <f t="shared" si="1"/>
        <v>30.487500000000001</v>
      </c>
      <c r="J18" s="79"/>
      <c r="K18" s="560" t="s">
        <v>8</v>
      </c>
      <c r="L18" s="561">
        <f>+G13</f>
        <v>34.0625</v>
      </c>
      <c r="M18" s="561">
        <f>+H13</f>
        <v>32.582499999999996</v>
      </c>
      <c r="N18" s="562">
        <f>+I13</f>
        <v>31.295000000000002</v>
      </c>
    </row>
    <row r="19" spans="1:14">
      <c r="A19" s="10">
        <v>41701</v>
      </c>
      <c r="B19" s="115">
        <v>34.79</v>
      </c>
      <c r="C19" s="56">
        <v>34.19</v>
      </c>
      <c r="D19" s="56">
        <v>32.68</v>
      </c>
      <c r="E19" s="62">
        <v>31.19</v>
      </c>
      <c r="F19" s="115">
        <v>33.979999999999997</v>
      </c>
      <c r="G19" s="56">
        <v>33.42</v>
      </c>
      <c r="H19" s="56">
        <v>31.92</v>
      </c>
      <c r="I19" s="62">
        <v>30.44</v>
      </c>
      <c r="J19" s="79"/>
      <c r="K19" s="85" t="s">
        <v>9</v>
      </c>
      <c r="L19" s="86">
        <f>+G18</f>
        <v>33.142499999999998</v>
      </c>
      <c r="M19" s="86">
        <f>+H18</f>
        <v>31.635000000000002</v>
      </c>
      <c r="N19" s="87">
        <f>+I18</f>
        <v>30.487500000000001</v>
      </c>
    </row>
    <row r="20" spans="1:14">
      <c r="A20" s="1207">
        <v>44627</v>
      </c>
      <c r="B20" s="1211">
        <v>38.47</v>
      </c>
      <c r="C20" s="1209">
        <v>38.85</v>
      </c>
      <c r="D20" s="1209">
        <v>38.24</v>
      </c>
      <c r="E20" s="1210">
        <v>36.93</v>
      </c>
      <c r="F20" s="1211">
        <v>39.380000000000003</v>
      </c>
      <c r="G20" s="1209">
        <v>37.979999999999997</v>
      </c>
      <c r="H20" s="1209">
        <v>37.39</v>
      </c>
      <c r="I20" s="1210">
        <v>36.090000000000003</v>
      </c>
      <c r="J20" s="79"/>
      <c r="K20" s="85" t="s">
        <v>10</v>
      </c>
      <c r="L20" s="86">
        <f>+G24</f>
        <v>34.422000000000004</v>
      </c>
      <c r="M20" s="86">
        <f>+H24</f>
        <v>33.119999999999997</v>
      </c>
      <c r="N20" s="87">
        <f>+I24</f>
        <v>31.366000000000003</v>
      </c>
    </row>
    <row r="21" spans="1:14">
      <c r="A21" s="10">
        <v>41715</v>
      </c>
      <c r="B21" s="115">
        <v>34.68</v>
      </c>
      <c r="C21" s="56">
        <v>34.200000000000003</v>
      </c>
      <c r="D21" s="56">
        <v>32.71</v>
      </c>
      <c r="E21" s="62">
        <v>30.71</v>
      </c>
      <c r="F21" s="115">
        <v>33.81</v>
      </c>
      <c r="G21" s="56">
        <v>33.369999999999997</v>
      </c>
      <c r="H21" s="56">
        <v>31.89</v>
      </c>
      <c r="I21" s="62">
        <v>29.9</v>
      </c>
      <c r="J21" s="79"/>
      <c r="K21" s="85" t="s">
        <v>11</v>
      </c>
      <c r="L21" s="86" t="str">
        <f>+G29</f>
        <v xml:space="preserve"> </v>
      </c>
      <c r="M21" s="86">
        <f>+H29</f>
        <v>33.072499999999998</v>
      </c>
      <c r="N21" s="87">
        <f>+I29</f>
        <v>30.747800000000005</v>
      </c>
    </row>
    <row r="22" spans="1:14">
      <c r="A22" s="1207">
        <v>41722</v>
      </c>
      <c r="B22" s="1211">
        <v>34.61</v>
      </c>
      <c r="C22" s="1209">
        <v>34.07</v>
      </c>
      <c r="D22" s="1209">
        <v>32.61</v>
      </c>
      <c r="E22" s="1210">
        <v>30.58</v>
      </c>
      <c r="F22" s="1211">
        <v>33.78</v>
      </c>
      <c r="G22" s="1209">
        <v>34.07</v>
      </c>
      <c r="H22" s="1209">
        <v>32.61</v>
      </c>
      <c r="I22" s="1210">
        <v>30.58</v>
      </c>
      <c r="J22" s="79"/>
      <c r="K22" s="85"/>
      <c r="L22" s="86"/>
      <c r="M22" s="86"/>
      <c r="N22" s="87"/>
    </row>
    <row r="23" spans="1:14" ht="13.5" thickBot="1">
      <c r="A23" s="10">
        <v>41729</v>
      </c>
      <c r="B23" s="115">
        <v>34.630000000000003</v>
      </c>
      <c r="C23" s="56">
        <v>34.07</v>
      </c>
      <c r="D23" s="56">
        <v>32.61</v>
      </c>
      <c r="E23" s="62">
        <v>30.58</v>
      </c>
      <c r="F23" s="115">
        <v>33.799999999999997</v>
      </c>
      <c r="G23" s="56">
        <v>33.270000000000003</v>
      </c>
      <c r="H23" s="56">
        <v>31.79</v>
      </c>
      <c r="I23" s="62">
        <v>29.82</v>
      </c>
      <c r="J23" s="79"/>
      <c r="K23" s="85" t="s">
        <v>13</v>
      </c>
      <c r="L23" s="86">
        <f t="shared" ref="L23:N28" si="2">+G30</f>
        <v>35.08</v>
      </c>
      <c r="M23" s="86">
        <f t="shared" si="2"/>
        <v>33.46</v>
      </c>
      <c r="N23" s="87">
        <f t="shared" si="2"/>
        <v>28.43</v>
      </c>
    </row>
    <row r="24" spans="1:14" ht="13.5" thickBot="1">
      <c r="A24" s="1212" t="s">
        <v>7</v>
      </c>
      <c r="B24" s="1213">
        <f t="shared" ref="B24:I24" si="3">AVERAGE(B19:B23)</f>
        <v>35.436</v>
      </c>
      <c r="C24" s="1213">
        <f t="shared" si="3"/>
        <v>35.076000000000001</v>
      </c>
      <c r="D24" s="1213">
        <f t="shared" si="3"/>
        <v>33.770000000000003</v>
      </c>
      <c r="E24" s="1213">
        <f t="shared" si="3"/>
        <v>31.998000000000001</v>
      </c>
      <c r="F24" s="1213">
        <f t="shared" si="3"/>
        <v>34.950000000000003</v>
      </c>
      <c r="G24" s="1213">
        <f t="shared" si="3"/>
        <v>34.422000000000004</v>
      </c>
      <c r="H24" s="1213">
        <f t="shared" si="3"/>
        <v>33.119999999999997</v>
      </c>
      <c r="I24" s="1214">
        <f t="shared" si="3"/>
        <v>31.366000000000003</v>
      </c>
      <c r="J24" s="79"/>
      <c r="K24" s="85" t="s">
        <v>14</v>
      </c>
      <c r="L24" s="86">
        <f t="shared" si="2"/>
        <v>34.31</v>
      </c>
      <c r="M24" s="86">
        <f t="shared" si="2"/>
        <v>32.799999999999997</v>
      </c>
      <c r="N24" s="87">
        <f t="shared" si="2"/>
        <v>27.68</v>
      </c>
    </row>
    <row r="25" spans="1:14">
      <c r="A25" s="10">
        <v>41701</v>
      </c>
      <c r="B25" s="1107">
        <f t="shared" ref="B25:I25" si="4">AVERAGE(B20:B24)</f>
        <v>35.565200000000004</v>
      </c>
      <c r="C25" s="1108">
        <f t="shared" si="4"/>
        <v>35.2532</v>
      </c>
      <c r="D25" s="1108">
        <f t="shared" si="4"/>
        <v>33.988000000000007</v>
      </c>
      <c r="E25" s="1109">
        <f t="shared" si="4"/>
        <v>32.159599999999998</v>
      </c>
      <c r="F25" s="1107">
        <f t="shared" si="4"/>
        <v>35.143999999999991</v>
      </c>
      <c r="G25" s="1108">
        <f t="shared" si="4"/>
        <v>34.622399999999999</v>
      </c>
      <c r="H25" s="1108">
        <f t="shared" si="4"/>
        <v>33.36</v>
      </c>
      <c r="I25" s="1109">
        <f t="shared" si="4"/>
        <v>31.551200000000005</v>
      </c>
      <c r="J25" s="79"/>
      <c r="K25" s="85" t="s">
        <v>15</v>
      </c>
      <c r="L25" s="86">
        <f t="shared" si="2"/>
        <v>33.49</v>
      </c>
      <c r="M25" s="86">
        <f t="shared" si="2"/>
        <v>31.98</v>
      </c>
      <c r="N25" s="87">
        <f t="shared" si="2"/>
        <v>27.02</v>
      </c>
    </row>
    <row r="26" spans="1:14">
      <c r="A26" s="1207">
        <v>41743</v>
      </c>
      <c r="B26" s="1211">
        <v>35.82</v>
      </c>
      <c r="C26" s="1209">
        <v>35.21</v>
      </c>
      <c r="D26" s="1209">
        <v>33.729999999999997</v>
      </c>
      <c r="E26" s="1210">
        <v>31.04</v>
      </c>
      <c r="F26" s="1211">
        <v>34.950000000000003</v>
      </c>
      <c r="G26" s="1209">
        <v>34.479999999999997</v>
      </c>
      <c r="H26" s="1209">
        <v>32.99</v>
      </c>
      <c r="I26" s="1210">
        <v>30.28</v>
      </c>
      <c r="J26" s="79"/>
      <c r="K26" s="85" t="s">
        <v>16</v>
      </c>
      <c r="L26" s="86">
        <f t="shared" si="2"/>
        <v>33.35</v>
      </c>
      <c r="M26" s="86">
        <f t="shared" si="2"/>
        <v>31.97</v>
      </c>
      <c r="N26" s="87">
        <f t="shared" si="2"/>
        <v>27.01</v>
      </c>
    </row>
    <row r="27" spans="1:14">
      <c r="A27" s="1110">
        <v>41750</v>
      </c>
      <c r="B27" s="1107">
        <v>35.840000000000003</v>
      </c>
      <c r="C27" s="1108">
        <v>35.270000000000003</v>
      </c>
      <c r="D27" s="1108">
        <v>33.78</v>
      </c>
      <c r="E27" s="1109">
        <v>31.05</v>
      </c>
      <c r="F27" s="1107">
        <v>34.979999999999997</v>
      </c>
      <c r="G27" s="1108">
        <v>34.49</v>
      </c>
      <c r="H27" s="1108">
        <v>32.97</v>
      </c>
      <c r="I27" s="1109">
        <v>30.26</v>
      </c>
      <c r="J27" s="79"/>
      <c r="K27" s="85" t="s">
        <v>18</v>
      </c>
      <c r="L27" s="86">
        <f t="shared" si="2"/>
        <v>33.299999999999997</v>
      </c>
      <c r="M27" s="86">
        <f t="shared" si="2"/>
        <v>31.99</v>
      </c>
      <c r="N27" s="87">
        <f t="shared" si="2"/>
        <v>27</v>
      </c>
    </row>
    <row r="28" spans="1:14" ht="13.5" thickBot="1">
      <c r="A28" s="1207">
        <v>41757</v>
      </c>
      <c r="B28" s="1211">
        <v>35.83</v>
      </c>
      <c r="C28" s="1209">
        <v>35.270000000000003</v>
      </c>
      <c r="D28" s="1209">
        <v>33.76</v>
      </c>
      <c r="E28" s="1210">
        <v>31.66</v>
      </c>
      <c r="F28" s="1211">
        <v>34.97</v>
      </c>
      <c r="G28" s="1209">
        <v>34.49</v>
      </c>
      <c r="H28" s="1209">
        <v>32.97</v>
      </c>
      <c r="I28" s="1210">
        <v>30.9</v>
      </c>
      <c r="J28" s="79"/>
      <c r="K28" s="88" t="s">
        <v>19</v>
      </c>
      <c r="L28" s="89">
        <f t="shared" si="2"/>
        <v>33.86</v>
      </c>
      <c r="M28" s="89">
        <f t="shared" si="2"/>
        <v>32.29</v>
      </c>
      <c r="N28" s="90">
        <f t="shared" si="2"/>
        <v>30.28</v>
      </c>
    </row>
    <row r="29" spans="1:14" ht="13.5" thickBot="1">
      <c r="A29" s="1212" t="s">
        <v>7</v>
      </c>
      <c r="B29" s="1213">
        <f t="shared" ref="B29:I29" si="5">AVERAGE(B25:B28)</f>
        <v>35.763800000000003</v>
      </c>
      <c r="C29" s="1213">
        <f t="shared" si="5"/>
        <v>35.250800000000005</v>
      </c>
      <c r="D29" s="1213">
        <f t="shared" si="5"/>
        <v>33.814500000000002</v>
      </c>
      <c r="E29" s="1213">
        <f t="shared" si="5"/>
        <v>31.477399999999999</v>
      </c>
      <c r="F29" s="1213">
        <f t="shared" si="5"/>
        <v>35.010999999999996</v>
      </c>
      <c r="G29" s="1213" t="s">
        <v>148</v>
      </c>
      <c r="H29" s="1213">
        <f t="shared" si="5"/>
        <v>33.072499999999998</v>
      </c>
      <c r="I29" s="1214">
        <f t="shared" si="5"/>
        <v>30.747800000000005</v>
      </c>
      <c r="J29" s="79"/>
      <c r="K29" s="85"/>
      <c r="L29" s="86"/>
      <c r="M29" s="86"/>
      <c r="N29" s="87"/>
    </row>
    <row r="30" spans="1:14" ht="13.5" thickBot="1">
      <c r="A30" s="10">
        <v>45048</v>
      </c>
      <c r="B30" s="1107">
        <v>36.58</v>
      </c>
      <c r="C30" s="1108">
        <v>36.090000000000003</v>
      </c>
      <c r="D30" s="1108">
        <v>34.47</v>
      </c>
      <c r="E30" s="1109">
        <v>29.47</v>
      </c>
      <c r="F30" s="1107">
        <v>35.47</v>
      </c>
      <c r="G30" s="1108">
        <v>35.08</v>
      </c>
      <c r="H30" s="1108">
        <v>33.46</v>
      </c>
      <c r="I30" s="1109">
        <v>28.43</v>
      </c>
      <c r="J30" s="79"/>
      <c r="K30" s="88"/>
      <c r="L30" s="89"/>
      <c r="M30" s="89"/>
      <c r="N30" s="90"/>
    </row>
    <row r="31" spans="1:14">
      <c r="A31" s="1207">
        <v>45054</v>
      </c>
      <c r="B31" s="1211">
        <v>35.83</v>
      </c>
      <c r="C31" s="1209">
        <v>35.31</v>
      </c>
      <c r="D31" s="1209">
        <v>33.79</v>
      </c>
      <c r="E31" s="1210">
        <v>28.67</v>
      </c>
      <c r="F31" s="1211">
        <v>34.770000000000003</v>
      </c>
      <c r="G31" s="1209">
        <v>34.31</v>
      </c>
      <c r="H31" s="1209">
        <v>32.799999999999997</v>
      </c>
      <c r="I31" s="1210">
        <v>27.68</v>
      </c>
      <c r="J31" s="79"/>
    </row>
    <row r="32" spans="1:14">
      <c r="A32" s="1110">
        <v>45061</v>
      </c>
      <c r="B32" s="1107">
        <v>35.07</v>
      </c>
      <c r="C32" s="1108">
        <v>34.49</v>
      </c>
      <c r="D32" s="1108">
        <v>32.979999999999997</v>
      </c>
      <c r="E32" s="1109">
        <v>28.04</v>
      </c>
      <c r="F32" s="1107">
        <v>33.97</v>
      </c>
      <c r="G32" s="1108">
        <v>33.49</v>
      </c>
      <c r="H32" s="1108">
        <v>31.98</v>
      </c>
      <c r="I32" s="1109">
        <v>27.02</v>
      </c>
      <c r="J32" s="79"/>
    </row>
    <row r="33" spans="1:10" ht="13.5" thickBot="1">
      <c r="A33" s="1207">
        <v>45068</v>
      </c>
      <c r="B33" s="1211">
        <v>34.81</v>
      </c>
      <c r="C33" s="1209">
        <v>34.32</v>
      </c>
      <c r="D33" s="1209">
        <v>32.96</v>
      </c>
      <c r="E33" s="1210">
        <v>28.04</v>
      </c>
      <c r="F33" s="1211">
        <v>33.78</v>
      </c>
      <c r="G33" s="1209">
        <v>33.35</v>
      </c>
      <c r="H33" s="1209">
        <v>31.97</v>
      </c>
      <c r="I33" s="1210">
        <v>27.01</v>
      </c>
      <c r="J33" s="79"/>
    </row>
    <row r="34" spans="1:10" ht="13.5" thickBot="1">
      <c r="A34" s="1212">
        <v>45075</v>
      </c>
      <c r="B34" s="1213">
        <v>34.86</v>
      </c>
      <c r="C34" s="1213">
        <v>34.31</v>
      </c>
      <c r="D34" s="1213">
        <v>32.97</v>
      </c>
      <c r="E34" s="1213">
        <v>27.99</v>
      </c>
      <c r="F34" s="1213">
        <v>33.82</v>
      </c>
      <c r="G34" s="1213">
        <v>33.299999999999997</v>
      </c>
      <c r="H34" s="1213">
        <v>31.99</v>
      </c>
      <c r="I34" s="1214">
        <v>27</v>
      </c>
      <c r="J34" s="79"/>
    </row>
    <row r="35" spans="1:10">
      <c r="A35" s="10">
        <v>41792</v>
      </c>
      <c r="B35" s="1107">
        <v>35.11</v>
      </c>
      <c r="C35" s="1108">
        <v>34.61</v>
      </c>
      <c r="D35" s="1108">
        <v>33.06</v>
      </c>
      <c r="E35" s="1109">
        <v>31.01</v>
      </c>
      <c r="F35" s="1107">
        <v>34.270000000000003</v>
      </c>
      <c r="G35" s="1108">
        <v>33.86</v>
      </c>
      <c r="H35" s="1108">
        <v>32.29</v>
      </c>
      <c r="I35" s="1109">
        <v>30.28</v>
      </c>
      <c r="J35" s="79"/>
    </row>
    <row r="36" spans="1:10">
      <c r="A36" s="1207">
        <v>41799</v>
      </c>
      <c r="B36" s="1211">
        <v>36.15</v>
      </c>
      <c r="C36" s="1209">
        <v>35.53</v>
      </c>
      <c r="D36" s="1209">
        <v>34.020000000000003</v>
      </c>
      <c r="E36" s="1210">
        <v>31.02</v>
      </c>
      <c r="F36" s="1211">
        <v>35.28</v>
      </c>
      <c r="G36" s="1209">
        <v>34.79</v>
      </c>
      <c r="H36" s="1209">
        <v>33.29</v>
      </c>
      <c r="I36" s="1210">
        <v>30.25</v>
      </c>
      <c r="J36" s="79"/>
    </row>
    <row r="37" spans="1:10">
      <c r="A37" s="1110">
        <v>41806</v>
      </c>
      <c r="B37" s="1107">
        <v>35.75</v>
      </c>
      <c r="C37" s="1108">
        <v>35.229999999999997</v>
      </c>
      <c r="D37" s="1108">
        <v>33.72</v>
      </c>
      <c r="E37" s="1109">
        <v>30.7</v>
      </c>
      <c r="F37" s="1107">
        <v>34.86</v>
      </c>
      <c r="G37" s="1108">
        <v>34.47</v>
      </c>
      <c r="H37" s="1108">
        <v>32.979999999999997</v>
      </c>
      <c r="I37" s="1109">
        <v>29.92</v>
      </c>
      <c r="J37" s="63"/>
    </row>
    <row r="38" spans="1:10" ht="13.5" thickBot="1">
      <c r="A38" s="1207">
        <v>41813</v>
      </c>
      <c r="B38" s="1211">
        <v>36.58</v>
      </c>
      <c r="C38" s="1209">
        <v>36.07</v>
      </c>
      <c r="D38" s="1209">
        <v>34.54</v>
      </c>
      <c r="E38" s="1210">
        <v>31.42</v>
      </c>
      <c r="F38" s="1211">
        <v>35.659999999999997</v>
      </c>
      <c r="G38" s="1209">
        <v>35.340000000000003</v>
      </c>
      <c r="H38" s="1209">
        <v>33.86</v>
      </c>
      <c r="I38" s="1210">
        <v>30.68</v>
      </c>
      <c r="J38" s="63"/>
    </row>
    <row r="39" spans="1:10" ht="13.5" thickBot="1">
      <c r="A39" s="1212" t="s">
        <v>7</v>
      </c>
      <c r="B39" s="1213">
        <f t="shared" ref="B39:I39" si="6">AVERAGE(B35:B38)</f>
        <v>35.897499999999994</v>
      </c>
      <c r="C39" s="1213">
        <f t="shared" si="6"/>
        <v>35.36</v>
      </c>
      <c r="D39" s="1213">
        <f t="shared" si="6"/>
        <v>33.835000000000001</v>
      </c>
      <c r="E39" s="1213">
        <f t="shared" si="6"/>
        <v>31.037500000000001</v>
      </c>
      <c r="F39" s="1213">
        <f t="shared" si="6"/>
        <v>35.017499999999998</v>
      </c>
      <c r="G39" s="1213">
        <f t="shared" si="6"/>
        <v>34.615000000000002</v>
      </c>
      <c r="H39" s="1213">
        <f t="shared" si="6"/>
        <v>33.105000000000004</v>
      </c>
      <c r="I39" s="1214">
        <f t="shared" si="6"/>
        <v>30.282499999999999</v>
      </c>
      <c r="J39" s="63"/>
    </row>
    <row r="40" spans="1:10">
      <c r="A40" s="10">
        <v>41822</v>
      </c>
      <c r="B40" s="1107">
        <v>36.590000000000003</v>
      </c>
      <c r="C40" s="1108">
        <v>36.130000000000003</v>
      </c>
      <c r="D40" s="1108">
        <v>34.61</v>
      </c>
      <c r="E40" s="1109">
        <v>31.44</v>
      </c>
      <c r="F40" s="1107">
        <v>35.68</v>
      </c>
      <c r="G40" s="1108">
        <v>35.369999999999997</v>
      </c>
      <c r="H40" s="1108">
        <v>33.899000000000001</v>
      </c>
      <c r="I40" s="1109">
        <v>30.64</v>
      </c>
      <c r="J40" s="63"/>
    </row>
    <row r="41" spans="1:10">
      <c r="A41" s="1207">
        <v>41827</v>
      </c>
      <c r="B41" s="1211">
        <v>36.4</v>
      </c>
      <c r="C41" s="1209">
        <v>35.869999999999997</v>
      </c>
      <c r="D41" s="1209">
        <v>34.39</v>
      </c>
      <c r="E41" s="1210">
        <v>31.23</v>
      </c>
      <c r="F41" s="1211">
        <v>35.520000000000003</v>
      </c>
      <c r="G41" s="1209">
        <v>35.08</v>
      </c>
      <c r="H41" s="1209">
        <v>33.630000000000003</v>
      </c>
      <c r="I41" s="1210">
        <v>30.43</v>
      </c>
      <c r="J41" s="63"/>
    </row>
    <row r="42" spans="1:10">
      <c r="A42" s="10">
        <v>41834</v>
      </c>
      <c r="B42" s="1107">
        <v>36.380000000000003</v>
      </c>
      <c r="C42" s="1108">
        <v>35.81</v>
      </c>
      <c r="D42" s="1108">
        <v>34.33</v>
      </c>
      <c r="E42" s="1109">
        <v>30.89</v>
      </c>
      <c r="F42" s="1107">
        <v>35.520000000000003</v>
      </c>
      <c r="G42" s="1108">
        <v>34.99</v>
      </c>
      <c r="H42" s="1108">
        <v>33.520000000000003</v>
      </c>
      <c r="I42" s="1109">
        <v>30.11</v>
      </c>
      <c r="J42" s="63"/>
    </row>
    <row r="43" spans="1:10">
      <c r="A43" s="1207">
        <v>41841</v>
      </c>
      <c r="B43" s="1211">
        <v>35.909999999999997</v>
      </c>
      <c r="C43" s="1209">
        <v>35.36</v>
      </c>
      <c r="D43" s="1209">
        <v>33.83</v>
      </c>
      <c r="E43" s="1210">
        <v>30.67</v>
      </c>
      <c r="F43" s="1211">
        <v>35.020000000000003</v>
      </c>
      <c r="G43" s="1209">
        <v>34.56</v>
      </c>
      <c r="H43" s="1209">
        <v>33.049999999999997</v>
      </c>
      <c r="I43" s="1210">
        <v>29.94</v>
      </c>
      <c r="J43" s="63"/>
    </row>
    <row r="44" spans="1:10" ht="13.5" thickBot="1">
      <c r="A44" s="10">
        <v>41848</v>
      </c>
      <c r="B44" s="1107">
        <v>35.369999999999997</v>
      </c>
      <c r="C44" s="1108">
        <v>34.86</v>
      </c>
      <c r="D44" s="1108">
        <v>33.369999999999997</v>
      </c>
      <c r="E44" s="1109">
        <v>30.44</v>
      </c>
      <c r="F44" s="1107">
        <v>34.520000000000003</v>
      </c>
      <c r="G44" s="1108">
        <v>34.049999999999997</v>
      </c>
      <c r="H44" s="1108">
        <v>32.56</v>
      </c>
      <c r="I44" s="1109">
        <v>29.59</v>
      </c>
      <c r="J44" s="63"/>
    </row>
    <row r="45" spans="1:10" ht="13.5" thickBot="1">
      <c r="A45" s="1212" t="s">
        <v>7</v>
      </c>
      <c r="B45" s="1213">
        <f t="shared" ref="B45:I45" si="7">AVERAGE(B40:B44)</f>
        <v>36.130000000000003</v>
      </c>
      <c r="C45" s="1213">
        <f t="shared" si="7"/>
        <v>35.606000000000009</v>
      </c>
      <c r="D45" s="1213">
        <f t="shared" si="7"/>
        <v>34.106000000000002</v>
      </c>
      <c r="E45" s="1213">
        <f t="shared" si="7"/>
        <v>30.934000000000005</v>
      </c>
      <c r="F45" s="1213">
        <f t="shared" si="7"/>
        <v>35.252000000000002</v>
      </c>
      <c r="G45" s="1213">
        <f t="shared" si="7"/>
        <v>34.81</v>
      </c>
      <c r="H45" s="1213">
        <f t="shared" si="7"/>
        <v>33.331800000000001</v>
      </c>
      <c r="I45" s="1214">
        <f t="shared" si="7"/>
        <v>30.142000000000003</v>
      </c>
      <c r="J45" s="63"/>
    </row>
    <row r="46" spans="1:10">
      <c r="A46" s="10">
        <v>41855</v>
      </c>
      <c r="B46" s="1107">
        <v>34.92</v>
      </c>
      <c r="C46" s="1108">
        <v>34.43</v>
      </c>
      <c r="D46" s="1108">
        <v>32.94</v>
      </c>
      <c r="E46" s="1109">
        <v>30.26</v>
      </c>
      <c r="F46" s="1107">
        <v>34.049999999999997</v>
      </c>
      <c r="G46" s="1108">
        <v>33.64</v>
      </c>
      <c r="H46" s="1108">
        <v>32.14</v>
      </c>
      <c r="I46" s="1109">
        <v>29.44</v>
      </c>
      <c r="J46" s="63"/>
    </row>
    <row r="47" spans="1:10">
      <c r="A47" s="1207">
        <v>41862</v>
      </c>
      <c r="B47" s="1211">
        <v>34.380000000000003</v>
      </c>
      <c r="C47" s="1209">
        <v>33.909999999999997</v>
      </c>
      <c r="D47" s="1209">
        <v>32.44</v>
      </c>
      <c r="E47" s="1210">
        <v>29.92</v>
      </c>
      <c r="F47" s="1211">
        <v>33.520000000000003</v>
      </c>
      <c r="G47" s="1209">
        <v>33.090000000000003</v>
      </c>
      <c r="H47" s="1209">
        <v>31.62</v>
      </c>
      <c r="I47" s="1210">
        <v>29.08</v>
      </c>
      <c r="J47" s="63"/>
    </row>
    <row r="48" spans="1:10">
      <c r="A48" s="1110">
        <v>41869</v>
      </c>
      <c r="B48" s="1107">
        <v>34.380000000000003</v>
      </c>
      <c r="C48" s="1108">
        <v>33.909999999999997</v>
      </c>
      <c r="D48" s="1108">
        <v>32.409999999999997</v>
      </c>
      <c r="E48" s="1109">
        <v>30.74</v>
      </c>
      <c r="F48" s="1107">
        <v>33.520000000000003</v>
      </c>
      <c r="G48" s="1108">
        <v>33.090000000000003</v>
      </c>
      <c r="H48" s="1108">
        <v>31.61</v>
      </c>
      <c r="I48" s="1109">
        <v>29.96</v>
      </c>
      <c r="J48" s="63"/>
    </row>
    <row r="49" spans="1:10" ht="13.5" thickBot="1">
      <c r="A49" s="1207">
        <v>41876</v>
      </c>
      <c r="B49" s="1211">
        <v>34.369999999999997</v>
      </c>
      <c r="C49" s="1209">
        <v>33.85</v>
      </c>
      <c r="D49" s="1209">
        <v>32.36</v>
      </c>
      <c r="E49" s="1210">
        <v>30.74</v>
      </c>
      <c r="F49" s="1211">
        <v>33.520000000000003</v>
      </c>
      <c r="G49" s="1209">
        <v>33.03</v>
      </c>
      <c r="H49" s="1209">
        <v>31.53</v>
      </c>
      <c r="I49" s="1210">
        <v>29.97</v>
      </c>
      <c r="J49" s="63"/>
    </row>
    <row r="50" spans="1:10" ht="13.5" thickBot="1">
      <c r="A50" s="1212" t="s">
        <v>7</v>
      </c>
      <c r="B50" s="1213">
        <f t="shared" ref="B50:I50" si="8">AVERAGE(B46:B49)</f>
        <v>34.512500000000003</v>
      </c>
      <c r="C50" s="1213">
        <f t="shared" si="8"/>
        <v>34.024999999999999</v>
      </c>
      <c r="D50" s="1213">
        <f t="shared" si="8"/>
        <v>32.537499999999994</v>
      </c>
      <c r="E50" s="1213">
        <f t="shared" si="8"/>
        <v>30.414999999999999</v>
      </c>
      <c r="F50" s="1213">
        <f t="shared" si="8"/>
        <v>33.652500000000003</v>
      </c>
      <c r="G50" s="1213">
        <f t="shared" si="8"/>
        <v>33.212500000000006</v>
      </c>
      <c r="H50" s="1213">
        <f t="shared" si="8"/>
        <v>31.725000000000001</v>
      </c>
      <c r="I50" s="1214">
        <f t="shared" si="8"/>
        <v>29.612499999999997</v>
      </c>
      <c r="J50" s="63"/>
    </row>
    <row r="51" spans="1:10">
      <c r="A51" s="10">
        <v>41883</v>
      </c>
      <c r="B51" s="1107">
        <v>34.17</v>
      </c>
      <c r="C51" s="1108">
        <v>33.619999999999997</v>
      </c>
      <c r="D51" s="1108">
        <v>32.130000000000003</v>
      </c>
      <c r="E51" s="1109">
        <v>30.32</v>
      </c>
      <c r="F51" s="1107">
        <v>33.31</v>
      </c>
      <c r="G51" s="1108">
        <v>32.840000000000003</v>
      </c>
      <c r="H51" s="1108">
        <v>31.34</v>
      </c>
      <c r="I51" s="1109">
        <v>29.53</v>
      </c>
      <c r="J51" s="63"/>
    </row>
    <row r="52" spans="1:10">
      <c r="A52" s="1207">
        <v>41890</v>
      </c>
      <c r="B52" s="1211">
        <v>33.69</v>
      </c>
      <c r="C52" s="1209">
        <v>33.21</v>
      </c>
      <c r="D52" s="1209">
        <v>31.72</v>
      </c>
      <c r="E52" s="1210">
        <v>29.91</v>
      </c>
      <c r="F52" s="1211">
        <v>32.86</v>
      </c>
      <c r="G52" s="1209">
        <v>32.42</v>
      </c>
      <c r="H52" s="1209">
        <v>30.92</v>
      </c>
      <c r="I52" s="1210">
        <v>29.08</v>
      </c>
      <c r="J52" s="63"/>
    </row>
    <row r="53" spans="1:10">
      <c r="A53" s="10">
        <v>41898</v>
      </c>
      <c r="B53" s="1107">
        <v>33.43</v>
      </c>
      <c r="C53" s="1108">
        <v>32.950000000000003</v>
      </c>
      <c r="D53" s="1108">
        <v>31.44</v>
      </c>
      <c r="E53" s="1109">
        <v>29.57</v>
      </c>
      <c r="F53" s="1107">
        <v>32.53</v>
      </c>
      <c r="G53" s="1108">
        <v>32.11</v>
      </c>
      <c r="H53" s="1108">
        <v>30.65</v>
      </c>
      <c r="I53" s="1109">
        <v>28.74</v>
      </c>
      <c r="J53" s="63"/>
    </row>
    <row r="54" spans="1:10">
      <c r="A54" s="1207">
        <v>41904</v>
      </c>
      <c r="B54" s="1211">
        <v>33.22</v>
      </c>
      <c r="C54" s="1209">
        <v>32.67</v>
      </c>
      <c r="D54" s="1209">
        <v>31.18</v>
      </c>
      <c r="E54" s="1210">
        <v>28.95</v>
      </c>
      <c r="F54" s="1211">
        <v>32.31</v>
      </c>
      <c r="G54" s="1209">
        <v>31.89</v>
      </c>
      <c r="H54" s="1209">
        <v>30.38</v>
      </c>
      <c r="I54" s="1210">
        <v>28.12</v>
      </c>
      <c r="J54" s="63"/>
    </row>
    <row r="55" spans="1:10" ht="13.5" thickBot="1">
      <c r="A55" s="10">
        <v>41911</v>
      </c>
      <c r="B55" s="1107">
        <v>33.65</v>
      </c>
      <c r="C55" s="1108">
        <v>33.1</v>
      </c>
      <c r="D55" s="1108">
        <v>31.57</v>
      </c>
      <c r="E55" s="1109">
        <v>28.89</v>
      </c>
      <c r="F55" s="1107">
        <v>32.79</v>
      </c>
      <c r="G55" s="1108">
        <v>32.31</v>
      </c>
      <c r="H55" s="1108">
        <v>30.77</v>
      </c>
      <c r="I55" s="1109">
        <v>28.01</v>
      </c>
      <c r="J55" s="63"/>
    </row>
    <row r="56" spans="1:10" ht="13.5" thickBot="1">
      <c r="A56" s="1212" t="s">
        <v>7</v>
      </c>
      <c r="B56" s="1213">
        <f t="shared" ref="B56:I56" si="9">AVERAGE(B51:B55)</f>
        <v>33.631999999999998</v>
      </c>
      <c r="C56" s="1213">
        <f t="shared" si="9"/>
        <v>33.11</v>
      </c>
      <c r="D56" s="1213">
        <f t="shared" si="9"/>
        <v>31.607999999999997</v>
      </c>
      <c r="E56" s="1213">
        <f t="shared" si="9"/>
        <v>29.528000000000002</v>
      </c>
      <c r="F56" s="1213">
        <f t="shared" si="9"/>
        <v>32.76</v>
      </c>
      <c r="G56" s="1213">
        <f t="shared" si="9"/>
        <v>32.314</v>
      </c>
      <c r="H56" s="1213">
        <f t="shared" si="9"/>
        <v>30.812000000000001</v>
      </c>
      <c r="I56" s="1214">
        <f t="shared" si="9"/>
        <v>28.695999999999998</v>
      </c>
      <c r="J56" s="63"/>
    </row>
    <row r="57" spans="1:10">
      <c r="A57" s="10">
        <v>41918</v>
      </c>
      <c r="B57" s="1107">
        <v>33.380000000000003</v>
      </c>
      <c r="C57" s="1108">
        <v>32.89</v>
      </c>
      <c r="D57" s="1108">
        <v>31.36</v>
      </c>
      <c r="E57" s="1109">
        <v>28.63</v>
      </c>
      <c r="F57" s="1107">
        <v>32.5</v>
      </c>
      <c r="G57" s="1108">
        <v>32.049999999999997</v>
      </c>
      <c r="H57" s="1108">
        <v>30.55</v>
      </c>
      <c r="I57" s="1109">
        <v>27.83</v>
      </c>
      <c r="J57" s="127"/>
    </row>
    <row r="58" spans="1:10">
      <c r="A58" s="1207">
        <v>41925</v>
      </c>
      <c r="B58" s="1211">
        <v>32.42</v>
      </c>
      <c r="C58" s="1209">
        <v>31.88</v>
      </c>
      <c r="D58" s="1209">
        <v>30.42</v>
      </c>
      <c r="E58" s="1210">
        <v>28.21</v>
      </c>
      <c r="F58" s="1211">
        <v>31.52</v>
      </c>
      <c r="G58" s="1209">
        <v>31.05</v>
      </c>
      <c r="H58" s="1209">
        <v>29.57</v>
      </c>
      <c r="I58" s="1210">
        <v>27.37</v>
      </c>
      <c r="J58" s="127"/>
    </row>
    <row r="59" spans="1:10" s="79" customFormat="1">
      <c r="A59" s="1110">
        <v>41933</v>
      </c>
      <c r="B59" s="1107">
        <v>30.97</v>
      </c>
      <c r="C59" s="1108">
        <v>30.67</v>
      </c>
      <c r="D59" s="1108">
        <v>29.16</v>
      </c>
      <c r="E59" s="1109">
        <v>27.2</v>
      </c>
      <c r="F59" s="1107">
        <v>29.89</v>
      </c>
      <c r="G59" s="1108">
        <v>29.76</v>
      </c>
      <c r="H59" s="1108">
        <v>28.24</v>
      </c>
      <c r="I59" s="1109">
        <v>26.31</v>
      </c>
      <c r="J59" s="127"/>
    </row>
    <row r="60" spans="1:10" s="79" customFormat="1" ht="13.5" thickBot="1">
      <c r="A60" s="1207">
        <v>41939</v>
      </c>
      <c r="B60" s="1211">
        <v>30.51</v>
      </c>
      <c r="C60" s="1209">
        <v>29.97</v>
      </c>
      <c r="D60" s="1209">
        <v>28.49</v>
      </c>
      <c r="E60" s="1210">
        <v>26.79</v>
      </c>
      <c r="F60" s="1211">
        <v>29.49</v>
      </c>
      <c r="G60" s="1209">
        <v>29.09</v>
      </c>
      <c r="H60" s="1209">
        <v>27.57</v>
      </c>
      <c r="I60" s="1210">
        <v>25.88</v>
      </c>
      <c r="J60" s="127"/>
    </row>
    <row r="61" spans="1:10" s="79" customFormat="1" ht="13.5" thickBot="1">
      <c r="A61" s="1212" t="s">
        <v>7</v>
      </c>
      <c r="B61" s="1213">
        <f t="shared" ref="B61:I61" si="10">AVERAGE(B57:B60)</f>
        <v>31.820000000000004</v>
      </c>
      <c r="C61" s="1213">
        <f t="shared" si="10"/>
        <v>31.352499999999999</v>
      </c>
      <c r="D61" s="1213">
        <f t="shared" si="10"/>
        <v>29.857499999999998</v>
      </c>
      <c r="E61" s="1213">
        <f t="shared" si="10"/>
        <v>27.707500000000003</v>
      </c>
      <c r="F61" s="1213">
        <f t="shared" si="10"/>
        <v>30.849999999999998</v>
      </c>
      <c r="G61" s="1213">
        <f t="shared" si="10"/>
        <v>30.487500000000001</v>
      </c>
      <c r="H61" s="1213">
        <f t="shared" si="10"/>
        <v>28.982500000000002</v>
      </c>
      <c r="I61" s="1214">
        <f t="shared" si="10"/>
        <v>26.8475</v>
      </c>
      <c r="J61" s="563"/>
    </row>
    <row r="62" spans="1:10" s="79" customFormat="1">
      <c r="A62" s="10">
        <v>41946</v>
      </c>
      <c r="B62" s="1107">
        <v>30.01</v>
      </c>
      <c r="C62" s="1108">
        <v>29.46</v>
      </c>
      <c r="D62" s="1108">
        <v>27.94</v>
      </c>
      <c r="E62" s="1109">
        <v>26.33</v>
      </c>
      <c r="F62" s="1107">
        <v>28.99</v>
      </c>
      <c r="G62" s="1108">
        <v>28.58</v>
      </c>
      <c r="H62" s="1108">
        <v>27.06</v>
      </c>
      <c r="I62" s="1109">
        <v>25.37</v>
      </c>
      <c r="J62" s="127"/>
    </row>
    <row r="63" spans="1:10" s="79" customFormat="1">
      <c r="A63" s="1207">
        <v>41953</v>
      </c>
      <c r="B63" s="1211">
        <v>29.98</v>
      </c>
      <c r="C63" s="1209">
        <v>29.4</v>
      </c>
      <c r="D63" s="1209">
        <v>27.9</v>
      </c>
      <c r="E63" s="1210">
        <v>26.21</v>
      </c>
      <c r="F63" s="1211">
        <v>28.98</v>
      </c>
      <c r="G63" s="1209">
        <v>28.55</v>
      </c>
      <c r="H63" s="1209">
        <v>27.03</v>
      </c>
      <c r="I63" s="1210">
        <v>25.35</v>
      </c>
      <c r="J63" s="127"/>
    </row>
    <row r="64" spans="1:10" s="79" customFormat="1">
      <c r="A64" s="1110">
        <v>41960</v>
      </c>
      <c r="B64" s="1107">
        <v>29.97</v>
      </c>
      <c r="C64" s="1108">
        <v>29.36</v>
      </c>
      <c r="D64" s="1108">
        <v>27.85</v>
      </c>
      <c r="E64" s="1109">
        <v>25.89</v>
      </c>
      <c r="F64" s="1107">
        <v>28.98</v>
      </c>
      <c r="G64" s="1108">
        <v>28.52</v>
      </c>
      <c r="H64" s="1108">
        <v>27</v>
      </c>
      <c r="I64" s="1109">
        <v>25.03</v>
      </c>
      <c r="J64" s="127"/>
    </row>
    <row r="65" spans="1:10" s="79" customFormat="1" ht="13.5" thickBot="1">
      <c r="A65" s="1207">
        <v>41967</v>
      </c>
      <c r="B65" s="1211">
        <v>29.97</v>
      </c>
      <c r="C65" s="1209">
        <v>29.28</v>
      </c>
      <c r="D65" s="1209">
        <v>27.79</v>
      </c>
      <c r="E65" s="1210">
        <v>25.45</v>
      </c>
      <c r="F65" s="1211">
        <v>28.98</v>
      </c>
      <c r="G65" s="1209">
        <v>28.5</v>
      </c>
      <c r="H65" s="1209">
        <v>26.99</v>
      </c>
      <c r="I65" s="1210">
        <v>24.61</v>
      </c>
      <c r="J65" s="127"/>
    </row>
    <row r="66" spans="1:10" s="79" customFormat="1" ht="13.5" thickBot="1">
      <c r="A66" s="1212" t="s">
        <v>7</v>
      </c>
      <c r="B66" s="1213">
        <f t="shared" ref="B66:I66" si="11">AVERAGE(B62:B65)</f>
        <v>29.982500000000002</v>
      </c>
      <c r="C66" s="1213">
        <f t="shared" si="11"/>
        <v>29.375</v>
      </c>
      <c r="D66" s="1213">
        <f t="shared" si="11"/>
        <v>27.869999999999997</v>
      </c>
      <c r="E66" s="1213">
        <f t="shared" si="11"/>
        <v>25.970000000000002</v>
      </c>
      <c r="F66" s="1213">
        <f t="shared" si="11"/>
        <v>28.982500000000002</v>
      </c>
      <c r="G66" s="1213">
        <f t="shared" si="11"/>
        <v>28.537499999999998</v>
      </c>
      <c r="H66" s="1213">
        <f t="shared" si="11"/>
        <v>27.02</v>
      </c>
      <c r="I66" s="1214">
        <f t="shared" si="11"/>
        <v>25.09</v>
      </c>
      <c r="J66" s="127"/>
    </row>
    <row r="67" spans="1:10" s="79" customFormat="1" ht="12.75" customHeight="1">
      <c r="A67" s="10">
        <v>41974</v>
      </c>
      <c r="B67" s="1107">
        <v>29</v>
      </c>
      <c r="C67" s="1108">
        <v>28.34</v>
      </c>
      <c r="D67" s="1108">
        <v>26.86</v>
      </c>
      <c r="E67" s="1109">
        <v>25.24</v>
      </c>
      <c r="F67" s="1107">
        <v>27.98</v>
      </c>
      <c r="G67" s="1108">
        <v>27.52</v>
      </c>
      <c r="H67" s="1108">
        <v>26.03</v>
      </c>
      <c r="I67" s="1109">
        <v>24.44</v>
      </c>
      <c r="J67" s="127"/>
    </row>
    <row r="68" spans="1:10" s="79" customFormat="1" ht="12.75" customHeight="1">
      <c r="A68" s="1207">
        <v>41981</v>
      </c>
      <c r="B68" s="1211">
        <v>27.56</v>
      </c>
      <c r="C68" s="1209">
        <v>27.04</v>
      </c>
      <c r="D68" s="1209">
        <v>25.56</v>
      </c>
      <c r="E68" s="1210">
        <v>23.63</v>
      </c>
      <c r="F68" s="1211">
        <v>26.53</v>
      </c>
      <c r="G68" s="1209">
        <v>26.16</v>
      </c>
      <c r="H68" s="1209">
        <v>24.76</v>
      </c>
      <c r="I68" s="1210">
        <v>22.72</v>
      </c>
      <c r="J68" s="127"/>
    </row>
    <row r="69" spans="1:10" s="79" customFormat="1" ht="12.75" customHeight="1">
      <c r="A69" s="10">
        <v>41988</v>
      </c>
      <c r="B69" s="1107">
        <v>26.54</v>
      </c>
      <c r="C69" s="1108">
        <v>25.86</v>
      </c>
      <c r="D69" s="1108">
        <v>24.39</v>
      </c>
      <c r="E69" s="1109">
        <v>23.34</v>
      </c>
      <c r="F69" s="1107">
        <v>25.52</v>
      </c>
      <c r="G69" s="1108">
        <v>25.02</v>
      </c>
      <c r="H69" s="1108">
        <v>23.59</v>
      </c>
      <c r="I69" s="1109">
        <v>22.54</v>
      </c>
      <c r="J69" s="127"/>
    </row>
    <row r="70" spans="1:10" s="79" customFormat="1" ht="12.75" customHeight="1">
      <c r="A70" s="1207">
        <v>41995</v>
      </c>
      <c r="B70" s="1211">
        <v>24.69</v>
      </c>
      <c r="C70" s="1209">
        <v>24.33</v>
      </c>
      <c r="D70" s="1209">
        <v>22.91</v>
      </c>
      <c r="E70" s="1210">
        <v>21.91</v>
      </c>
      <c r="F70" s="1211">
        <v>23.52</v>
      </c>
      <c r="G70" s="1209">
        <v>23.51</v>
      </c>
      <c r="H70" s="1209">
        <v>22.11</v>
      </c>
      <c r="I70" s="1210">
        <v>21.11</v>
      </c>
      <c r="J70" s="127"/>
    </row>
    <row r="71" spans="1:10" ht="13.5" thickBot="1">
      <c r="A71" s="10">
        <v>42002</v>
      </c>
      <c r="B71" s="1107">
        <v>24.52</v>
      </c>
      <c r="C71" s="1108">
        <v>23.84</v>
      </c>
      <c r="D71" s="1108">
        <v>22.33</v>
      </c>
      <c r="E71" s="1109">
        <v>21.37</v>
      </c>
      <c r="F71" s="1107">
        <v>23.49</v>
      </c>
      <c r="G71" s="1108">
        <v>23</v>
      </c>
      <c r="H71" s="1108">
        <v>21.52</v>
      </c>
      <c r="I71" s="1109">
        <v>20.54</v>
      </c>
      <c r="J71" s="127"/>
    </row>
    <row r="72" spans="1:10" ht="13.5" thickBot="1">
      <c r="A72" s="1212" t="s">
        <v>7</v>
      </c>
      <c r="B72" s="1213">
        <f t="shared" ref="B72:I72" si="12">AVERAGE(B67:B71)</f>
        <v>26.462</v>
      </c>
      <c r="C72" s="1213">
        <f t="shared" si="12"/>
        <v>25.881999999999998</v>
      </c>
      <c r="D72" s="1213">
        <f t="shared" si="12"/>
        <v>24.41</v>
      </c>
      <c r="E72" s="1213">
        <f t="shared" si="12"/>
        <v>23.097999999999999</v>
      </c>
      <c r="F72" s="1213">
        <f t="shared" si="12"/>
        <v>25.407999999999998</v>
      </c>
      <c r="G72" s="1213">
        <f t="shared" si="12"/>
        <v>25.042000000000002</v>
      </c>
      <c r="H72" s="1213">
        <f t="shared" si="12"/>
        <v>23.602</v>
      </c>
      <c r="I72" s="1214">
        <f t="shared" si="12"/>
        <v>22.27</v>
      </c>
      <c r="J72" s="127"/>
    </row>
    <row r="73" spans="1:10">
      <c r="A73" s="651"/>
      <c r="B73" s="651"/>
      <c r="C73" s="651"/>
      <c r="D73" s="651"/>
      <c r="E73" s="651"/>
      <c r="F73" s="651"/>
      <c r="G73" s="651"/>
      <c r="H73" s="651"/>
      <c r="I73" s="651"/>
      <c r="J73" s="127"/>
    </row>
    <row r="74" spans="1:10">
      <c r="A74" s="651"/>
      <c r="B74" s="651"/>
      <c r="C74" s="651"/>
      <c r="D74" s="651"/>
      <c r="E74" s="651"/>
      <c r="F74" s="651"/>
      <c r="G74" s="651"/>
      <c r="H74" s="651"/>
      <c r="I74" s="651"/>
      <c r="J74" s="127"/>
    </row>
    <row r="75" spans="1:10">
      <c r="A75" s="127"/>
      <c r="B75" s="127"/>
      <c r="C75" s="127"/>
      <c r="D75" s="127"/>
      <c r="E75" s="127"/>
      <c r="F75" s="127"/>
      <c r="G75" s="127"/>
      <c r="H75" s="127"/>
      <c r="I75" s="127"/>
      <c r="J75" s="127"/>
    </row>
    <row r="76" spans="1:10">
      <c r="A76" s="127"/>
      <c r="B76" s="127"/>
      <c r="C76" s="127"/>
      <c r="D76" s="127"/>
      <c r="E76" s="127"/>
      <c r="F76" s="127"/>
      <c r="G76" s="127"/>
      <c r="H76" s="127"/>
      <c r="I76" s="127"/>
      <c r="J76" s="127"/>
    </row>
    <row r="77" spans="1:10">
      <c r="A77" s="127"/>
      <c r="B77" s="127"/>
      <c r="C77" s="127"/>
      <c r="D77" s="127"/>
      <c r="E77" s="127"/>
      <c r="F77" s="127"/>
      <c r="G77" s="127"/>
      <c r="H77" s="127"/>
      <c r="I77" s="127"/>
      <c r="J77" s="127"/>
    </row>
    <row r="78" spans="1:10">
      <c r="A78" s="127"/>
      <c r="B78" s="127"/>
      <c r="C78" s="127"/>
      <c r="D78" s="127"/>
      <c r="E78" s="127"/>
      <c r="F78" s="127"/>
      <c r="G78" s="127"/>
      <c r="H78" s="127"/>
      <c r="I78" s="127"/>
      <c r="J78" s="127"/>
    </row>
    <row r="79" spans="1:10">
      <c r="A79" s="127"/>
      <c r="B79" s="127"/>
      <c r="C79" s="127"/>
      <c r="D79" s="127"/>
      <c r="E79" s="127"/>
      <c r="F79" s="127"/>
      <c r="G79" s="127"/>
      <c r="H79" s="127"/>
      <c r="I79" s="127"/>
      <c r="J79" s="127"/>
    </row>
    <row r="80" spans="1:10">
      <c r="A80" s="127"/>
      <c r="B80" s="127"/>
      <c r="C80" s="127"/>
      <c r="D80" s="127"/>
      <c r="E80" s="127"/>
      <c r="F80" s="127"/>
      <c r="G80" s="127"/>
      <c r="H80" s="127"/>
      <c r="I80" s="127"/>
      <c r="J80" s="127"/>
    </row>
    <row r="81" spans="1:10">
      <c r="A81" s="127"/>
      <c r="B81" s="127"/>
      <c r="C81" s="127"/>
      <c r="D81" s="127"/>
      <c r="E81" s="127"/>
      <c r="F81" s="127"/>
      <c r="G81" s="127"/>
      <c r="H81" s="127"/>
      <c r="I81" s="127"/>
      <c r="J81" s="127"/>
    </row>
    <row r="82" spans="1:10">
      <c r="A82" s="127"/>
      <c r="B82" s="127"/>
      <c r="C82" s="127"/>
      <c r="D82" s="127"/>
      <c r="E82" s="127"/>
      <c r="F82" s="127"/>
      <c r="G82" s="127"/>
      <c r="H82" s="127"/>
      <c r="I82" s="127"/>
      <c r="J82" s="127"/>
    </row>
    <row r="83" spans="1:10">
      <c r="A83" s="127"/>
      <c r="B83" s="127"/>
      <c r="C83" s="127"/>
      <c r="D83" s="127"/>
      <c r="E83" s="127"/>
      <c r="F83" s="127"/>
      <c r="G83" s="127"/>
      <c r="H83" s="127"/>
      <c r="I83" s="127"/>
      <c r="J83" s="127"/>
    </row>
    <row r="84" spans="1:10">
      <c r="A84" s="127"/>
      <c r="B84" s="127"/>
      <c r="C84" s="127"/>
      <c r="D84" s="127"/>
      <c r="E84" s="127"/>
      <c r="F84" s="127"/>
      <c r="G84" s="127"/>
      <c r="H84" s="127"/>
      <c r="I84" s="127"/>
      <c r="J84" s="127"/>
    </row>
    <row r="85" spans="1:10">
      <c r="A85" s="127"/>
      <c r="B85" s="127"/>
      <c r="C85" s="127"/>
      <c r="D85" s="127"/>
      <c r="E85" s="127"/>
      <c r="F85" s="127"/>
      <c r="G85" s="127"/>
      <c r="H85" s="127"/>
      <c r="I85" s="127"/>
      <c r="J85" s="127"/>
    </row>
    <row r="86" spans="1:10">
      <c r="A86" s="127"/>
      <c r="B86" s="127"/>
      <c r="C86" s="127"/>
      <c r="D86" s="127"/>
      <c r="E86" s="127"/>
      <c r="F86" s="127"/>
      <c r="G86" s="127"/>
      <c r="H86" s="127"/>
      <c r="I86" s="127"/>
      <c r="J86" s="127"/>
    </row>
    <row r="87" spans="1:10">
      <c r="A87" s="127"/>
      <c r="B87" s="127"/>
      <c r="C87" s="127"/>
      <c r="D87" s="127"/>
      <c r="E87" s="127"/>
      <c r="F87" s="127"/>
      <c r="G87" s="127"/>
      <c r="H87" s="127"/>
      <c r="I87" s="127"/>
      <c r="J87" s="127"/>
    </row>
    <row r="88" spans="1:10">
      <c r="A88" s="127"/>
      <c r="B88" s="127"/>
      <c r="C88" s="127"/>
      <c r="D88" s="127"/>
      <c r="E88" s="127"/>
      <c r="F88" s="127"/>
      <c r="G88" s="127"/>
      <c r="H88" s="127"/>
      <c r="I88" s="127"/>
      <c r="J88" s="127"/>
    </row>
    <row r="89" spans="1:10">
      <c r="A89" s="127"/>
      <c r="B89" s="127"/>
      <c r="C89" s="127"/>
      <c r="D89" s="127"/>
      <c r="E89" s="127"/>
      <c r="F89" s="127"/>
      <c r="G89" s="127"/>
      <c r="H89" s="127"/>
      <c r="I89" s="127"/>
      <c r="J89" s="127"/>
    </row>
    <row r="90" spans="1:10">
      <c r="A90" s="127"/>
      <c r="B90" s="127"/>
      <c r="C90" s="127"/>
      <c r="D90" s="127"/>
      <c r="E90" s="127"/>
      <c r="F90" s="127"/>
      <c r="G90" s="127"/>
      <c r="H90" s="127"/>
      <c r="I90" s="127"/>
      <c r="J90" s="127"/>
    </row>
    <row r="91" spans="1:10">
      <c r="A91" s="127"/>
      <c r="B91" s="127"/>
      <c r="C91" s="127"/>
      <c r="D91" s="127"/>
      <c r="E91" s="127"/>
      <c r="F91" s="127"/>
      <c r="G91" s="127"/>
      <c r="H91" s="127"/>
      <c r="I91" s="127"/>
      <c r="J91" s="127"/>
    </row>
    <row r="92" spans="1:10">
      <c r="A92" s="127"/>
      <c r="B92" s="127"/>
      <c r="C92" s="127"/>
      <c r="D92" s="127"/>
      <c r="E92" s="127"/>
      <c r="F92" s="127"/>
      <c r="G92" s="127"/>
      <c r="H92" s="127"/>
      <c r="I92" s="127"/>
      <c r="J92" s="127"/>
    </row>
    <row r="93" spans="1:10">
      <c r="A93" s="127"/>
      <c r="B93" s="127"/>
      <c r="C93" s="127"/>
      <c r="D93" s="127"/>
      <c r="E93" s="127"/>
      <c r="F93" s="127"/>
      <c r="G93" s="127"/>
      <c r="H93" s="127"/>
      <c r="I93" s="127"/>
      <c r="J93" s="127"/>
    </row>
    <row r="94" spans="1:10">
      <c r="A94" s="127"/>
      <c r="B94" s="127"/>
      <c r="C94" s="127"/>
      <c r="D94" s="127"/>
      <c r="E94" s="127"/>
      <c r="F94" s="127"/>
      <c r="G94" s="127"/>
      <c r="H94" s="127"/>
      <c r="I94" s="127"/>
      <c r="J94" s="127"/>
    </row>
    <row r="95" spans="1:10">
      <c r="A95" s="127"/>
      <c r="B95" s="127"/>
      <c r="C95" s="127"/>
      <c r="D95" s="127"/>
      <c r="E95" s="127"/>
      <c r="F95" s="127"/>
      <c r="G95" s="127"/>
      <c r="H95" s="127"/>
      <c r="I95" s="127"/>
      <c r="J95" s="127"/>
    </row>
    <row r="96" spans="1:10">
      <c r="A96" s="127"/>
      <c r="B96" s="127"/>
      <c r="C96" s="127"/>
      <c r="D96" s="127"/>
      <c r="E96" s="127"/>
      <c r="F96" s="127"/>
      <c r="G96" s="127"/>
      <c r="H96" s="127"/>
      <c r="I96" s="127"/>
      <c r="J96" s="127"/>
    </row>
    <row r="97" spans="1:10">
      <c r="A97" s="127"/>
      <c r="B97" s="127"/>
      <c r="C97" s="127"/>
      <c r="D97" s="127"/>
      <c r="E97" s="127"/>
      <c r="F97" s="127"/>
      <c r="G97" s="127"/>
      <c r="H97" s="127"/>
      <c r="I97" s="127"/>
      <c r="J97" s="127"/>
    </row>
    <row r="98" spans="1:10">
      <c r="A98" s="127"/>
      <c r="B98" s="127"/>
      <c r="C98" s="127"/>
      <c r="D98" s="127"/>
      <c r="E98" s="127"/>
      <c r="F98" s="127"/>
      <c r="G98" s="127"/>
      <c r="H98" s="127"/>
      <c r="I98" s="127"/>
      <c r="J98" s="127"/>
    </row>
    <row r="99" spans="1:10">
      <c r="A99" s="127"/>
      <c r="B99" s="127"/>
      <c r="C99" s="127"/>
      <c r="D99" s="127"/>
      <c r="E99" s="127"/>
      <c r="F99" s="127"/>
      <c r="G99" s="127"/>
      <c r="H99" s="127"/>
      <c r="I99" s="127"/>
      <c r="J99" s="127"/>
    </row>
    <row r="100" spans="1:10">
      <c r="A100" s="127"/>
      <c r="B100" s="127"/>
      <c r="C100" s="127"/>
      <c r="D100" s="127"/>
      <c r="E100" s="127"/>
      <c r="F100" s="127"/>
      <c r="G100" s="127"/>
      <c r="H100" s="127"/>
      <c r="I100" s="127"/>
      <c r="J100" s="127"/>
    </row>
    <row r="101" spans="1:10">
      <c r="A101" s="127"/>
      <c r="B101" s="127"/>
      <c r="C101" s="127"/>
      <c r="D101" s="127"/>
      <c r="E101" s="127"/>
      <c r="F101" s="127"/>
      <c r="G101" s="127"/>
      <c r="H101" s="127"/>
      <c r="I101" s="127"/>
      <c r="J101" s="127"/>
    </row>
    <row r="102" spans="1:10">
      <c r="A102" s="127"/>
      <c r="B102" s="127"/>
      <c r="C102" s="127"/>
      <c r="D102" s="127"/>
      <c r="E102" s="127"/>
      <c r="F102" s="127"/>
      <c r="G102" s="127"/>
      <c r="H102" s="127"/>
      <c r="I102" s="127"/>
      <c r="J102" s="127"/>
    </row>
    <row r="103" spans="1:10">
      <c r="A103" s="127"/>
      <c r="B103" s="127"/>
      <c r="C103" s="127"/>
      <c r="D103" s="127"/>
      <c r="E103" s="127"/>
      <c r="F103" s="127"/>
      <c r="G103" s="127"/>
      <c r="H103" s="127"/>
      <c r="I103" s="127"/>
      <c r="J103" s="127"/>
    </row>
    <row r="104" spans="1:10">
      <c r="A104" s="127"/>
      <c r="B104" s="127"/>
      <c r="C104" s="127"/>
      <c r="D104" s="127"/>
      <c r="E104" s="127"/>
      <c r="F104" s="127"/>
      <c r="G104" s="127"/>
      <c r="H104" s="127"/>
      <c r="I104" s="127"/>
      <c r="J104" s="127"/>
    </row>
    <row r="105" spans="1:10">
      <c r="A105" s="127"/>
      <c r="B105" s="127"/>
      <c r="C105" s="127"/>
      <c r="D105" s="127"/>
      <c r="E105" s="127"/>
      <c r="F105" s="127"/>
      <c r="G105" s="127"/>
      <c r="H105" s="127"/>
      <c r="I105" s="127"/>
      <c r="J105" s="127"/>
    </row>
    <row r="106" spans="1:10">
      <c r="A106" s="127"/>
      <c r="B106" s="127"/>
      <c r="C106" s="127"/>
      <c r="D106" s="127"/>
      <c r="E106" s="127"/>
      <c r="F106" s="127"/>
      <c r="G106" s="127"/>
      <c r="H106" s="127"/>
      <c r="I106" s="127"/>
      <c r="J106" s="127"/>
    </row>
    <row r="107" spans="1:10">
      <c r="A107" s="127"/>
      <c r="B107" s="127"/>
      <c r="C107" s="127"/>
      <c r="D107" s="127"/>
      <c r="E107" s="127"/>
      <c r="F107" s="127"/>
      <c r="G107" s="127"/>
      <c r="H107" s="127"/>
      <c r="I107" s="127"/>
      <c r="J107" s="127"/>
    </row>
    <row r="108" spans="1:10">
      <c r="A108" s="127"/>
      <c r="B108" s="127"/>
      <c r="C108" s="127"/>
      <c r="D108" s="127"/>
      <c r="E108" s="127"/>
      <c r="F108" s="127"/>
      <c r="G108" s="127"/>
      <c r="H108" s="127"/>
      <c r="I108" s="127"/>
      <c r="J108" s="127"/>
    </row>
    <row r="109" spans="1:10">
      <c r="A109" s="127"/>
      <c r="B109" s="127"/>
      <c r="C109" s="127"/>
      <c r="D109" s="127"/>
      <c r="E109" s="127"/>
      <c r="F109" s="127"/>
      <c r="G109" s="127"/>
      <c r="H109" s="127"/>
      <c r="I109" s="127"/>
      <c r="J109" s="127"/>
    </row>
  </sheetData>
  <mergeCells count="8">
    <mergeCell ref="K14:N14"/>
    <mergeCell ref="K15:N15"/>
    <mergeCell ref="A2:I2"/>
    <mergeCell ref="A3:I3"/>
    <mergeCell ref="A4:I4"/>
    <mergeCell ref="A5:I5"/>
    <mergeCell ref="B7:E7"/>
    <mergeCell ref="F7:I7"/>
  </mergeCells>
  <pageMargins left="1.47" right="0.42" top="0.6" bottom="1" header="0" footer="0"/>
  <pageSetup scale="69" orientation="portrait" horizontalDpi="4294967295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N111"/>
  <sheetViews>
    <sheetView view="pageBreakPreview" zoomScaleNormal="75" workbookViewId="0">
      <selection activeCell="C42" sqref="C42"/>
    </sheetView>
  </sheetViews>
  <sheetFormatPr baseColWidth="10" defaultColWidth="11.42578125" defaultRowHeight="12.75"/>
  <cols>
    <col min="1" max="1" width="16.28515625" customWidth="1"/>
    <col min="2" max="2" width="11.7109375" customWidth="1"/>
    <col min="4" max="4" width="11.28515625" customWidth="1"/>
    <col min="6" max="6" width="11.85546875" customWidth="1"/>
    <col min="10" max="10" width="4" customWidth="1"/>
    <col min="11" max="11" width="13.7109375" customWidth="1"/>
    <col min="12" max="12" width="11.85546875" customWidth="1"/>
    <col min="14" max="14" width="7.7109375" customWidth="1"/>
  </cols>
  <sheetData>
    <row r="1" spans="1:14">
      <c r="A1" s="756" t="s">
        <v>168</v>
      </c>
      <c r="B1" s="549"/>
      <c r="C1" s="549"/>
      <c r="D1" s="549"/>
      <c r="E1" s="549"/>
      <c r="F1" s="549"/>
      <c r="G1" s="549"/>
      <c r="H1" s="549"/>
      <c r="I1" s="550"/>
    </row>
    <row r="2" spans="1:14">
      <c r="A2" s="757" t="s">
        <v>543</v>
      </c>
      <c r="B2" s="548"/>
      <c r="C2" s="548"/>
      <c r="D2" s="548"/>
      <c r="E2" s="548"/>
      <c r="F2" s="548"/>
      <c r="G2" s="548"/>
      <c r="H2" s="548"/>
      <c r="I2" s="551"/>
    </row>
    <row r="3" spans="1:14">
      <c r="A3" s="755"/>
      <c r="B3" s="754"/>
      <c r="C3" s="548"/>
      <c r="D3" s="548"/>
      <c r="E3" s="548"/>
      <c r="F3" s="548"/>
      <c r="G3" s="548"/>
      <c r="H3" s="548"/>
      <c r="I3" s="551"/>
      <c r="J3" s="63"/>
      <c r="K3" s="72" t="s">
        <v>35</v>
      </c>
      <c r="L3" s="72" t="s">
        <v>34</v>
      </c>
    </row>
    <row r="4" spans="1:14">
      <c r="A4" s="1506" t="s">
        <v>36</v>
      </c>
      <c r="B4" s="1570"/>
      <c r="C4" s="1570"/>
      <c r="D4" s="1570"/>
      <c r="E4" s="1570"/>
      <c r="F4" s="1570"/>
      <c r="G4" s="1570"/>
      <c r="H4" s="1570"/>
      <c r="I4" s="1571"/>
      <c r="J4" s="63"/>
    </row>
    <row r="5" spans="1:14">
      <c r="A5" s="1572" t="s">
        <v>22</v>
      </c>
      <c r="B5" s="1573"/>
      <c r="C5" s="1573"/>
      <c r="D5" s="1573"/>
      <c r="E5" s="1573"/>
      <c r="F5" s="1573"/>
      <c r="G5" s="1573"/>
      <c r="H5" s="1573"/>
      <c r="I5" s="1574"/>
      <c r="J5" s="63"/>
    </row>
    <row r="6" spans="1:14">
      <c r="A6" s="1572" t="s">
        <v>23</v>
      </c>
      <c r="B6" s="1573"/>
      <c r="C6" s="1573"/>
      <c r="D6" s="1573"/>
      <c r="E6" s="1573"/>
      <c r="F6" s="1573"/>
      <c r="G6" s="1573"/>
      <c r="H6" s="1573"/>
      <c r="I6" s="1574"/>
      <c r="J6" s="63"/>
    </row>
    <row r="7" spans="1:14">
      <c r="A7" s="1558" t="s">
        <v>0</v>
      </c>
      <c r="B7" s="1559"/>
      <c r="C7" s="1559"/>
      <c r="D7" s="1559"/>
      <c r="E7" s="1559"/>
      <c r="F7" s="1559"/>
      <c r="G7" s="1559"/>
      <c r="H7" s="1559"/>
      <c r="I7" s="1560"/>
      <c r="J7" s="63"/>
    </row>
    <row r="8" spans="1:14" ht="11.25" customHeight="1" thickBot="1">
      <c r="A8" s="104"/>
      <c r="B8" s="105"/>
      <c r="C8" s="105"/>
      <c r="D8" s="105"/>
      <c r="E8" s="105"/>
      <c r="F8" s="105"/>
      <c r="G8" s="105"/>
      <c r="H8" s="105"/>
      <c r="I8" s="106"/>
      <c r="J8" s="63"/>
    </row>
    <row r="9" spans="1:14" ht="20.25" customHeight="1" thickBot="1">
      <c r="A9" s="1199" t="s">
        <v>1</v>
      </c>
      <c r="B9" s="1561" t="s">
        <v>2</v>
      </c>
      <c r="C9" s="1562"/>
      <c r="D9" s="1562"/>
      <c r="E9" s="1563"/>
      <c r="F9" s="1564" t="s">
        <v>3</v>
      </c>
      <c r="G9" s="1565"/>
      <c r="H9" s="1565"/>
      <c r="I9" s="1566"/>
      <c r="J9" s="63"/>
    </row>
    <row r="10" spans="1:14" ht="21" customHeight="1" thickBot="1">
      <c r="A10" s="1200" t="s">
        <v>21</v>
      </c>
      <c r="B10" s="1201" t="s">
        <v>532</v>
      </c>
      <c r="C10" s="1201" t="s">
        <v>4</v>
      </c>
      <c r="D10" s="1202" t="s">
        <v>5</v>
      </c>
      <c r="E10" s="1203" t="s">
        <v>6</v>
      </c>
      <c r="F10" s="1204" t="s">
        <v>532</v>
      </c>
      <c r="G10" s="1204" t="s">
        <v>4</v>
      </c>
      <c r="H10" s="1205" t="s">
        <v>5</v>
      </c>
      <c r="I10" s="1206" t="s">
        <v>6</v>
      </c>
      <c r="J10" s="63"/>
    </row>
    <row r="11" spans="1:14">
      <c r="A11" s="10">
        <v>42009</v>
      </c>
      <c r="B11" s="1107">
        <v>23.64</v>
      </c>
      <c r="C11" s="1108">
        <v>23.28</v>
      </c>
      <c r="D11" s="1108">
        <v>21.81</v>
      </c>
      <c r="E11" s="1109">
        <v>20.83</v>
      </c>
      <c r="F11" s="1107">
        <v>22.55</v>
      </c>
      <c r="G11" s="1108">
        <v>22.49</v>
      </c>
      <c r="H11" s="1108">
        <v>21</v>
      </c>
      <c r="I11" s="1109">
        <v>20.010000000000002</v>
      </c>
      <c r="J11" s="79"/>
    </row>
    <row r="12" spans="1:14">
      <c r="A12" s="1207">
        <v>42016</v>
      </c>
      <c r="B12" s="1211">
        <v>22.66</v>
      </c>
      <c r="C12" s="1209">
        <v>21.98</v>
      </c>
      <c r="D12" s="1209">
        <v>20.48</v>
      </c>
      <c r="E12" s="1210">
        <v>19.920000000000002</v>
      </c>
      <c r="F12" s="1211">
        <v>21.56</v>
      </c>
      <c r="G12" s="1209">
        <v>21.1</v>
      </c>
      <c r="H12" s="1209">
        <v>19.63</v>
      </c>
      <c r="I12" s="1210">
        <v>19.059999999999999</v>
      </c>
      <c r="J12" s="79"/>
    </row>
    <row r="13" spans="1:14">
      <c r="A13" s="1110">
        <v>42023</v>
      </c>
      <c r="B13" s="1107">
        <v>21.6</v>
      </c>
      <c r="C13" s="1108">
        <v>20.89</v>
      </c>
      <c r="D13" s="1108">
        <v>19.45</v>
      </c>
      <c r="E13" s="1109">
        <v>19.13</v>
      </c>
      <c r="F13" s="1107">
        <v>20.49</v>
      </c>
      <c r="G13" s="1108">
        <v>20.03</v>
      </c>
      <c r="H13" s="1108">
        <v>18.55</v>
      </c>
      <c r="I13" s="1109">
        <v>18.350000000000001</v>
      </c>
      <c r="J13" s="79"/>
    </row>
    <row r="14" spans="1:14" ht="13.5" thickBot="1">
      <c r="A14" s="1207">
        <v>42030</v>
      </c>
      <c r="B14" s="1211">
        <v>21.52</v>
      </c>
      <c r="C14" s="1209">
        <v>20.8</v>
      </c>
      <c r="D14" s="1209">
        <v>19.36</v>
      </c>
      <c r="E14" s="1210">
        <v>18.79</v>
      </c>
      <c r="F14" s="1211">
        <v>20.49</v>
      </c>
      <c r="G14" s="1209">
        <v>19.989999999999998</v>
      </c>
      <c r="H14" s="1209">
        <v>18.53</v>
      </c>
      <c r="I14" s="1210">
        <v>18</v>
      </c>
      <c r="J14" s="79"/>
    </row>
    <row r="15" spans="1:14" ht="13.5" thickBot="1">
      <c r="A15" s="1212" t="s">
        <v>7</v>
      </c>
      <c r="B15" s="1213">
        <f t="shared" ref="B15:I15" si="0">AVERAGE(B11:B14)</f>
        <v>22.355</v>
      </c>
      <c r="C15" s="1213">
        <f t="shared" si="0"/>
        <v>21.737500000000001</v>
      </c>
      <c r="D15" s="1213">
        <f t="shared" si="0"/>
        <v>20.274999999999999</v>
      </c>
      <c r="E15" s="1213">
        <f t="shared" si="0"/>
        <v>19.667499999999997</v>
      </c>
      <c r="F15" s="1213">
        <f t="shared" si="0"/>
        <v>21.272499999999997</v>
      </c>
      <c r="G15" s="1213">
        <f t="shared" si="0"/>
        <v>20.9025</v>
      </c>
      <c r="H15" s="1213">
        <f t="shared" si="0"/>
        <v>19.427499999999998</v>
      </c>
      <c r="I15" s="1214">
        <f t="shared" si="0"/>
        <v>18.855</v>
      </c>
      <c r="J15" s="79"/>
    </row>
    <row r="16" spans="1:14">
      <c r="A16" s="10">
        <v>42037</v>
      </c>
      <c r="B16" s="1107">
        <v>22.52</v>
      </c>
      <c r="C16" s="1108">
        <v>21.75</v>
      </c>
      <c r="D16" s="1108">
        <v>20.3</v>
      </c>
      <c r="E16" s="1109">
        <v>18.739999999999998</v>
      </c>
      <c r="F16" s="1107">
        <v>21.48</v>
      </c>
      <c r="G16" s="1108">
        <v>20.97</v>
      </c>
      <c r="H16" s="1108">
        <v>19.489999999999998</v>
      </c>
      <c r="I16" s="1109">
        <v>17.97</v>
      </c>
      <c r="J16" s="79"/>
      <c r="K16" s="1540" t="s">
        <v>470</v>
      </c>
      <c r="L16" s="1541"/>
      <c r="M16" s="1541"/>
      <c r="N16" s="1542"/>
    </row>
    <row r="17" spans="1:14">
      <c r="A17" s="1207">
        <v>42044</v>
      </c>
      <c r="B17" s="1211">
        <v>23.9</v>
      </c>
      <c r="C17" s="1209">
        <v>23.28</v>
      </c>
      <c r="D17" s="1209">
        <v>21.78</v>
      </c>
      <c r="E17" s="1210">
        <v>20.76</v>
      </c>
      <c r="F17" s="1211">
        <v>22.99</v>
      </c>
      <c r="G17" s="1209">
        <v>22.5</v>
      </c>
      <c r="H17" s="1209">
        <v>20.97</v>
      </c>
      <c r="I17" s="1210">
        <v>19.98</v>
      </c>
      <c r="J17" s="79"/>
      <c r="K17" s="1543" t="s">
        <v>30</v>
      </c>
      <c r="L17" s="1544"/>
      <c r="M17" s="1544"/>
      <c r="N17" s="1545"/>
    </row>
    <row r="18" spans="1:14">
      <c r="A18" s="1110">
        <v>42051</v>
      </c>
      <c r="B18" s="1107">
        <v>24.41</v>
      </c>
      <c r="C18" s="1108">
        <v>23.83</v>
      </c>
      <c r="D18" s="1108">
        <v>22.29</v>
      </c>
      <c r="E18" s="1109">
        <v>21.25</v>
      </c>
      <c r="F18" s="1107">
        <v>23.47</v>
      </c>
      <c r="G18" s="1108">
        <v>22.99</v>
      </c>
      <c r="H18" s="1108">
        <v>21.49</v>
      </c>
      <c r="I18" s="1109">
        <v>20.48</v>
      </c>
      <c r="J18" s="79"/>
      <c r="K18" s="91" t="s">
        <v>25</v>
      </c>
      <c r="L18" s="92" t="s">
        <v>26</v>
      </c>
      <c r="M18" s="92" t="s">
        <v>27</v>
      </c>
      <c r="N18" s="93" t="s">
        <v>28</v>
      </c>
    </row>
    <row r="19" spans="1:14" ht="13.5" thickBot="1">
      <c r="A19" s="1207">
        <v>42058</v>
      </c>
      <c r="B19" s="1211">
        <v>24.88</v>
      </c>
      <c r="C19" s="1209">
        <v>24.13</v>
      </c>
      <c r="D19" s="1209">
        <v>22.62</v>
      </c>
      <c r="E19" s="1210">
        <v>21.59</v>
      </c>
      <c r="F19" s="1211">
        <v>23.99</v>
      </c>
      <c r="G19" s="1209">
        <v>23.29</v>
      </c>
      <c r="H19" s="1209">
        <v>21.81</v>
      </c>
      <c r="I19" s="1210">
        <v>20.8</v>
      </c>
      <c r="J19" s="79"/>
      <c r="K19" s="94"/>
      <c r="L19" s="92" t="s">
        <v>29</v>
      </c>
      <c r="M19" s="92" t="s">
        <v>29</v>
      </c>
      <c r="N19" s="93" t="s">
        <v>29</v>
      </c>
    </row>
    <row r="20" spans="1:14" ht="13.5" thickBot="1">
      <c r="A20" s="1212">
        <v>44627</v>
      </c>
      <c r="B20" s="1213">
        <v>38.47</v>
      </c>
      <c r="C20" s="1213">
        <v>38.85</v>
      </c>
      <c r="D20" s="1213">
        <v>38.24</v>
      </c>
      <c r="E20" s="1213">
        <v>36.93</v>
      </c>
      <c r="F20" s="1213">
        <v>39.380000000000003</v>
      </c>
      <c r="G20" s="1213">
        <v>37.979999999999997</v>
      </c>
      <c r="H20" s="1213">
        <v>37.39</v>
      </c>
      <c r="I20" s="1214">
        <v>36.090000000000003</v>
      </c>
      <c r="J20" s="79"/>
      <c r="K20" s="560" t="s">
        <v>8</v>
      </c>
      <c r="L20" s="561">
        <f>+G15</f>
        <v>20.9025</v>
      </c>
      <c r="M20" s="561">
        <f>+H15</f>
        <v>19.427499999999998</v>
      </c>
      <c r="N20" s="562">
        <f>+I15</f>
        <v>18.855</v>
      </c>
    </row>
    <row r="21" spans="1:14">
      <c r="A21" s="10">
        <v>42065</v>
      </c>
      <c r="B21" s="115">
        <v>25.92</v>
      </c>
      <c r="C21" s="56">
        <v>25.28</v>
      </c>
      <c r="D21" s="56">
        <v>23.75</v>
      </c>
      <c r="E21" s="62">
        <v>21.73</v>
      </c>
      <c r="F21" s="115">
        <v>24.99</v>
      </c>
      <c r="G21" s="56">
        <v>24.47</v>
      </c>
      <c r="H21" s="56">
        <v>22.95</v>
      </c>
      <c r="I21" s="62">
        <v>20.98</v>
      </c>
      <c r="J21" s="79"/>
      <c r="K21" s="85" t="s">
        <v>9</v>
      </c>
      <c r="L21" s="86">
        <f>+G20</f>
        <v>37.979999999999997</v>
      </c>
      <c r="M21" s="86">
        <f>+H20</f>
        <v>37.39</v>
      </c>
      <c r="N21" s="87">
        <f>+I20</f>
        <v>36.090000000000003</v>
      </c>
    </row>
    <row r="22" spans="1:14">
      <c r="A22" s="1207">
        <v>42072</v>
      </c>
      <c r="B22" s="1211">
        <v>25.86</v>
      </c>
      <c r="C22" s="1209">
        <v>25.26</v>
      </c>
      <c r="D22" s="1209">
        <v>23.75</v>
      </c>
      <c r="E22" s="1210">
        <v>21.41</v>
      </c>
      <c r="F22" s="1211">
        <v>24.98</v>
      </c>
      <c r="G22" s="1209">
        <v>24.48</v>
      </c>
      <c r="H22" s="1209">
        <v>22.98</v>
      </c>
      <c r="I22" s="1210">
        <v>20.61</v>
      </c>
      <c r="J22" s="79"/>
      <c r="K22" s="85" t="s">
        <v>10</v>
      </c>
      <c r="L22" s="86">
        <f>+G26</f>
        <v>24.672000000000001</v>
      </c>
      <c r="M22" s="86">
        <f>+H26</f>
        <v>23.208400000000001</v>
      </c>
      <c r="N22" s="87">
        <f>+I26</f>
        <v>20.91</v>
      </c>
    </row>
    <row r="23" spans="1:14">
      <c r="A23" s="1110">
        <v>42079</v>
      </c>
      <c r="B23" s="1107">
        <v>25.39</v>
      </c>
      <c r="C23" s="1108">
        <v>24.8</v>
      </c>
      <c r="D23" s="1108">
        <v>23.33</v>
      </c>
      <c r="E23" s="1109">
        <v>20.81</v>
      </c>
      <c r="F23" s="1107">
        <v>24.5</v>
      </c>
      <c r="G23" s="1108">
        <v>24</v>
      </c>
      <c r="H23" s="1108">
        <v>22.5</v>
      </c>
      <c r="I23" s="1109">
        <v>20</v>
      </c>
      <c r="J23" s="79"/>
      <c r="K23" s="85" t="s">
        <v>11</v>
      </c>
      <c r="L23" s="86">
        <f>+G31</f>
        <v>34.31</v>
      </c>
      <c r="M23" s="86">
        <f>+H31</f>
        <v>32.799999999999997</v>
      </c>
      <c r="N23" s="87">
        <f>+I31</f>
        <v>27.68</v>
      </c>
    </row>
    <row r="24" spans="1:14">
      <c r="A24" s="1207">
        <v>42086</v>
      </c>
      <c r="B24" s="1211">
        <v>24.98</v>
      </c>
      <c r="C24" s="1209">
        <v>24.31</v>
      </c>
      <c r="D24" s="1209">
        <v>22.82</v>
      </c>
      <c r="E24" s="1210">
        <v>20.32</v>
      </c>
      <c r="F24" s="1211">
        <v>23.99</v>
      </c>
      <c r="G24" s="1209">
        <v>23.52</v>
      </c>
      <c r="H24" s="1209">
        <v>22.04</v>
      </c>
      <c r="I24" s="1210">
        <v>19.52</v>
      </c>
      <c r="J24" s="79"/>
      <c r="K24" s="85"/>
      <c r="L24" s="86"/>
      <c r="M24" s="86"/>
      <c r="N24" s="87"/>
    </row>
    <row r="25" spans="1:14" ht="13.5" thickBot="1">
      <c r="A25" s="10">
        <v>42058</v>
      </c>
      <c r="B25" s="1108">
        <f t="shared" ref="B25:I25" si="1">AVERAGE(B20:B24)</f>
        <v>28.124000000000002</v>
      </c>
      <c r="C25" s="1108">
        <f t="shared" si="1"/>
        <v>27.7</v>
      </c>
      <c r="D25" s="1108">
        <f t="shared" si="1"/>
        <v>26.378000000000004</v>
      </c>
      <c r="E25" s="1109">
        <f t="shared" si="1"/>
        <v>24.24</v>
      </c>
      <c r="F25" s="1107">
        <f t="shared" si="1"/>
        <v>27.568000000000001</v>
      </c>
      <c r="G25" s="1108">
        <f t="shared" si="1"/>
        <v>26.889999999999997</v>
      </c>
      <c r="H25" s="1108">
        <f t="shared" si="1"/>
        <v>25.572000000000003</v>
      </c>
      <c r="I25" s="1109">
        <f t="shared" si="1"/>
        <v>23.44</v>
      </c>
      <c r="J25" s="79"/>
      <c r="K25" s="85" t="s">
        <v>13</v>
      </c>
      <c r="L25" s="86">
        <f t="shared" ref="L25:N30" si="2">+G32</f>
        <v>33.49</v>
      </c>
      <c r="M25" s="86">
        <f t="shared" si="2"/>
        <v>31.98</v>
      </c>
      <c r="N25" s="87">
        <f t="shared" si="2"/>
        <v>27.02</v>
      </c>
    </row>
    <row r="26" spans="1:14" ht="13.5" thickBot="1">
      <c r="A26" s="1212" t="s">
        <v>7</v>
      </c>
      <c r="B26" s="1213">
        <f t="shared" ref="B26:H26" si="3">AVERAGE(B21:B25)</f>
        <v>26.0548</v>
      </c>
      <c r="C26" s="1213">
        <f t="shared" si="3"/>
        <v>25.470000000000002</v>
      </c>
      <c r="D26" s="1213">
        <f t="shared" si="3"/>
        <v>24.005600000000001</v>
      </c>
      <c r="E26" s="1213">
        <f t="shared" si="3"/>
        <v>21.702000000000002</v>
      </c>
      <c r="F26" s="1213">
        <f t="shared" si="3"/>
        <v>25.205599999999997</v>
      </c>
      <c r="G26" s="1213">
        <f t="shared" si="3"/>
        <v>24.672000000000001</v>
      </c>
      <c r="H26" s="1213">
        <f t="shared" si="3"/>
        <v>23.208400000000001</v>
      </c>
      <c r="I26" s="1214">
        <f>AVERAGE(I21:I25)</f>
        <v>20.91</v>
      </c>
      <c r="J26" s="79"/>
      <c r="K26" s="85" t="s">
        <v>14</v>
      </c>
      <c r="L26" s="86">
        <f t="shared" si="2"/>
        <v>33.35</v>
      </c>
      <c r="M26" s="86">
        <f t="shared" si="2"/>
        <v>31.97</v>
      </c>
      <c r="N26" s="87">
        <f t="shared" si="2"/>
        <v>27.01</v>
      </c>
    </row>
    <row r="27" spans="1:14">
      <c r="A27" s="10">
        <v>42100</v>
      </c>
      <c r="B27" s="1107">
        <v>25.92</v>
      </c>
      <c r="C27" s="1108">
        <v>25.3</v>
      </c>
      <c r="D27" s="1108">
        <v>23.78</v>
      </c>
      <c r="E27" s="1109">
        <v>20.57</v>
      </c>
      <c r="F27" s="1107">
        <v>24.98</v>
      </c>
      <c r="G27" s="1108">
        <v>24.49</v>
      </c>
      <c r="H27" s="1108">
        <v>22.99</v>
      </c>
      <c r="I27" s="1109">
        <v>19.78</v>
      </c>
      <c r="J27" s="79"/>
      <c r="K27" s="85" t="s">
        <v>15</v>
      </c>
      <c r="L27" s="86">
        <f t="shared" si="2"/>
        <v>33.299999999999997</v>
      </c>
      <c r="M27" s="86">
        <f t="shared" si="2"/>
        <v>31.99</v>
      </c>
      <c r="N27" s="87">
        <f t="shared" si="2"/>
        <v>27</v>
      </c>
    </row>
    <row r="28" spans="1:14">
      <c r="A28" s="1207">
        <v>42107</v>
      </c>
      <c r="B28" s="1211">
        <v>25.41</v>
      </c>
      <c r="C28" s="1209">
        <v>24.81</v>
      </c>
      <c r="D28" s="1209">
        <v>23.34</v>
      </c>
      <c r="E28" s="1210">
        <v>20.170000000000002</v>
      </c>
      <c r="F28" s="1211">
        <v>24.52</v>
      </c>
      <c r="G28" s="1209">
        <v>24</v>
      </c>
      <c r="H28" s="1209">
        <v>22.52</v>
      </c>
      <c r="I28" s="1210">
        <v>19.32</v>
      </c>
      <c r="J28" s="79"/>
      <c r="K28" s="85" t="s">
        <v>16</v>
      </c>
      <c r="L28" s="86">
        <f t="shared" si="2"/>
        <v>25.98</v>
      </c>
      <c r="M28" s="86">
        <f t="shared" si="2"/>
        <v>24.51</v>
      </c>
      <c r="N28" s="87">
        <f t="shared" si="2"/>
        <v>21.32</v>
      </c>
    </row>
    <row r="29" spans="1:14">
      <c r="A29" s="1110">
        <v>42114</v>
      </c>
      <c r="B29" s="1107">
        <v>26.26</v>
      </c>
      <c r="C29" s="1108">
        <v>25.57</v>
      </c>
      <c r="D29" s="1108">
        <v>24.1</v>
      </c>
      <c r="E29" s="1109">
        <v>21.09</v>
      </c>
      <c r="F29" s="1107">
        <v>25.3</v>
      </c>
      <c r="G29" s="1108">
        <v>24.77</v>
      </c>
      <c r="H29" s="1108">
        <v>23.29</v>
      </c>
      <c r="I29" s="1109">
        <v>20.28</v>
      </c>
      <c r="J29" s="79"/>
      <c r="K29" s="85" t="s">
        <v>18</v>
      </c>
      <c r="L29" s="86">
        <f t="shared" si="2"/>
        <v>31.53</v>
      </c>
      <c r="M29" s="86">
        <f t="shared" si="2"/>
        <v>30.112500000000001</v>
      </c>
      <c r="N29" s="87">
        <f t="shared" si="2"/>
        <v>25.587499999999999</v>
      </c>
    </row>
    <row r="30" spans="1:14" ht="13.5" thickBot="1">
      <c r="A30" s="1207">
        <v>45048</v>
      </c>
      <c r="B30" s="1211">
        <v>36.58</v>
      </c>
      <c r="C30" s="1209">
        <v>36.090000000000003</v>
      </c>
      <c r="D30" s="1209">
        <v>34.47</v>
      </c>
      <c r="E30" s="1210">
        <v>29.47</v>
      </c>
      <c r="F30" s="1211">
        <v>35.47</v>
      </c>
      <c r="G30" s="1209">
        <v>35.08</v>
      </c>
      <c r="H30" s="1209">
        <v>33.46</v>
      </c>
      <c r="I30" s="1210">
        <v>28.43</v>
      </c>
      <c r="J30" s="79"/>
      <c r="K30" s="88" t="s">
        <v>19</v>
      </c>
      <c r="L30" s="89">
        <f t="shared" si="2"/>
        <v>25.59</v>
      </c>
      <c r="M30" s="89">
        <f t="shared" si="2"/>
        <v>24.06</v>
      </c>
      <c r="N30" s="90">
        <f t="shared" si="2"/>
        <v>20.43</v>
      </c>
    </row>
    <row r="31" spans="1:14" ht="13.5" thickBot="1">
      <c r="A31" s="1212">
        <v>45054</v>
      </c>
      <c r="B31" s="1213">
        <v>35.83</v>
      </c>
      <c r="C31" s="1213">
        <v>35.31</v>
      </c>
      <c r="D31" s="1213">
        <v>33.79</v>
      </c>
      <c r="E31" s="1213">
        <v>28.67</v>
      </c>
      <c r="F31" s="1213">
        <v>34.770000000000003</v>
      </c>
      <c r="G31" s="1213">
        <v>34.31</v>
      </c>
      <c r="H31" s="1213">
        <v>32.799999999999997</v>
      </c>
      <c r="I31" s="1214">
        <v>27.68</v>
      </c>
      <c r="J31" s="79"/>
      <c r="K31" s="85"/>
      <c r="L31" s="86"/>
      <c r="M31" s="86"/>
      <c r="N31" s="87"/>
    </row>
    <row r="32" spans="1:14" ht="13.5" thickBot="1">
      <c r="A32" s="10">
        <v>45061</v>
      </c>
      <c r="B32" s="1107">
        <v>35.07</v>
      </c>
      <c r="C32" s="1108">
        <v>34.49</v>
      </c>
      <c r="D32" s="1108">
        <v>32.979999999999997</v>
      </c>
      <c r="E32" s="1109">
        <v>28.04</v>
      </c>
      <c r="F32" s="1107">
        <v>33.97</v>
      </c>
      <c r="G32" s="1108">
        <v>33.49</v>
      </c>
      <c r="H32" s="1108">
        <v>31.98</v>
      </c>
      <c r="I32" s="1109">
        <v>27.02</v>
      </c>
      <c r="J32" s="79"/>
      <c r="K32" s="88"/>
      <c r="L32" s="89"/>
      <c r="M32" s="89"/>
      <c r="N32" s="90"/>
    </row>
    <row r="33" spans="1:10">
      <c r="A33" s="1207">
        <v>45068</v>
      </c>
      <c r="B33" s="1211">
        <v>34.81</v>
      </c>
      <c r="C33" s="1209">
        <v>34.32</v>
      </c>
      <c r="D33" s="1209">
        <v>32.96</v>
      </c>
      <c r="E33" s="1210">
        <v>28.04</v>
      </c>
      <c r="F33" s="1211">
        <v>33.78</v>
      </c>
      <c r="G33" s="1209">
        <v>33.35</v>
      </c>
      <c r="H33" s="1209">
        <v>31.97</v>
      </c>
      <c r="I33" s="1210">
        <v>27.01</v>
      </c>
      <c r="J33" s="79"/>
    </row>
    <row r="34" spans="1:10">
      <c r="A34" s="1110">
        <v>45075</v>
      </c>
      <c r="B34" s="1107">
        <v>34.86</v>
      </c>
      <c r="C34" s="1108">
        <v>34.31</v>
      </c>
      <c r="D34" s="1108">
        <v>32.97</v>
      </c>
      <c r="E34" s="1109">
        <v>27.99</v>
      </c>
      <c r="F34" s="1107">
        <v>33.82</v>
      </c>
      <c r="G34" s="1108">
        <v>33.299999999999997</v>
      </c>
      <c r="H34" s="1108">
        <v>31.99</v>
      </c>
      <c r="I34" s="1109">
        <v>27</v>
      </c>
      <c r="J34" s="79"/>
    </row>
    <row r="35" spans="1:10" ht="13.5" thickBot="1">
      <c r="A35" s="1207">
        <v>41419</v>
      </c>
      <c r="B35" s="1211">
        <v>27.43</v>
      </c>
      <c r="C35" s="1209">
        <v>26.81</v>
      </c>
      <c r="D35" s="1209">
        <v>25.34</v>
      </c>
      <c r="E35" s="1210">
        <v>22.11</v>
      </c>
      <c r="F35" s="1211">
        <v>26.48</v>
      </c>
      <c r="G35" s="1209">
        <v>25.98</v>
      </c>
      <c r="H35" s="1209">
        <v>24.51</v>
      </c>
      <c r="I35" s="1210">
        <v>21.32</v>
      </c>
      <c r="J35" s="79"/>
    </row>
    <row r="36" spans="1:10" ht="13.5" thickBot="1">
      <c r="A36" s="1212" t="s">
        <v>7</v>
      </c>
      <c r="B36" s="1213">
        <f t="shared" ref="B36:I36" si="4">AVERAGE(B32:B35)</f>
        <v>33.042499999999997</v>
      </c>
      <c r="C36" s="1213">
        <f t="shared" si="4"/>
        <v>32.482500000000002</v>
      </c>
      <c r="D36" s="1213">
        <f>AVERAGE(D32:D35)</f>
        <v>31.0625</v>
      </c>
      <c r="E36" s="1213">
        <f t="shared" si="4"/>
        <v>26.544999999999998</v>
      </c>
      <c r="F36" s="1213">
        <f t="shared" si="4"/>
        <v>32.012499999999996</v>
      </c>
      <c r="G36" s="1213">
        <f t="shared" si="4"/>
        <v>31.53</v>
      </c>
      <c r="H36" s="1213">
        <f t="shared" si="4"/>
        <v>30.112500000000001</v>
      </c>
      <c r="I36" s="1214">
        <f t="shared" si="4"/>
        <v>25.587499999999999</v>
      </c>
      <c r="J36" s="79"/>
    </row>
    <row r="37" spans="1:10">
      <c r="A37" s="10">
        <v>42156</v>
      </c>
      <c r="B37" s="1107">
        <v>27.02</v>
      </c>
      <c r="C37" s="1108">
        <v>26.35</v>
      </c>
      <c r="D37" s="1108">
        <v>24.84</v>
      </c>
      <c r="E37" s="1109">
        <v>21.2</v>
      </c>
      <c r="F37" s="1107">
        <v>26.03</v>
      </c>
      <c r="G37" s="1108">
        <v>25.59</v>
      </c>
      <c r="H37" s="1108">
        <v>24.06</v>
      </c>
      <c r="I37" s="1109">
        <v>20.43</v>
      </c>
      <c r="J37" s="79"/>
    </row>
    <row r="38" spans="1:10">
      <c r="A38" s="1207">
        <v>42163</v>
      </c>
      <c r="B38" s="1211">
        <v>27.93</v>
      </c>
      <c r="C38" s="1209">
        <v>27.28</v>
      </c>
      <c r="D38" s="1209">
        <v>25.8</v>
      </c>
      <c r="E38" s="1210">
        <v>22.1</v>
      </c>
      <c r="F38" s="1211">
        <v>27</v>
      </c>
      <c r="G38" s="1209">
        <v>26.5</v>
      </c>
      <c r="H38" s="1209">
        <v>25</v>
      </c>
      <c r="I38" s="1210">
        <v>21.31</v>
      </c>
      <c r="J38" s="79"/>
    </row>
    <row r="39" spans="1:10">
      <c r="A39" s="1110">
        <v>42170</v>
      </c>
      <c r="B39" s="1107">
        <v>28.42</v>
      </c>
      <c r="C39" s="1108">
        <v>27.38</v>
      </c>
      <c r="D39" s="1108">
        <v>25.88</v>
      </c>
      <c r="E39" s="1109">
        <v>21.62</v>
      </c>
      <c r="F39" s="1107">
        <v>27.52</v>
      </c>
      <c r="G39" s="1108">
        <v>26.56</v>
      </c>
      <c r="H39" s="1108">
        <v>25.1</v>
      </c>
      <c r="I39" s="1109">
        <v>20.84</v>
      </c>
      <c r="J39" s="63"/>
    </row>
    <row r="40" spans="1:10" ht="13.5" thickBot="1">
      <c r="A40" s="1207">
        <v>42177</v>
      </c>
      <c r="B40" s="1211">
        <v>27.99</v>
      </c>
      <c r="C40" s="1209">
        <v>27.37</v>
      </c>
      <c r="D40" s="1209">
        <v>25.9</v>
      </c>
      <c r="E40" s="1210">
        <v>21.34</v>
      </c>
      <c r="F40" s="1211">
        <v>27.02</v>
      </c>
      <c r="G40" s="1209">
        <v>26.54</v>
      </c>
      <c r="H40" s="1209">
        <v>25.05</v>
      </c>
      <c r="I40" s="1210">
        <v>20.53</v>
      </c>
      <c r="J40" s="63"/>
    </row>
    <row r="41" spans="1:10" ht="13.5" thickBot="1">
      <c r="A41" s="1212" t="s">
        <v>7</v>
      </c>
      <c r="B41" s="1213">
        <f t="shared" ref="B41:I41" si="5">AVERAGE(B37:B40)</f>
        <v>27.84</v>
      </c>
      <c r="C41" s="1213">
        <f t="shared" si="5"/>
        <v>27.095000000000002</v>
      </c>
      <c r="D41" s="1213">
        <f t="shared" si="5"/>
        <v>25.604999999999997</v>
      </c>
      <c r="E41" s="1213">
        <f t="shared" si="5"/>
        <v>21.565000000000001</v>
      </c>
      <c r="F41" s="1213">
        <f t="shared" si="5"/>
        <v>26.892499999999998</v>
      </c>
      <c r="G41" s="1213">
        <f t="shared" si="5"/>
        <v>26.297499999999999</v>
      </c>
      <c r="H41" s="1213">
        <f t="shared" si="5"/>
        <v>24.802499999999998</v>
      </c>
      <c r="I41" s="1214">
        <f t="shared" si="5"/>
        <v>20.7775</v>
      </c>
      <c r="J41" s="63"/>
    </row>
    <row r="42" spans="1:10">
      <c r="A42" s="10">
        <v>42186</v>
      </c>
      <c r="B42" s="1107">
        <v>27.48</v>
      </c>
      <c r="C42" s="1108">
        <v>27.03</v>
      </c>
      <c r="D42" s="1108">
        <v>25.55</v>
      </c>
      <c r="E42" s="1109">
        <v>20.91</v>
      </c>
      <c r="F42" s="1107">
        <v>26.48</v>
      </c>
      <c r="G42" s="1108">
        <v>26.33</v>
      </c>
      <c r="H42" s="1108">
        <v>24.84</v>
      </c>
      <c r="I42" s="1109">
        <v>20.170000000000002</v>
      </c>
      <c r="J42" s="63"/>
    </row>
    <row r="43" spans="1:10">
      <c r="A43" s="1207">
        <v>42191</v>
      </c>
      <c r="B43" s="1211">
        <v>28.43</v>
      </c>
      <c r="C43" s="1209">
        <v>27.79</v>
      </c>
      <c r="D43" s="1209">
        <v>26.3</v>
      </c>
      <c r="E43" s="1210">
        <v>21.29</v>
      </c>
      <c r="F43" s="1211">
        <v>27.51</v>
      </c>
      <c r="G43" s="1209">
        <v>27.02</v>
      </c>
      <c r="H43" s="1209">
        <v>25.54</v>
      </c>
      <c r="I43" s="1210">
        <v>20.52</v>
      </c>
      <c r="J43" s="63"/>
    </row>
    <row r="44" spans="1:10">
      <c r="A44" s="1110">
        <v>42198</v>
      </c>
      <c r="B44" s="1107">
        <v>28.25</v>
      </c>
      <c r="C44" s="1108">
        <v>27.42</v>
      </c>
      <c r="D44" s="1108">
        <v>25.94</v>
      </c>
      <c r="E44" s="1109">
        <v>20.47</v>
      </c>
      <c r="F44" s="1107">
        <v>27.3</v>
      </c>
      <c r="G44" s="1108">
        <v>26.64</v>
      </c>
      <c r="H44" s="1108">
        <v>25.15</v>
      </c>
      <c r="I44" s="1109">
        <v>19.62</v>
      </c>
      <c r="J44" s="63"/>
    </row>
    <row r="45" spans="1:10">
      <c r="A45" s="1207">
        <v>42205</v>
      </c>
      <c r="B45" s="1211">
        <v>27.54</v>
      </c>
      <c r="C45" s="1209">
        <v>27.04</v>
      </c>
      <c r="D45" s="1209">
        <v>25.58</v>
      </c>
      <c r="E45" s="1210">
        <v>19.73</v>
      </c>
      <c r="F45" s="1211">
        <v>26.53</v>
      </c>
      <c r="G45" s="1209">
        <v>26.26</v>
      </c>
      <c r="H45" s="1209">
        <v>24.76</v>
      </c>
      <c r="I45" s="1210">
        <v>18.920000000000002</v>
      </c>
      <c r="J45" s="63"/>
    </row>
    <row r="46" spans="1:10" ht="13.5" thickBot="1">
      <c r="A46" s="10">
        <v>42212</v>
      </c>
      <c r="B46" s="1108">
        <v>27.02</v>
      </c>
      <c r="C46" s="1108">
        <v>26.44</v>
      </c>
      <c r="D46" s="1108">
        <v>25</v>
      </c>
      <c r="E46" s="1109">
        <v>19.29</v>
      </c>
      <c r="F46" s="1107">
        <v>26.01</v>
      </c>
      <c r="G46" s="1108">
        <v>25.6</v>
      </c>
      <c r="H46" s="1108">
        <v>24.13</v>
      </c>
      <c r="I46" s="1109">
        <v>18.41</v>
      </c>
      <c r="J46" s="63"/>
    </row>
    <row r="47" spans="1:10" ht="13.5" thickBot="1">
      <c r="A47" s="1212" t="s">
        <v>7</v>
      </c>
      <c r="B47" s="1213">
        <f t="shared" ref="B47:I47" si="6">AVERAGE(B42:B46)</f>
        <v>27.744</v>
      </c>
      <c r="C47" s="1213">
        <f t="shared" si="6"/>
        <v>27.143999999999998</v>
      </c>
      <c r="D47" s="1213">
        <f t="shared" si="6"/>
        <v>25.673999999999999</v>
      </c>
      <c r="E47" s="1213">
        <f t="shared" si="6"/>
        <v>20.338000000000001</v>
      </c>
      <c r="F47" s="1213">
        <f t="shared" si="6"/>
        <v>26.766000000000002</v>
      </c>
      <c r="G47" s="1213">
        <f t="shared" si="6"/>
        <v>26.369999999999997</v>
      </c>
      <c r="H47" s="1213">
        <f t="shared" si="6"/>
        <v>24.884</v>
      </c>
      <c r="I47" s="1214">
        <f t="shared" si="6"/>
        <v>19.527999999999999</v>
      </c>
      <c r="J47" s="63"/>
    </row>
    <row r="48" spans="1:10">
      <c r="A48" s="10">
        <v>42219</v>
      </c>
      <c r="B48" s="1107">
        <v>26.51</v>
      </c>
      <c r="C48" s="1108">
        <v>25.92</v>
      </c>
      <c r="D48" s="1108">
        <v>24.47</v>
      </c>
      <c r="E48" s="1109">
        <v>18.920000000000002</v>
      </c>
      <c r="F48" s="1107">
        <v>25.52</v>
      </c>
      <c r="G48" s="1108">
        <v>25.07</v>
      </c>
      <c r="H48" s="1108">
        <v>23.59</v>
      </c>
      <c r="I48" s="1109">
        <v>18.07</v>
      </c>
      <c r="J48" s="63"/>
    </row>
    <row r="49" spans="1:10">
      <c r="A49" s="1207">
        <v>42226</v>
      </c>
      <c r="B49" s="1211">
        <v>26.02</v>
      </c>
      <c r="C49" s="1209">
        <v>25.38</v>
      </c>
      <c r="D49" s="1209">
        <v>23.93</v>
      </c>
      <c r="E49" s="1210">
        <v>18.41</v>
      </c>
      <c r="F49" s="1211">
        <v>25.01</v>
      </c>
      <c r="G49" s="1209">
        <v>24.57</v>
      </c>
      <c r="H49" s="1209">
        <v>23.08</v>
      </c>
      <c r="I49" s="1210">
        <v>17.57</v>
      </c>
      <c r="J49" s="63"/>
    </row>
    <row r="50" spans="1:10">
      <c r="A50" s="1110">
        <v>42233</v>
      </c>
      <c r="B50" s="1107">
        <v>25.97</v>
      </c>
      <c r="C50" s="1108">
        <v>25.33</v>
      </c>
      <c r="D50" s="1108">
        <v>23.86</v>
      </c>
      <c r="E50" s="1109">
        <v>18.32</v>
      </c>
      <c r="F50" s="1107">
        <v>25.01</v>
      </c>
      <c r="G50" s="1108">
        <v>24.52</v>
      </c>
      <c r="H50" s="1108">
        <v>23.02</v>
      </c>
      <c r="I50" s="1109">
        <v>17.52</v>
      </c>
      <c r="J50" s="63"/>
    </row>
    <row r="51" spans="1:10">
      <c r="A51" s="1207">
        <v>42240</v>
      </c>
      <c r="B51" s="1211">
        <v>25.52</v>
      </c>
      <c r="C51" s="1209">
        <v>24.94</v>
      </c>
      <c r="D51" s="1209">
        <v>23.46</v>
      </c>
      <c r="E51" s="1210">
        <v>18.079999999999998</v>
      </c>
      <c r="F51" s="1211">
        <v>24.52</v>
      </c>
      <c r="G51" s="1209">
        <v>24.07</v>
      </c>
      <c r="H51" s="1209">
        <v>22.6</v>
      </c>
      <c r="I51" s="1210">
        <v>17.2</v>
      </c>
      <c r="J51" s="63"/>
    </row>
    <row r="52" spans="1:10" ht="13.5" thickBot="1">
      <c r="A52" s="10">
        <v>42247</v>
      </c>
      <c r="B52" s="1108">
        <v>25.04</v>
      </c>
      <c r="C52" s="1108">
        <v>24.43</v>
      </c>
      <c r="D52" s="1108">
        <v>22.98</v>
      </c>
      <c r="E52" s="1109">
        <v>17.46</v>
      </c>
      <c r="F52" s="1107">
        <v>24.04</v>
      </c>
      <c r="G52" s="1108">
        <v>23.6</v>
      </c>
      <c r="H52" s="1108">
        <v>22.12</v>
      </c>
      <c r="I52" s="1109">
        <v>16.63</v>
      </c>
      <c r="J52" s="63"/>
    </row>
    <row r="53" spans="1:10" ht="13.5" thickBot="1">
      <c r="A53" s="1212" t="s">
        <v>7</v>
      </c>
      <c r="B53" s="1213">
        <f t="shared" ref="B53:I53" si="7">AVERAGE(B48:B52)</f>
        <v>25.812000000000001</v>
      </c>
      <c r="C53" s="1213">
        <f t="shared" si="7"/>
        <v>25.2</v>
      </c>
      <c r="D53" s="1213">
        <f t="shared" si="7"/>
        <v>23.740000000000002</v>
      </c>
      <c r="E53" s="1213">
        <f t="shared" si="7"/>
        <v>18.238</v>
      </c>
      <c r="F53" s="1213">
        <f t="shared" si="7"/>
        <v>24.82</v>
      </c>
      <c r="G53" s="1213">
        <f t="shared" si="7"/>
        <v>24.365999999999996</v>
      </c>
      <c r="H53" s="1213">
        <f t="shared" si="7"/>
        <v>22.881999999999998</v>
      </c>
      <c r="I53" s="1214">
        <f t="shared" si="7"/>
        <v>17.398</v>
      </c>
      <c r="J53" s="63"/>
    </row>
    <row r="54" spans="1:10">
      <c r="A54" s="10">
        <v>42255</v>
      </c>
      <c r="B54" s="1107">
        <v>24.5</v>
      </c>
      <c r="C54" s="1108">
        <v>23.89</v>
      </c>
      <c r="D54" s="1108">
        <v>22.4</v>
      </c>
      <c r="E54" s="1109">
        <v>18.829999999999998</v>
      </c>
      <c r="F54" s="1107">
        <v>23.52</v>
      </c>
      <c r="G54" s="1108">
        <v>23.05</v>
      </c>
      <c r="H54" s="1108">
        <v>21.56</v>
      </c>
      <c r="I54" s="1109">
        <v>18.010000000000002</v>
      </c>
      <c r="J54" s="63"/>
    </row>
    <row r="55" spans="1:10">
      <c r="A55" s="1207">
        <v>42261</v>
      </c>
      <c r="B55" s="1211">
        <v>24.05</v>
      </c>
      <c r="C55" s="1209">
        <v>23.43</v>
      </c>
      <c r="D55" s="1209">
        <v>21.98</v>
      </c>
      <c r="E55" s="1210">
        <v>18.649999999999999</v>
      </c>
      <c r="F55" s="1211">
        <v>23.05</v>
      </c>
      <c r="G55" s="1209">
        <v>22.57</v>
      </c>
      <c r="H55" s="1209">
        <v>21.1</v>
      </c>
      <c r="I55" s="1210">
        <v>17.829999999999998</v>
      </c>
      <c r="J55" s="63"/>
    </row>
    <row r="56" spans="1:10">
      <c r="A56" s="1110">
        <v>42268</v>
      </c>
      <c r="B56" s="1107">
        <v>23.58</v>
      </c>
      <c r="C56" s="1108">
        <v>23.17</v>
      </c>
      <c r="D56" s="1108">
        <v>21.69</v>
      </c>
      <c r="E56" s="1109">
        <v>18.350000000000001</v>
      </c>
      <c r="F56" s="1107">
        <v>22.54</v>
      </c>
      <c r="G56" s="1108">
        <v>22.32</v>
      </c>
      <c r="H56" s="1108">
        <v>20.84</v>
      </c>
      <c r="I56" s="1109">
        <v>17.54</v>
      </c>
      <c r="J56" s="63"/>
    </row>
    <row r="57" spans="1:10" ht="13.5" thickBot="1">
      <c r="A57" s="1207">
        <v>42275</v>
      </c>
      <c r="B57" s="1211">
        <v>23.2</v>
      </c>
      <c r="C57" s="1209">
        <v>22.59</v>
      </c>
      <c r="D57" s="1209">
        <v>21.11</v>
      </c>
      <c r="E57" s="1210">
        <v>17.899999999999999</v>
      </c>
      <c r="F57" s="1211">
        <v>22.25</v>
      </c>
      <c r="G57" s="1209">
        <v>21.74</v>
      </c>
      <c r="H57" s="1209">
        <v>20.27</v>
      </c>
      <c r="I57" s="1210">
        <v>17.12</v>
      </c>
      <c r="J57" s="63"/>
    </row>
    <row r="58" spans="1:10" ht="13.5" thickBot="1">
      <c r="A58" s="1212" t="s">
        <v>7</v>
      </c>
      <c r="B58" s="1213">
        <f t="shared" ref="B58:I58" si="8">AVERAGE(B54:B57)</f>
        <v>23.8325</v>
      </c>
      <c r="C58" s="1213">
        <f t="shared" si="8"/>
        <v>23.270000000000003</v>
      </c>
      <c r="D58" s="1213">
        <f t="shared" si="8"/>
        <v>21.794999999999998</v>
      </c>
      <c r="E58" s="1213">
        <f t="shared" si="8"/>
        <v>18.432499999999997</v>
      </c>
      <c r="F58" s="1213">
        <f t="shared" si="8"/>
        <v>22.84</v>
      </c>
      <c r="G58" s="1213">
        <f t="shared" si="8"/>
        <v>22.419999999999998</v>
      </c>
      <c r="H58" s="1213">
        <f t="shared" si="8"/>
        <v>20.942499999999999</v>
      </c>
      <c r="I58" s="1214">
        <f t="shared" si="8"/>
        <v>17.625</v>
      </c>
      <c r="J58" s="63"/>
    </row>
    <row r="59" spans="1:10">
      <c r="A59" s="10">
        <v>42282</v>
      </c>
      <c r="B59" s="1107">
        <v>24.15</v>
      </c>
      <c r="C59" s="1108">
        <v>23.52</v>
      </c>
      <c r="D59" s="1108">
        <v>22.03</v>
      </c>
      <c r="E59" s="1109">
        <v>18.8</v>
      </c>
      <c r="F59" s="1107">
        <v>23.21</v>
      </c>
      <c r="G59" s="1108">
        <v>22.7</v>
      </c>
      <c r="H59" s="1108">
        <v>21.21</v>
      </c>
      <c r="I59" s="1109">
        <v>18.010000000000002</v>
      </c>
      <c r="J59" s="127"/>
    </row>
    <row r="60" spans="1:10">
      <c r="A60" s="1207">
        <v>42289</v>
      </c>
      <c r="B60" s="1211">
        <v>24.15</v>
      </c>
      <c r="C60" s="1209">
        <v>23.53</v>
      </c>
      <c r="D60" s="1209">
        <v>22.05</v>
      </c>
      <c r="E60" s="1210">
        <v>18.84</v>
      </c>
      <c r="F60" s="1211">
        <v>23.21</v>
      </c>
      <c r="G60" s="1209">
        <v>22.71</v>
      </c>
      <c r="H60" s="1209">
        <v>21.21</v>
      </c>
      <c r="I60" s="1210">
        <v>18.010000000000002</v>
      </c>
      <c r="J60" s="127"/>
    </row>
    <row r="61" spans="1:10" s="79" customFormat="1">
      <c r="A61" s="1110">
        <v>42296</v>
      </c>
      <c r="B61" s="1107">
        <v>23.16</v>
      </c>
      <c r="C61" s="1108">
        <v>22.46</v>
      </c>
      <c r="D61" s="1108">
        <v>20.98</v>
      </c>
      <c r="E61" s="1109">
        <v>18.399999999999999</v>
      </c>
      <c r="F61" s="1107">
        <v>22.04</v>
      </c>
      <c r="G61" s="1108">
        <v>21.55</v>
      </c>
      <c r="H61" s="1108">
        <v>20.09</v>
      </c>
      <c r="I61" s="1109">
        <v>17.53</v>
      </c>
      <c r="J61" s="127"/>
    </row>
    <row r="62" spans="1:10" s="79" customFormat="1" ht="13.5" thickBot="1">
      <c r="A62" s="1207">
        <v>42304</v>
      </c>
      <c r="B62" s="1211">
        <v>22.54</v>
      </c>
      <c r="C62" s="1209">
        <v>21.91</v>
      </c>
      <c r="D62" s="1209">
        <v>20.41</v>
      </c>
      <c r="E62" s="1210">
        <v>17.850000000000001</v>
      </c>
      <c r="F62" s="1211">
        <v>21.51</v>
      </c>
      <c r="G62" s="1209">
        <v>21.03</v>
      </c>
      <c r="H62" s="1209">
        <v>19.54</v>
      </c>
      <c r="I62" s="1210">
        <v>17.05</v>
      </c>
      <c r="J62" s="127"/>
    </row>
    <row r="63" spans="1:10" s="79" customFormat="1" ht="13.5" thickBot="1">
      <c r="A63" s="1212" t="s">
        <v>7</v>
      </c>
      <c r="B63" s="1213">
        <f t="shared" ref="B63:I63" si="9">AVERAGE(B59:B62)</f>
        <v>23.5</v>
      </c>
      <c r="C63" s="1213">
        <f t="shared" si="9"/>
        <v>22.854999999999997</v>
      </c>
      <c r="D63" s="1213">
        <f t="shared" si="9"/>
        <v>21.3675</v>
      </c>
      <c r="E63" s="1213">
        <f t="shared" si="9"/>
        <v>18.4725</v>
      </c>
      <c r="F63" s="1213">
        <f t="shared" si="9"/>
        <v>22.492500000000003</v>
      </c>
      <c r="G63" s="1213">
        <f t="shared" si="9"/>
        <v>21.997499999999999</v>
      </c>
      <c r="H63" s="1213">
        <f t="shared" si="9"/>
        <v>20.512500000000003</v>
      </c>
      <c r="I63" s="1214">
        <f t="shared" si="9"/>
        <v>17.650000000000002</v>
      </c>
      <c r="J63" s="563"/>
    </row>
    <row r="64" spans="1:10" s="79" customFormat="1">
      <c r="A64" s="10">
        <v>42311</v>
      </c>
      <c r="B64" s="1107">
        <v>23.28</v>
      </c>
      <c r="C64" s="1108">
        <v>22.69</v>
      </c>
      <c r="D64" s="1108">
        <v>21.22</v>
      </c>
      <c r="E64" s="1109">
        <v>18.66</v>
      </c>
      <c r="F64" s="1107">
        <v>22.49</v>
      </c>
      <c r="G64" s="1108">
        <v>21.91</v>
      </c>
      <c r="H64" s="1108">
        <v>20.440000000000001</v>
      </c>
      <c r="I64" s="1109">
        <v>17.91</v>
      </c>
      <c r="J64" s="127"/>
    </row>
    <row r="65" spans="1:10" s="79" customFormat="1">
      <c r="A65" s="1207">
        <v>42317</v>
      </c>
      <c r="B65" s="1211">
        <v>23.41</v>
      </c>
      <c r="C65" s="1209">
        <v>22.84</v>
      </c>
      <c r="D65" s="1209">
        <v>21.35</v>
      </c>
      <c r="E65" s="1210">
        <v>18.829999999999998</v>
      </c>
      <c r="F65" s="1211">
        <v>22.53</v>
      </c>
      <c r="G65" s="1209">
        <v>22</v>
      </c>
      <c r="H65" s="1209">
        <v>20.53</v>
      </c>
      <c r="I65" s="1210">
        <v>17.989999999999998</v>
      </c>
      <c r="J65" s="127"/>
    </row>
    <row r="66" spans="1:10" s="79" customFormat="1">
      <c r="A66" s="1110">
        <v>42324</v>
      </c>
      <c r="B66" s="1107">
        <v>22.84</v>
      </c>
      <c r="C66" s="1108">
        <v>22.22</v>
      </c>
      <c r="D66" s="1108">
        <v>20.73</v>
      </c>
      <c r="E66" s="1109">
        <v>17.98</v>
      </c>
      <c r="F66" s="1107">
        <v>21.81</v>
      </c>
      <c r="G66" s="1108">
        <v>21.35</v>
      </c>
      <c r="H66" s="1108">
        <v>19.850000000000001</v>
      </c>
      <c r="I66" s="1109">
        <v>17.079999999999998</v>
      </c>
      <c r="J66" s="127"/>
    </row>
    <row r="67" spans="1:10" s="79" customFormat="1">
      <c r="A67" s="1207">
        <v>42331</v>
      </c>
      <c r="B67" s="1211">
        <v>21.64</v>
      </c>
      <c r="C67" s="1209">
        <v>21.2</v>
      </c>
      <c r="D67" s="1209">
        <v>19.66</v>
      </c>
      <c r="E67" s="1210">
        <v>17.39</v>
      </c>
      <c r="F67" s="1211">
        <v>20.54</v>
      </c>
      <c r="G67" s="1209">
        <v>20.32</v>
      </c>
      <c r="H67" s="1209">
        <v>18.829999999999998</v>
      </c>
      <c r="I67" s="1210">
        <v>16.57</v>
      </c>
      <c r="J67" s="127"/>
    </row>
    <row r="68" spans="1:10" s="79" customFormat="1" ht="13.5" thickBot="1">
      <c r="A68" s="10">
        <v>42338</v>
      </c>
      <c r="B68" s="1108">
        <v>21.53</v>
      </c>
      <c r="C68" s="1108">
        <v>20.9</v>
      </c>
      <c r="D68" s="1108">
        <v>19.39</v>
      </c>
      <c r="E68" s="1109">
        <v>17.350000000000001</v>
      </c>
      <c r="F68" s="1107">
        <v>20.51</v>
      </c>
      <c r="G68" s="1108">
        <v>20.02</v>
      </c>
      <c r="H68" s="1108">
        <v>18.54</v>
      </c>
      <c r="I68" s="1109">
        <v>16.52</v>
      </c>
      <c r="J68" s="127"/>
    </row>
    <row r="69" spans="1:10" s="79" customFormat="1" ht="13.5" thickBot="1">
      <c r="A69" s="1212" t="s">
        <v>7</v>
      </c>
      <c r="B69" s="1213">
        <f t="shared" ref="B69:I69" si="10">AVERAGE(B64:B68)</f>
        <v>22.54</v>
      </c>
      <c r="C69" s="1213">
        <f t="shared" si="10"/>
        <v>21.97</v>
      </c>
      <c r="D69" s="1213">
        <f t="shared" si="10"/>
        <v>20.47</v>
      </c>
      <c r="E69" s="1213">
        <f t="shared" si="10"/>
        <v>18.042000000000002</v>
      </c>
      <c r="F69" s="1213">
        <f t="shared" si="10"/>
        <v>21.576000000000001</v>
      </c>
      <c r="G69" s="1213">
        <f t="shared" si="10"/>
        <v>21.119999999999997</v>
      </c>
      <c r="H69" s="1213">
        <f t="shared" si="10"/>
        <v>19.637999999999998</v>
      </c>
      <c r="I69" s="1214">
        <f t="shared" si="10"/>
        <v>17.213999999999999</v>
      </c>
      <c r="J69" s="127"/>
    </row>
    <row r="70" spans="1:10" s="79" customFormat="1" ht="12.75" customHeight="1">
      <c r="A70" s="10">
        <v>42345</v>
      </c>
      <c r="B70" s="1107">
        <v>22.47</v>
      </c>
      <c r="C70" s="1108">
        <v>21.83</v>
      </c>
      <c r="D70" s="1108">
        <v>20.34</v>
      </c>
      <c r="E70" s="1109">
        <v>17.8</v>
      </c>
      <c r="F70" s="1107">
        <v>21.52</v>
      </c>
      <c r="G70" s="1108">
        <v>21</v>
      </c>
      <c r="H70" s="1108">
        <v>19.510000000000002</v>
      </c>
      <c r="I70" s="1109">
        <v>16.98</v>
      </c>
      <c r="J70" s="127"/>
    </row>
    <row r="71" spans="1:10" s="79" customFormat="1" ht="12.75" customHeight="1">
      <c r="A71" s="1207">
        <v>42352</v>
      </c>
      <c r="B71" s="1211">
        <v>21.55</v>
      </c>
      <c r="C71" s="1209">
        <v>20.96</v>
      </c>
      <c r="D71" s="1209">
        <v>19.48</v>
      </c>
      <c r="E71" s="1210">
        <v>16.46</v>
      </c>
      <c r="F71" s="1211">
        <v>21.55</v>
      </c>
      <c r="G71" s="1209">
        <v>20.07</v>
      </c>
      <c r="H71" s="1209">
        <v>18.59</v>
      </c>
      <c r="I71" s="1210">
        <v>15.59</v>
      </c>
      <c r="J71" s="127"/>
    </row>
    <row r="72" spans="1:10" s="79" customFormat="1" ht="12.75" customHeight="1">
      <c r="A72" s="1110">
        <v>42359</v>
      </c>
      <c r="B72" s="1107">
        <v>21.26</v>
      </c>
      <c r="C72" s="1108">
        <v>20.68</v>
      </c>
      <c r="D72" s="1108">
        <v>19.190000000000001</v>
      </c>
      <c r="E72" s="1109">
        <v>15.42</v>
      </c>
      <c r="F72" s="1107">
        <v>20.32</v>
      </c>
      <c r="G72" s="1108">
        <v>19.82</v>
      </c>
      <c r="H72" s="1108">
        <v>18.329999999999998</v>
      </c>
      <c r="I72" s="1109">
        <v>14.54</v>
      </c>
      <c r="J72" s="127"/>
    </row>
    <row r="73" spans="1:10" ht="13.5" thickBot="1">
      <c r="A73" s="1207">
        <v>42366</v>
      </c>
      <c r="B73" s="1211">
        <v>21.26</v>
      </c>
      <c r="C73" s="1209">
        <v>20.65</v>
      </c>
      <c r="D73" s="1209">
        <v>19.16</v>
      </c>
      <c r="E73" s="1210">
        <v>15.34</v>
      </c>
      <c r="F73" s="1211">
        <v>20.309999999999999</v>
      </c>
      <c r="G73" s="1209">
        <v>19.82</v>
      </c>
      <c r="H73" s="1209">
        <v>18.329999999999998</v>
      </c>
      <c r="I73" s="1210">
        <v>14.51</v>
      </c>
      <c r="J73" s="127"/>
    </row>
    <row r="74" spans="1:10" ht="13.5" thickBot="1">
      <c r="A74" s="1212" t="s">
        <v>7</v>
      </c>
      <c r="B74" s="1213">
        <f t="shared" ref="B74:I74" si="11">AVERAGE(B70:B73)</f>
        <v>21.635000000000002</v>
      </c>
      <c r="C74" s="1213">
        <f t="shared" si="11"/>
        <v>21.03</v>
      </c>
      <c r="D74" s="1213">
        <f t="shared" si="11"/>
        <v>19.5425</v>
      </c>
      <c r="E74" s="1213">
        <f t="shared" si="11"/>
        <v>16.255000000000003</v>
      </c>
      <c r="F74" s="1213">
        <f t="shared" si="11"/>
        <v>20.925000000000001</v>
      </c>
      <c r="G74" s="1213">
        <f t="shared" si="11"/>
        <v>20.177500000000002</v>
      </c>
      <c r="H74" s="1213">
        <f t="shared" si="11"/>
        <v>18.689999999999998</v>
      </c>
      <c r="I74" s="1214">
        <f t="shared" si="11"/>
        <v>15.404999999999999</v>
      </c>
      <c r="J74" s="127"/>
    </row>
    <row r="75" spans="1:10">
      <c r="A75" s="758" t="s">
        <v>534</v>
      </c>
      <c r="B75" s="651"/>
      <c r="C75" s="651"/>
      <c r="D75" s="651"/>
      <c r="E75" s="651"/>
      <c r="F75" s="651"/>
      <c r="G75" s="651"/>
      <c r="H75" s="651"/>
      <c r="I75" s="651"/>
      <c r="J75" s="127"/>
    </row>
    <row r="76" spans="1:10">
      <c r="A76" s="651"/>
      <c r="B76" s="651"/>
      <c r="C76" s="651"/>
      <c r="D76" s="651"/>
      <c r="E76" s="651"/>
      <c r="F76" s="651"/>
      <c r="G76" s="651"/>
      <c r="H76" s="651"/>
      <c r="I76" s="651"/>
      <c r="J76" s="127"/>
    </row>
    <row r="77" spans="1:10">
      <c r="A77" s="127"/>
      <c r="B77" s="127"/>
      <c r="C77" s="127"/>
      <c r="D77" s="127"/>
      <c r="E77" s="127"/>
      <c r="F77" s="127"/>
      <c r="G77" s="127"/>
      <c r="H77" s="127"/>
      <c r="I77" s="127"/>
      <c r="J77" s="127"/>
    </row>
    <row r="78" spans="1:10">
      <c r="A78" s="127"/>
      <c r="B78" s="127"/>
      <c r="C78" s="127"/>
      <c r="D78" s="127"/>
      <c r="E78" s="127"/>
      <c r="F78" s="127"/>
      <c r="G78" s="127"/>
      <c r="H78" s="127"/>
      <c r="I78" s="127"/>
      <c r="J78" s="127"/>
    </row>
    <row r="79" spans="1:10">
      <c r="A79" s="127"/>
      <c r="B79" s="127"/>
      <c r="C79" s="127"/>
      <c r="D79" s="127"/>
      <c r="E79" s="127"/>
      <c r="F79" s="127"/>
      <c r="G79" s="127"/>
      <c r="H79" s="127"/>
      <c r="I79" s="127"/>
      <c r="J79" s="127"/>
    </row>
    <row r="80" spans="1:10">
      <c r="A80" s="127"/>
      <c r="B80" s="127"/>
      <c r="C80" s="127"/>
      <c r="D80" s="127"/>
      <c r="E80" s="127"/>
      <c r="F80" s="127"/>
      <c r="G80" s="127"/>
      <c r="H80" s="127"/>
      <c r="I80" s="127"/>
      <c r="J80" s="127"/>
    </row>
    <row r="81" spans="1:10">
      <c r="A81" s="127"/>
      <c r="B81" s="127"/>
      <c r="C81" s="127"/>
      <c r="D81" s="127"/>
      <c r="E81" s="127"/>
      <c r="F81" s="127"/>
      <c r="G81" s="127"/>
      <c r="H81" s="127"/>
      <c r="I81" s="127"/>
      <c r="J81" s="127"/>
    </row>
    <row r="82" spans="1:10">
      <c r="A82" s="127"/>
      <c r="B82" s="127"/>
      <c r="C82" s="127"/>
      <c r="D82" s="127"/>
      <c r="E82" s="127"/>
      <c r="F82" s="127"/>
      <c r="G82" s="127"/>
      <c r="H82" s="127"/>
      <c r="I82" s="127"/>
      <c r="J82" s="127"/>
    </row>
    <row r="83" spans="1:10">
      <c r="A83" s="127"/>
      <c r="B83" s="127"/>
      <c r="C83" s="127"/>
      <c r="D83" s="127"/>
      <c r="E83" s="127"/>
      <c r="F83" s="127"/>
      <c r="G83" s="127"/>
      <c r="H83" s="127"/>
      <c r="I83" s="127"/>
      <c r="J83" s="127"/>
    </row>
    <row r="84" spans="1:10">
      <c r="A84" s="127"/>
      <c r="B84" s="127"/>
      <c r="C84" s="127"/>
      <c r="D84" s="127"/>
      <c r="E84" s="127"/>
      <c r="F84" s="127"/>
      <c r="G84" s="127"/>
      <c r="H84" s="127"/>
      <c r="I84" s="127"/>
      <c r="J84" s="127"/>
    </row>
    <row r="85" spans="1:10">
      <c r="A85" s="127"/>
      <c r="B85" s="127"/>
      <c r="C85" s="127"/>
      <c r="D85" s="127"/>
      <c r="E85" s="127"/>
      <c r="F85" s="127"/>
      <c r="G85" s="127"/>
      <c r="H85" s="127"/>
      <c r="I85" s="127"/>
      <c r="J85" s="127"/>
    </row>
    <row r="86" spans="1:10">
      <c r="A86" s="127"/>
      <c r="B86" s="127"/>
      <c r="C86" s="127"/>
      <c r="D86" s="127"/>
      <c r="E86" s="127"/>
      <c r="F86" s="127"/>
      <c r="G86" s="127"/>
      <c r="H86" s="127"/>
      <c r="I86" s="127"/>
      <c r="J86" s="127"/>
    </row>
    <row r="87" spans="1:10">
      <c r="A87" s="127"/>
      <c r="B87" s="127"/>
      <c r="C87" s="127"/>
      <c r="D87" s="127"/>
      <c r="E87" s="127"/>
      <c r="F87" s="127"/>
      <c r="G87" s="127"/>
      <c r="H87" s="127"/>
      <c r="I87" s="127"/>
      <c r="J87" s="127"/>
    </row>
    <row r="88" spans="1:10">
      <c r="A88" s="127"/>
      <c r="B88" s="127"/>
      <c r="C88" s="127"/>
      <c r="D88" s="127"/>
      <c r="E88" s="127"/>
      <c r="F88" s="127"/>
      <c r="G88" s="127"/>
      <c r="H88" s="127"/>
      <c r="I88" s="127"/>
      <c r="J88" s="127"/>
    </row>
    <row r="89" spans="1:10">
      <c r="A89" s="127"/>
      <c r="B89" s="127"/>
      <c r="C89" s="127"/>
      <c r="D89" s="127"/>
      <c r="E89" s="127"/>
      <c r="F89" s="127"/>
      <c r="G89" s="127"/>
      <c r="H89" s="127"/>
      <c r="I89" s="127"/>
      <c r="J89" s="127"/>
    </row>
    <row r="90" spans="1:10">
      <c r="A90" s="127"/>
      <c r="B90" s="127"/>
      <c r="C90" s="127"/>
      <c r="D90" s="127"/>
      <c r="E90" s="127"/>
      <c r="F90" s="127"/>
      <c r="G90" s="127"/>
      <c r="H90" s="127"/>
      <c r="I90" s="127"/>
      <c r="J90" s="127"/>
    </row>
    <row r="91" spans="1:10">
      <c r="A91" s="127"/>
      <c r="B91" s="127"/>
      <c r="C91" s="127"/>
      <c r="D91" s="127"/>
      <c r="E91" s="127"/>
      <c r="F91" s="127"/>
      <c r="G91" s="127"/>
      <c r="H91" s="127"/>
      <c r="I91" s="127"/>
      <c r="J91" s="127"/>
    </row>
    <row r="92" spans="1:10">
      <c r="A92" s="127"/>
      <c r="B92" s="127"/>
      <c r="C92" s="127"/>
      <c r="D92" s="127"/>
      <c r="E92" s="127"/>
      <c r="F92" s="127"/>
      <c r="G92" s="127"/>
      <c r="H92" s="127"/>
      <c r="I92" s="127"/>
      <c r="J92" s="127"/>
    </row>
    <row r="93" spans="1:10">
      <c r="A93" s="127"/>
      <c r="B93" s="127"/>
      <c r="C93" s="127"/>
      <c r="D93" s="127"/>
      <c r="E93" s="127"/>
      <c r="F93" s="127"/>
      <c r="G93" s="127"/>
      <c r="H93" s="127"/>
      <c r="I93" s="127"/>
      <c r="J93" s="127"/>
    </row>
    <row r="94" spans="1:10">
      <c r="A94" s="127"/>
      <c r="B94" s="127"/>
      <c r="C94" s="127"/>
      <c r="D94" s="127"/>
      <c r="E94" s="127"/>
      <c r="F94" s="127"/>
      <c r="G94" s="127"/>
      <c r="H94" s="127"/>
      <c r="I94" s="127"/>
      <c r="J94" s="127"/>
    </row>
    <row r="95" spans="1:10">
      <c r="A95" s="127"/>
      <c r="B95" s="127"/>
      <c r="C95" s="127"/>
      <c r="D95" s="127"/>
      <c r="E95" s="127"/>
      <c r="F95" s="127"/>
      <c r="G95" s="127"/>
      <c r="H95" s="127"/>
      <c r="I95" s="127"/>
      <c r="J95" s="127"/>
    </row>
    <row r="96" spans="1:10">
      <c r="A96" s="127"/>
      <c r="B96" s="127"/>
      <c r="C96" s="127"/>
      <c r="D96" s="127"/>
      <c r="E96" s="127"/>
      <c r="F96" s="127"/>
      <c r="G96" s="127"/>
      <c r="H96" s="127"/>
      <c r="I96" s="127"/>
      <c r="J96" s="127"/>
    </row>
    <row r="97" spans="1:10">
      <c r="A97" s="127"/>
      <c r="B97" s="127"/>
      <c r="C97" s="127"/>
      <c r="D97" s="127"/>
      <c r="E97" s="127"/>
      <c r="F97" s="127"/>
      <c r="G97" s="127"/>
      <c r="H97" s="127"/>
      <c r="I97" s="127"/>
      <c r="J97" s="127"/>
    </row>
    <row r="98" spans="1:10">
      <c r="A98" s="127"/>
      <c r="B98" s="127"/>
      <c r="C98" s="127"/>
      <c r="D98" s="127"/>
      <c r="E98" s="127"/>
      <c r="F98" s="127"/>
      <c r="G98" s="127"/>
      <c r="H98" s="127"/>
      <c r="I98" s="127"/>
      <c r="J98" s="127"/>
    </row>
    <row r="99" spans="1:10">
      <c r="A99" s="127"/>
      <c r="B99" s="127"/>
      <c r="C99" s="127"/>
      <c r="D99" s="127"/>
      <c r="E99" s="127"/>
      <c r="F99" s="127"/>
      <c r="G99" s="127"/>
      <c r="H99" s="127"/>
      <c r="I99" s="127"/>
      <c r="J99" s="127"/>
    </row>
    <row r="100" spans="1:10">
      <c r="A100" s="127"/>
      <c r="B100" s="127"/>
      <c r="C100" s="127"/>
      <c r="D100" s="127"/>
      <c r="E100" s="127"/>
      <c r="F100" s="127"/>
      <c r="G100" s="127"/>
      <c r="H100" s="127"/>
      <c r="I100" s="127"/>
      <c r="J100" s="127"/>
    </row>
    <row r="101" spans="1:10">
      <c r="A101" s="127"/>
      <c r="B101" s="127"/>
      <c r="C101" s="127"/>
      <c r="D101" s="127"/>
      <c r="E101" s="127"/>
      <c r="F101" s="127"/>
      <c r="G101" s="127"/>
      <c r="H101" s="127"/>
      <c r="I101" s="127"/>
      <c r="J101" s="127"/>
    </row>
    <row r="102" spans="1:10">
      <c r="A102" s="127"/>
      <c r="B102" s="127"/>
      <c r="C102" s="127"/>
      <c r="D102" s="127"/>
      <c r="E102" s="127"/>
      <c r="F102" s="127"/>
      <c r="G102" s="127"/>
      <c r="H102" s="127"/>
      <c r="I102" s="127"/>
      <c r="J102" s="127"/>
    </row>
    <row r="103" spans="1:10">
      <c r="A103" s="127"/>
      <c r="B103" s="127"/>
      <c r="C103" s="127"/>
      <c r="D103" s="127"/>
      <c r="E103" s="127"/>
      <c r="F103" s="127"/>
      <c r="G103" s="127"/>
      <c r="H103" s="127"/>
      <c r="I103" s="127"/>
      <c r="J103" s="127"/>
    </row>
    <row r="104" spans="1:10">
      <c r="A104" s="127"/>
      <c r="B104" s="127"/>
      <c r="C104" s="127"/>
      <c r="D104" s="127"/>
      <c r="E104" s="127"/>
      <c r="F104" s="127"/>
      <c r="G104" s="127"/>
      <c r="H104" s="127"/>
      <c r="I104" s="127"/>
      <c r="J104" s="127"/>
    </row>
    <row r="105" spans="1:10">
      <c r="A105" s="127"/>
      <c r="B105" s="127"/>
      <c r="C105" s="127"/>
      <c r="D105" s="127"/>
      <c r="E105" s="127"/>
      <c r="F105" s="127"/>
      <c r="G105" s="127"/>
      <c r="H105" s="127"/>
      <c r="I105" s="127"/>
      <c r="J105" s="127"/>
    </row>
    <row r="106" spans="1:10">
      <c r="A106" s="127"/>
      <c r="B106" s="127"/>
      <c r="C106" s="127"/>
      <c r="D106" s="127"/>
      <c r="E106" s="127"/>
      <c r="F106" s="127"/>
      <c r="G106" s="127"/>
      <c r="H106" s="127"/>
      <c r="I106" s="127"/>
      <c r="J106" s="127"/>
    </row>
    <row r="107" spans="1:10">
      <c r="A107" s="127"/>
      <c r="B107" s="127"/>
      <c r="C107" s="127"/>
      <c r="D107" s="127"/>
      <c r="E107" s="127"/>
      <c r="F107" s="127"/>
      <c r="G107" s="127"/>
      <c r="H107" s="127"/>
      <c r="I107" s="127"/>
      <c r="J107" s="127"/>
    </row>
    <row r="108" spans="1:10">
      <c r="A108" s="127"/>
      <c r="B108" s="127"/>
      <c r="C108" s="127"/>
      <c r="D108" s="127"/>
      <c r="E108" s="127"/>
      <c r="F108" s="127"/>
      <c r="G108" s="127"/>
      <c r="H108" s="127"/>
      <c r="I108" s="127"/>
      <c r="J108" s="127"/>
    </row>
    <row r="109" spans="1:10">
      <c r="A109" s="127"/>
      <c r="B109" s="127"/>
      <c r="C109" s="127"/>
      <c r="D109" s="127"/>
      <c r="E109" s="127"/>
      <c r="F109" s="127"/>
      <c r="G109" s="127"/>
      <c r="H109" s="127"/>
      <c r="I109" s="127"/>
      <c r="J109" s="127"/>
    </row>
    <row r="110" spans="1:10">
      <c r="A110" s="127"/>
      <c r="B110" s="127"/>
      <c r="C110" s="127"/>
      <c r="D110" s="127"/>
      <c r="E110" s="127"/>
      <c r="F110" s="127"/>
      <c r="G110" s="127"/>
      <c r="H110" s="127"/>
      <c r="I110" s="127"/>
      <c r="J110" s="127"/>
    </row>
    <row r="111" spans="1:10">
      <c r="A111" s="127"/>
      <c r="B111" s="127"/>
      <c r="C111" s="127"/>
      <c r="D111" s="127"/>
      <c r="E111" s="127"/>
      <c r="F111" s="127"/>
      <c r="G111" s="127"/>
      <c r="H111" s="127"/>
      <c r="I111" s="127"/>
      <c r="J111" s="127"/>
    </row>
  </sheetData>
  <mergeCells count="8">
    <mergeCell ref="K16:N16"/>
    <mergeCell ref="K17:N17"/>
    <mergeCell ref="A4:I4"/>
    <mergeCell ref="A5:I5"/>
    <mergeCell ref="A6:I6"/>
    <mergeCell ref="A7:I7"/>
    <mergeCell ref="B9:E9"/>
    <mergeCell ref="F9:I9"/>
  </mergeCells>
  <pageMargins left="1.0629921259842521" right="0.43307086614173229" top="1.5748031496062993" bottom="0.98425196850393704" header="0" footer="0"/>
  <pageSetup paperSize="5" scale="75" orientation="portrait" horizontalDpi="4294967295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1:J108"/>
  <sheetViews>
    <sheetView view="pageBreakPreview" topLeftCell="A31" zoomScaleNormal="75" zoomScaleSheetLayoutView="100" workbookViewId="0">
      <selection activeCell="C42" sqref="C42"/>
    </sheetView>
  </sheetViews>
  <sheetFormatPr baseColWidth="10" defaultColWidth="11.42578125" defaultRowHeight="12.75"/>
  <cols>
    <col min="1" max="1" width="16.28515625" customWidth="1"/>
    <col min="2" max="2" width="11.7109375" customWidth="1"/>
    <col min="4" max="4" width="11.28515625" customWidth="1"/>
    <col min="6" max="6" width="11.85546875" customWidth="1"/>
    <col min="10" max="10" width="4" customWidth="1"/>
  </cols>
  <sheetData>
    <row r="1" spans="1:10">
      <c r="A1" s="107"/>
      <c r="B1" s="109"/>
      <c r="C1" s="81"/>
      <c r="D1" s="81"/>
      <c r="E1" s="81"/>
      <c r="F1" s="81"/>
      <c r="G1" s="81"/>
      <c r="H1" s="81"/>
      <c r="I1" s="82"/>
      <c r="J1" s="63"/>
    </row>
    <row r="2" spans="1:10">
      <c r="A2" s="1567" t="s">
        <v>36</v>
      </c>
      <c r="B2" s="1568"/>
      <c r="C2" s="1568"/>
      <c r="D2" s="1568"/>
      <c r="E2" s="1568"/>
      <c r="F2" s="1568"/>
      <c r="G2" s="1568"/>
      <c r="H2" s="1568"/>
      <c r="I2" s="1569"/>
      <c r="J2" s="63"/>
    </row>
    <row r="3" spans="1:10">
      <c r="A3" s="1543" t="s">
        <v>22</v>
      </c>
      <c r="B3" s="1544"/>
      <c r="C3" s="1544"/>
      <c r="D3" s="1544"/>
      <c r="E3" s="1544"/>
      <c r="F3" s="1544"/>
      <c r="G3" s="1544"/>
      <c r="H3" s="1544"/>
      <c r="I3" s="1545"/>
      <c r="J3" s="63"/>
    </row>
    <row r="4" spans="1:10">
      <c r="A4" s="1543" t="s">
        <v>23</v>
      </c>
      <c r="B4" s="1544"/>
      <c r="C4" s="1544"/>
      <c r="D4" s="1544"/>
      <c r="E4" s="1544"/>
      <c r="F4" s="1544"/>
      <c r="G4" s="1544"/>
      <c r="H4" s="1544"/>
      <c r="I4" s="1545"/>
      <c r="J4" s="63"/>
    </row>
    <row r="5" spans="1:10">
      <c r="A5" s="1543" t="s">
        <v>0</v>
      </c>
      <c r="B5" s="1544"/>
      <c r="C5" s="1544"/>
      <c r="D5" s="1544"/>
      <c r="E5" s="1544"/>
      <c r="F5" s="1544"/>
      <c r="G5" s="1544"/>
      <c r="H5" s="1544"/>
      <c r="I5" s="1545"/>
      <c r="J5" s="63"/>
    </row>
    <row r="6" spans="1:10" ht="11.25" customHeight="1" thickBot="1">
      <c r="A6" s="104"/>
      <c r="B6" s="100"/>
      <c r="C6" s="100"/>
      <c r="D6" s="100"/>
      <c r="E6" s="100"/>
      <c r="F6" s="100"/>
      <c r="G6" s="100"/>
      <c r="H6" s="100"/>
      <c r="I6" s="101"/>
      <c r="J6" s="63"/>
    </row>
    <row r="7" spans="1:10" ht="20.25" customHeight="1" thickBot="1">
      <c r="A7" s="1199" t="s">
        <v>1</v>
      </c>
      <c r="B7" s="1561" t="s">
        <v>2</v>
      </c>
      <c r="C7" s="1562"/>
      <c r="D7" s="1562"/>
      <c r="E7" s="1563"/>
      <c r="F7" s="1564" t="s">
        <v>3</v>
      </c>
      <c r="G7" s="1565"/>
      <c r="H7" s="1565"/>
      <c r="I7" s="1566"/>
      <c r="J7" s="63"/>
    </row>
    <row r="8" spans="1:10" ht="21" customHeight="1" thickBot="1">
      <c r="A8" s="1200" t="s">
        <v>21</v>
      </c>
      <c r="B8" s="1201" t="s">
        <v>532</v>
      </c>
      <c r="C8" s="1201" t="s">
        <v>4</v>
      </c>
      <c r="D8" s="1202" t="s">
        <v>5</v>
      </c>
      <c r="E8" s="1203" t="s">
        <v>6</v>
      </c>
      <c r="F8" s="1204" t="s">
        <v>532</v>
      </c>
      <c r="G8" s="1204" t="s">
        <v>4</v>
      </c>
      <c r="H8" s="1205" t="s">
        <v>5</v>
      </c>
      <c r="I8" s="1206" t="s">
        <v>6</v>
      </c>
      <c r="J8" s="63"/>
    </row>
    <row r="9" spans="1:10">
      <c r="A9" s="10">
        <v>42373</v>
      </c>
      <c r="B9" s="1107">
        <v>21.26</v>
      </c>
      <c r="C9" s="1108">
        <v>20.65</v>
      </c>
      <c r="D9" s="1108">
        <v>19.170000000000002</v>
      </c>
      <c r="E9" s="1109">
        <v>14.95</v>
      </c>
      <c r="F9" s="1107">
        <v>20.329999999999998</v>
      </c>
      <c r="G9" s="1108">
        <v>19.809999999999999</v>
      </c>
      <c r="H9" s="1108">
        <v>18.350000000000001</v>
      </c>
      <c r="I9" s="1109">
        <v>14.14</v>
      </c>
      <c r="J9" s="79"/>
    </row>
    <row r="10" spans="1:10">
      <c r="A10" s="1207">
        <v>42380</v>
      </c>
      <c r="B10" s="1211">
        <v>21.49</v>
      </c>
      <c r="C10" s="1209">
        <v>20.88</v>
      </c>
      <c r="D10" s="1209">
        <v>19.37</v>
      </c>
      <c r="E10" s="1210">
        <v>14.87</v>
      </c>
      <c r="F10" s="1211">
        <v>20.53</v>
      </c>
      <c r="G10" s="1209">
        <v>20.03</v>
      </c>
      <c r="H10" s="1209">
        <v>18.55</v>
      </c>
      <c r="I10" s="1210">
        <v>14.05</v>
      </c>
      <c r="J10" s="79"/>
    </row>
    <row r="11" spans="1:10">
      <c r="A11" s="1110">
        <v>42387</v>
      </c>
      <c r="B11" s="1107">
        <v>20.99</v>
      </c>
      <c r="C11" s="1108">
        <v>20.39</v>
      </c>
      <c r="D11" s="1108">
        <v>18.899999999999999</v>
      </c>
      <c r="E11" s="1109">
        <v>14.41</v>
      </c>
      <c r="F11" s="1107">
        <v>20.010000000000002</v>
      </c>
      <c r="G11" s="1108">
        <v>19.53</v>
      </c>
      <c r="H11" s="1108">
        <v>18.05</v>
      </c>
      <c r="I11" s="1109">
        <v>13.56</v>
      </c>
      <c r="J11" s="79"/>
    </row>
    <row r="12" spans="1:10" ht="13.5" thickBot="1">
      <c r="A12" s="1207">
        <v>42394</v>
      </c>
      <c r="B12" s="1211">
        <v>20.28</v>
      </c>
      <c r="C12" s="1209">
        <v>19.63</v>
      </c>
      <c r="D12" s="1209">
        <v>18.170000000000002</v>
      </c>
      <c r="E12" s="1210">
        <v>13.64</v>
      </c>
      <c r="F12" s="1211">
        <v>19.309999999999999</v>
      </c>
      <c r="G12" s="1209">
        <v>18.8</v>
      </c>
      <c r="H12" s="1209">
        <v>17.329999999999998</v>
      </c>
      <c r="I12" s="1210">
        <v>12.84</v>
      </c>
      <c r="J12" s="79"/>
    </row>
    <row r="13" spans="1:10" ht="13.5" thickBot="1">
      <c r="A13" s="1212" t="s">
        <v>7</v>
      </c>
      <c r="B13" s="1213">
        <f t="shared" ref="B13:I13" si="0">AVERAGE(B9:B12)</f>
        <v>21.004999999999999</v>
      </c>
      <c r="C13" s="1213">
        <f t="shared" si="0"/>
        <v>20.387499999999999</v>
      </c>
      <c r="D13" s="1213">
        <f t="shared" si="0"/>
        <v>18.902500000000003</v>
      </c>
      <c r="E13" s="1213">
        <f t="shared" si="0"/>
        <v>14.467500000000001</v>
      </c>
      <c r="F13" s="1213">
        <f t="shared" si="0"/>
        <v>20.045000000000002</v>
      </c>
      <c r="G13" s="1213">
        <f t="shared" si="0"/>
        <v>19.5425</v>
      </c>
      <c r="H13" s="1213">
        <f t="shared" si="0"/>
        <v>18.07</v>
      </c>
      <c r="I13" s="1214">
        <f t="shared" si="0"/>
        <v>13.647500000000001</v>
      </c>
      <c r="J13" s="79"/>
    </row>
    <row r="14" spans="1:10">
      <c r="A14" s="10">
        <v>42401</v>
      </c>
      <c r="B14" s="115">
        <v>20.47</v>
      </c>
      <c r="C14" s="56">
        <v>19.850000000000001</v>
      </c>
      <c r="D14" s="56">
        <v>18.39</v>
      </c>
      <c r="E14" s="62">
        <v>14.29</v>
      </c>
      <c r="F14" s="115">
        <v>19.510000000000002</v>
      </c>
      <c r="G14" s="56">
        <v>19.010000000000002</v>
      </c>
      <c r="H14" s="56">
        <v>17.55</v>
      </c>
      <c r="I14" s="62">
        <v>13.5</v>
      </c>
      <c r="J14" s="79"/>
    </row>
    <row r="15" spans="1:10">
      <c r="A15" s="1207">
        <v>42408</v>
      </c>
      <c r="B15" s="1211">
        <v>20.2</v>
      </c>
      <c r="C15" s="1209">
        <v>19.53</v>
      </c>
      <c r="D15" s="1209">
        <v>18.07</v>
      </c>
      <c r="E15" s="1210">
        <v>14.27</v>
      </c>
      <c r="F15" s="1211">
        <v>19.21</v>
      </c>
      <c r="G15" s="1209">
        <v>18.73</v>
      </c>
      <c r="H15" s="1209">
        <v>17.25</v>
      </c>
      <c r="I15" s="1210">
        <v>13.5</v>
      </c>
      <c r="J15" s="79"/>
    </row>
    <row r="16" spans="1:10">
      <c r="A16" s="10">
        <v>42415</v>
      </c>
      <c r="B16" s="115">
        <v>19.559999999999999</v>
      </c>
      <c r="C16" s="56">
        <v>18.91</v>
      </c>
      <c r="D16" s="56">
        <v>17.43</v>
      </c>
      <c r="E16" s="62">
        <v>13.27</v>
      </c>
      <c r="F16" s="115">
        <v>18.52</v>
      </c>
      <c r="G16" s="56">
        <v>18.09</v>
      </c>
      <c r="H16" s="56">
        <v>16.600000000000001</v>
      </c>
      <c r="I16" s="62">
        <v>12.5</v>
      </c>
      <c r="J16" s="79"/>
    </row>
    <row r="17" spans="1:10">
      <c r="A17" s="1207">
        <v>42422</v>
      </c>
      <c r="B17" s="1211">
        <v>19.489999999999998</v>
      </c>
      <c r="C17" s="1209">
        <v>18.84</v>
      </c>
      <c r="D17" s="1209">
        <v>17.350000000000001</v>
      </c>
      <c r="E17" s="1210">
        <v>13.15</v>
      </c>
      <c r="F17" s="1211">
        <v>18.510000000000002</v>
      </c>
      <c r="G17" s="1209">
        <v>18.010000000000002</v>
      </c>
      <c r="H17" s="1209">
        <v>16.52</v>
      </c>
      <c r="I17" s="1210">
        <v>12.32</v>
      </c>
      <c r="J17" s="79"/>
    </row>
    <row r="18" spans="1:10" ht="13.5" thickBot="1">
      <c r="A18" s="10">
        <v>42429</v>
      </c>
      <c r="B18" s="115">
        <v>20.440000000000001</v>
      </c>
      <c r="C18" s="56">
        <v>19.77</v>
      </c>
      <c r="D18" s="56">
        <v>18.3</v>
      </c>
      <c r="E18" s="62">
        <v>14.04</v>
      </c>
      <c r="F18" s="115">
        <v>19.489999999999998</v>
      </c>
      <c r="G18" s="56">
        <v>18.98</v>
      </c>
      <c r="H18" s="56">
        <v>17.5</v>
      </c>
      <c r="I18" s="62">
        <v>13.28</v>
      </c>
      <c r="J18" s="79"/>
    </row>
    <row r="19" spans="1:10" ht="13.5" thickBot="1">
      <c r="A19" s="1212" t="s">
        <v>7</v>
      </c>
      <c r="B19" s="1213">
        <f t="shared" ref="B19:I19" si="1">AVERAGE(B14:B18)</f>
        <v>20.032</v>
      </c>
      <c r="C19" s="1213">
        <f t="shared" si="1"/>
        <v>19.380000000000003</v>
      </c>
      <c r="D19" s="1213">
        <f t="shared" si="1"/>
        <v>17.908000000000001</v>
      </c>
      <c r="E19" s="1213">
        <f t="shared" si="1"/>
        <v>13.803999999999998</v>
      </c>
      <c r="F19" s="1213">
        <f t="shared" si="1"/>
        <v>19.047999999999998</v>
      </c>
      <c r="G19" s="1213">
        <f t="shared" si="1"/>
        <v>18.564</v>
      </c>
      <c r="H19" s="1213">
        <f t="shared" si="1"/>
        <v>17.084</v>
      </c>
      <c r="I19" s="1214">
        <f t="shared" si="1"/>
        <v>13.02</v>
      </c>
      <c r="J19" s="79"/>
    </row>
    <row r="20" spans="1:10">
      <c r="A20" s="10">
        <v>44627</v>
      </c>
      <c r="B20" s="1107">
        <v>38.47</v>
      </c>
      <c r="C20" s="1108">
        <v>38.85</v>
      </c>
      <c r="D20" s="1108">
        <v>38.24</v>
      </c>
      <c r="E20" s="1109">
        <v>36.93</v>
      </c>
      <c r="F20" s="1107">
        <v>39.380000000000003</v>
      </c>
      <c r="G20" s="1108">
        <v>37.979999999999997</v>
      </c>
      <c r="H20" s="1108">
        <v>37.39</v>
      </c>
      <c r="I20" s="1109">
        <v>36.090000000000003</v>
      </c>
      <c r="J20" s="79"/>
    </row>
    <row r="21" spans="1:10">
      <c r="A21" s="1207">
        <v>42443</v>
      </c>
      <c r="B21" s="1211">
        <v>21.46</v>
      </c>
      <c r="C21" s="1209">
        <v>20.75</v>
      </c>
      <c r="D21" s="1209">
        <v>19.260000000000002</v>
      </c>
      <c r="E21" s="1210">
        <v>16</v>
      </c>
      <c r="F21" s="1211">
        <v>20.51</v>
      </c>
      <c r="G21" s="1209">
        <v>19.96</v>
      </c>
      <c r="H21" s="1209">
        <v>18.48</v>
      </c>
      <c r="I21" s="1210">
        <v>15.27</v>
      </c>
      <c r="J21" s="79"/>
    </row>
    <row r="22" spans="1:10">
      <c r="A22" s="1110">
        <v>42450</v>
      </c>
      <c r="B22" s="1107">
        <v>22.44</v>
      </c>
      <c r="C22" s="1108">
        <v>21.78</v>
      </c>
      <c r="D22" s="1108">
        <v>20.309999999999999</v>
      </c>
      <c r="E22" s="1109">
        <v>16.100000000000001</v>
      </c>
      <c r="F22" s="1107">
        <v>21.48</v>
      </c>
      <c r="G22" s="1108">
        <v>20.99</v>
      </c>
      <c r="H22" s="1108">
        <v>19.55</v>
      </c>
      <c r="I22" s="1109">
        <v>15.3</v>
      </c>
      <c r="J22" s="79"/>
    </row>
    <row r="23" spans="1:10" ht="13.5" thickBot="1">
      <c r="A23" s="1207">
        <v>42457</v>
      </c>
      <c r="B23" s="1211">
        <v>22.46</v>
      </c>
      <c r="C23" s="1209">
        <v>21.78</v>
      </c>
      <c r="D23" s="1209">
        <v>20.29</v>
      </c>
      <c r="E23" s="1210">
        <v>16.079999999999998</v>
      </c>
      <c r="F23" s="1211">
        <v>21.51</v>
      </c>
      <c r="G23" s="1209">
        <v>20.99</v>
      </c>
      <c r="H23" s="1209">
        <v>19.52</v>
      </c>
      <c r="I23" s="1210">
        <v>15.31</v>
      </c>
      <c r="J23" s="79"/>
    </row>
    <row r="24" spans="1:10" ht="13.5" thickBot="1">
      <c r="A24" s="1212" t="s">
        <v>7</v>
      </c>
      <c r="B24" s="1213">
        <f t="shared" ref="B24:I24" si="2">AVERAGE(B20:B23)</f>
        <v>26.207500000000003</v>
      </c>
      <c r="C24" s="1213">
        <f t="shared" si="2"/>
        <v>25.79</v>
      </c>
      <c r="D24" s="1213">
        <f t="shared" si="2"/>
        <v>24.524999999999999</v>
      </c>
      <c r="E24" s="1213">
        <f t="shared" si="2"/>
        <v>21.2775</v>
      </c>
      <c r="F24" s="1213">
        <f t="shared" si="2"/>
        <v>25.720000000000002</v>
      </c>
      <c r="G24" s="1213">
        <f t="shared" si="2"/>
        <v>24.979999999999997</v>
      </c>
      <c r="H24" s="1213">
        <f t="shared" si="2"/>
        <v>23.734999999999999</v>
      </c>
      <c r="I24" s="1214">
        <f t="shared" si="2"/>
        <v>20.4925</v>
      </c>
      <c r="J24" s="79"/>
    </row>
    <row r="25" spans="1:10">
      <c r="A25" s="567">
        <v>42471</v>
      </c>
      <c r="B25" s="760">
        <v>22.47</v>
      </c>
      <c r="C25" s="56">
        <v>21.86</v>
      </c>
      <c r="D25" s="56">
        <v>20.41</v>
      </c>
      <c r="E25" s="62">
        <v>15.62</v>
      </c>
      <c r="F25" s="760">
        <v>21.51</v>
      </c>
      <c r="G25" s="56">
        <v>21.07</v>
      </c>
      <c r="H25" s="56">
        <v>19.63</v>
      </c>
      <c r="I25" s="62">
        <v>14.81</v>
      </c>
      <c r="J25" s="79"/>
    </row>
    <row r="26" spans="1:10">
      <c r="A26" s="1207">
        <v>42478</v>
      </c>
      <c r="B26" s="1208">
        <v>22.96</v>
      </c>
      <c r="C26" s="1209">
        <v>22.27</v>
      </c>
      <c r="D26" s="1209">
        <v>20.8</v>
      </c>
      <c r="E26" s="1210">
        <v>15.64</v>
      </c>
      <c r="F26" s="1208">
        <v>22.01</v>
      </c>
      <c r="G26" s="1209">
        <v>21.5</v>
      </c>
      <c r="H26" s="1209">
        <v>20.02</v>
      </c>
      <c r="I26" s="1210">
        <v>14.87</v>
      </c>
      <c r="J26" s="79"/>
    </row>
    <row r="27" spans="1:10" ht="13.5" thickBot="1">
      <c r="A27" s="567">
        <v>42485</v>
      </c>
      <c r="B27" s="761">
        <v>23.25</v>
      </c>
      <c r="C27" s="69">
        <v>22.59</v>
      </c>
      <c r="D27" s="69">
        <v>21.11</v>
      </c>
      <c r="E27" s="70">
        <v>16.27</v>
      </c>
      <c r="F27" s="761">
        <v>22.31</v>
      </c>
      <c r="G27" s="69">
        <v>21.8</v>
      </c>
      <c r="H27" s="69">
        <v>20.309999999999999</v>
      </c>
      <c r="I27" s="70">
        <v>15.5</v>
      </c>
      <c r="J27" s="79"/>
    </row>
    <row r="28" spans="1:10" ht="13.5" thickBot="1">
      <c r="A28" s="1212" t="s">
        <v>7</v>
      </c>
      <c r="B28" s="1213">
        <f t="shared" ref="B28:I28" si="3">AVERAGE(B25:B27)</f>
        <v>22.893333333333334</v>
      </c>
      <c r="C28" s="1213">
        <f t="shared" si="3"/>
        <v>22.24</v>
      </c>
      <c r="D28" s="1213">
        <f t="shared" si="3"/>
        <v>20.773333333333333</v>
      </c>
      <c r="E28" s="1213">
        <f t="shared" si="3"/>
        <v>15.843333333333334</v>
      </c>
      <c r="F28" s="1213">
        <f t="shared" si="3"/>
        <v>21.943333333333332</v>
      </c>
      <c r="G28" s="1213">
        <f t="shared" si="3"/>
        <v>21.456666666666667</v>
      </c>
      <c r="H28" s="1213">
        <f t="shared" si="3"/>
        <v>19.986666666666665</v>
      </c>
      <c r="I28" s="1214">
        <f t="shared" si="3"/>
        <v>15.06</v>
      </c>
      <c r="J28" s="79"/>
    </row>
    <row r="29" spans="1:10">
      <c r="A29" s="10">
        <v>42492</v>
      </c>
      <c r="B29" s="1107">
        <v>23.98</v>
      </c>
      <c r="C29" s="1108">
        <v>23.27</v>
      </c>
      <c r="D29" s="1108">
        <v>21.8</v>
      </c>
      <c r="E29" s="1109">
        <v>17.03</v>
      </c>
      <c r="F29" s="1107">
        <v>23.02</v>
      </c>
      <c r="G29" s="1108">
        <v>22.53</v>
      </c>
      <c r="H29" s="1108">
        <v>21.03</v>
      </c>
      <c r="I29" s="1109">
        <v>16.329999999999998</v>
      </c>
      <c r="J29" s="79"/>
    </row>
    <row r="30" spans="1:10">
      <c r="A30" s="1207">
        <v>45048</v>
      </c>
      <c r="B30" s="1211">
        <v>36.58</v>
      </c>
      <c r="C30" s="1209">
        <v>36.090000000000003</v>
      </c>
      <c r="D30" s="1209">
        <v>34.47</v>
      </c>
      <c r="E30" s="1210">
        <v>29.47</v>
      </c>
      <c r="F30" s="1211">
        <v>35.47</v>
      </c>
      <c r="G30" s="1209">
        <v>35.08</v>
      </c>
      <c r="H30" s="1209">
        <v>33.46</v>
      </c>
      <c r="I30" s="1210">
        <v>28.43</v>
      </c>
      <c r="J30" s="79"/>
    </row>
    <row r="31" spans="1:10">
      <c r="A31" s="1110">
        <v>45054</v>
      </c>
      <c r="B31" s="1107">
        <v>35.83</v>
      </c>
      <c r="C31" s="1108">
        <v>35.31</v>
      </c>
      <c r="D31" s="1108">
        <v>33.79</v>
      </c>
      <c r="E31" s="1109">
        <v>28.67</v>
      </c>
      <c r="F31" s="1107">
        <v>34.770000000000003</v>
      </c>
      <c r="G31" s="1108">
        <v>34.31</v>
      </c>
      <c r="H31" s="1108">
        <v>32.799999999999997</v>
      </c>
      <c r="I31" s="1109">
        <v>27.68</v>
      </c>
      <c r="J31" s="79"/>
    </row>
    <row r="32" spans="1:10">
      <c r="A32" s="1207">
        <v>45061</v>
      </c>
      <c r="B32" s="1211">
        <v>35.07</v>
      </c>
      <c r="C32" s="1209">
        <v>34.49</v>
      </c>
      <c r="D32" s="1209">
        <v>32.979999999999997</v>
      </c>
      <c r="E32" s="1210">
        <v>28.04</v>
      </c>
      <c r="F32" s="1211">
        <v>33.97</v>
      </c>
      <c r="G32" s="1209">
        <v>33.49</v>
      </c>
      <c r="H32" s="1209">
        <v>31.98</v>
      </c>
      <c r="I32" s="1210">
        <v>27.02</v>
      </c>
      <c r="J32" s="79"/>
    </row>
    <row r="33" spans="1:10" ht="13.5" thickBot="1">
      <c r="A33" s="1110">
        <v>45068</v>
      </c>
      <c r="B33" s="1107">
        <v>34.81</v>
      </c>
      <c r="C33" s="1108">
        <v>34.32</v>
      </c>
      <c r="D33" s="1108">
        <v>32.96</v>
      </c>
      <c r="E33" s="1109">
        <v>28.04</v>
      </c>
      <c r="F33" s="1107">
        <v>33.78</v>
      </c>
      <c r="G33" s="1108">
        <v>33.35</v>
      </c>
      <c r="H33" s="1108">
        <v>31.97</v>
      </c>
      <c r="I33" s="1109">
        <v>27.01</v>
      </c>
      <c r="J33" s="79"/>
    </row>
    <row r="34" spans="1:10" ht="13.5" thickBot="1">
      <c r="A34" s="1212">
        <v>45075</v>
      </c>
      <c r="B34" s="1213">
        <v>34.86</v>
      </c>
      <c r="C34" s="1213">
        <v>34.31</v>
      </c>
      <c r="D34" s="1213">
        <v>32.97</v>
      </c>
      <c r="E34" s="1213">
        <v>27.99</v>
      </c>
      <c r="F34" s="1213">
        <v>33.82</v>
      </c>
      <c r="G34" s="1213">
        <v>33.299999999999997</v>
      </c>
      <c r="H34" s="1213">
        <v>31.99</v>
      </c>
      <c r="I34" s="1214">
        <v>27</v>
      </c>
      <c r="J34" s="79"/>
    </row>
    <row r="35" spans="1:10">
      <c r="A35" s="10">
        <v>42527</v>
      </c>
      <c r="B35" s="1107">
        <v>24.47</v>
      </c>
      <c r="C35" s="1108">
        <v>23.8</v>
      </c>
      <c r="D35" s="1108">
        <v>22.33</v>
      </c>
      <c r="E35" s="1109">
        <v>18.079999999999998</v>
      </c>
      <c r="F35" s="1107">
        <v>23.52</v>
      </c>
      <c r="G35" s="1108">
        <v>23.01</v>
      </c>
      <c r="H35" s="1108">
        <v>21.52</v>
      </c>
      <c r="I35" s="1109">
        <v>17.309999999999999</v>
      </c>
      <c r="J35" s="79"/>
    </row>
    <row r="36" spans="1:10">
      <c r="A36" s="1207">
        <v>42534</v>
      </c>
      <c r="B36" s="1211">
        <v>24.47</v>
      </c>
      <c r="C36" s="1209">
        <v>23.8</v>
      </c>
      <c r="D36" s="1209">
        <v>22.33</v>
      </c>
      <c r="E36" s="1210">
        <v>18.079999999999998</v>
      </c>
      <c r="F36" s="1211">
        <v>23.51</v>
      </c>
      <c r="G36" s="1209">
        <v>23.01</v>
      </c>
      <c r="H36" s="1209">
        <v>21.52</v>
      </c>
      <c r="I36" s="1210">
        <v>17.309999999999999</v>
      </c>
      <c r="J36" s="79"/>
    </row>
    <row r="37" spans="1:10">
      <c r="A37" s="1110">
        <v>42541</v>
      </c>
      <c r="B37" s="1107">
        <v>24.01</v>
      </c>
      <c r="C37" s="1108">
        <v>23.35</v>
      </c>
      <c r="D37" s="1108">
        <v>21.89</v>
      </c>
      <c r="E37" s="1109">
        <v>17.809999999999999</v>
      </c>
      <c r="F37" s="1107">
        <v>23.02</v>
      </c>
      <c r="G37" s="1108">
        <v>22.53</v>
      </c>
      <c r="H37" s="1108">
        <v>21.09</v>
      </c>
      <c r="I37" s="1109">
        <v>17.010000000000002</v>
      </c>
      <c r="J37" s="63"/>
    </row>
    <row r="38" spans="1:10" ht="13.5" thickBot="1">
      <c r="A38" s="1207">
        <v>42548</v>
      </c>
      <c r="B38" s="1211">
        <v>24.29</v>
      </c>
      <c r="C38" s="1209">
        <v>23.69</v>
      </c>
      <c r="D38" s="1209">
        <v>22.19</v>
      </c>
      <c r="E38" s="1210">
        <v>17.96</v>
      </c>
      <c r="F38" s="1211">
        <v>23.37</v>
      </c>
      <c r="G38" s="1209">
        <v>22.88</v>
      </c>
      <c r="H38" s="1209">
        <v>21.4</v>
      </c>
      <c r="I38" s="1210">
        <v>17.190000000000001</v>
      </c>
      <c r="J38" s="63"/>
    </row>
    <row r="39" spans="1:10" ht="13.5" thickBot="1">
      <c r="A39" s="1212" t="s">
        <v>7</v>
      </c>
      <c r="B39" s="1213">
        <f>AVERAGE(B35:B38)</f>
        <v>24.310000000000002</v>
      </c>
      <c r="C39" s="1213">
        <f t="shared" ref="C39:I39" si="4">AVERAGE(C35:C38)</f>
        <v>23.66</v>
      </c>
      <c r="D39" s="1213">
        <f t="shared" si="4"/>
        <v>22.184999999999999</v>
      </c>
      <c r="E39" s="1213">
        <f t="shared" si="4"/>
        <v>17.982500000000002</v>
      </c>
      <c r="F39" s="1213">
        <f t="shared" si="4"/>
        <v>23.355</v>
      </c>
      <c r="G39" s="1213">
        <f t="shared" si="4"/>
        <v>22.857500000000002</v>
      </c>
      <c r="H39" s="1213">
        <f t="shared" si="4"/>
        <v>21.3825</v>
      </c>
      <c r="I39" s="1214">
        <f t="shared" si="4"/>
        <v>17.204999999999998</v>
      </c>
      <c r="J39" s="63"/>
    </row>
    <row r="40" spans="1:10">
      <c r="A40" s="10">
        <v>42556</v>
      </c>
      <c r="B40" s="1107">
        <v>24.02</v>
      </c>
      <c r="C40" s="1108">
        <v>23.36</v>
      </c>
      <c r="D40" s="1108">
        <v>21.85</v>
      </c>
      <c r="E40" s="1109">
        <v>17.64</v>
      </c>
      <c r="F40" s="1107">
        <v>23.05</v>
      </c>
      <c r="G40" s="1108">
        <v>22.54</v>
      </c>
      <c r="H40" s="1108">
        <v>21.04</v>
      </c>
      <c r="I40" s="1109">
        <v>16.86</v>
      </c>
      <c r="J40" s="63"/>
    </row>
    <row r="41" spans="1:10">
      <c r="A41" s="1207">
        <v>42562</v>
      </c>
      <c r="B41" s="1211">
        <v>23.32</v>
      </c>
      <c r="C41" s="1209">
        <v>22.71</v>
      </c>
      <c r="D41" s="1209">
        <v>21.24</v>
      </c>
      <c r="E41" s="1210">
        <v>17.309999999999999</v>
      </c>
      <c r="F41" s="1211">
        <v>22.34</v>
      </c>
      <c r="G41" s="1209">
        <v>21.9</v>
      </c>
      <c r="H41" s="1209">
        <v>20.420000000000002</v>
      </c>
      <c r="I41" s="1210">
        <v>16.54</v>
      </c>
      <c r="J41" s="63"/>
    </row>
    <row r="42" spans="1:10">
      <c r="A42" s="1110">
        <v>42569</v>
      </c>
      <c r="B42" s="1107">
        <v>22.81</v>
      </c>
      <c r="C42" s="1108">
        <v>22.17</v>
      </c>
      <c r="D42" s="1108">
        <v>20.67</v>
      </c>
      <c r="E42" s="1109">
        <v>17.010000000000002</v>
      </c>
      <c r="F42" s="1107">
        <v>21.82</v>
      </c>
      <c r="G42" s="1108">
        <v>21.34</v>
      </c>
      <c r="H42" s="1108">
        <v>19.850000000000001</v>
      </c>
      <c r="I42" s="1109">
        <v>16.23</v>
      </c>
      <c r="J42" s="63"/>
    </row>
    <row r="43" spans="1:10" ht="13.5" thickBot="1">
      <c r="A43" s="1207">
        <v>42576</v>
      </c>
      <c r="B43" s="1211">
        <v>22.5</v>
      </c>
      <c r="C43" s="1209">
        <v>21.88</v>
      </c>
      <c r="D43" s="1209">
        <v>20.38</v>
      </c>
      <c r="E43" s="1210">
        <v>16.62</v>
      </c>
      <c r="F43" s="1211">
        <v>21.53</v>
      </c>
      <c r="G43" s="1209">
        <v>21.08</v>
      </c>
      <c r="H43" s="1209">
        <v>19.579999999999998</v>
      </c>
      <c r="I43" s="1210">
        <v>15.82</v>
      </c>
      <c r="J43" s="63"/>
    </row>
    <row r="44" spans="1:10" ht="13.5" thickBot="1">
      <c r="A44" s="1212" t="s">
        <v>7</v>
      </c>
      <c r="B44" s="1213">
        <f t="shared" ref="B44:I44" si="5">AVERAGE(B40:B43)</f>
        <v>23.162500000000001</v>
      </c>
      <c r="C44" s="1213">
        <f t="shared" si="5"/>
        <v>22.53</v>
      </c>
      <c r="D44" s="1213">
        <f t="shared" si="5"/>
        <v>21.035</v>
      </c>
      <c r="E44" s="1213">
        <f t="shared" si="5"/>
        <v>17.145000000000003</v>
      </c>
      <c r="F44" s="1213">
        <f t="shared" si="5"/>
        <v>22.185000000000002</v>
      </c>
      <c r="G44" s="1213">
        <f t="shared" si="5"/>
        <v>21.715</v>
      </c>
      <c r="H44" s="1213">
        <f t="shared" si="5"/>
        <v>20.2225</v>
      </c>
      <c r="I44" s="1214">
        <f t="shared" si="5"/>
        <v>16.362499999999997</v>
      </c>
      <c r="J44" s="63"/>
    </row>
    <row r="45" spans="1:10">
      <c r="A45" s="10">
        <v>42583</v>
      </c>
      <c r="B45" s="1107">
        <v>22.28</v>
      </c>
      <c r="C45" s="1108">
        <v>21.62</v>
      </c>
      <c r="D45" s="1108">
        <v>20.13</v>
      </c>
      <c r="E45" s="1109">
        <v>16.2</v>
      </c>
      <c r="F45" s="1107">
        <v>21.32</v>
      </c>
      <c r="G45" s="1108">
        <v>20.81</v>
      </c>
      <c r="H45" s="1108">
        <v>19.34</v>
      </c>
      <c r="I45" s="1109">
        <v>15.43</v>
      </c>
      <c r="J45" s="63"/>
    </row>
    <row r="46" spans="1:10">
      <c r="A46" s="1207">
        <v>42590</v>
      </c>
      <c r="B46" s="1211">
        <v>22.04</v>
      </c>
      <c r="C46" s="1209">
        <v>21.46</v>
      </c>
      <c r="D46" s="1209">
        <v>19.98</v>
      </c>
      <c r="E46" s="1210">
        <v>15.96</v>
      </c>
      <c r="F46" s="1211">
        <v>21.04</v>
      </c>
      <c r="G46" s="1209">
        <v>20.65</v>
      </c>
      <c r="H46" s="1209">
        <v>19.170000000000002</v>
      </c>
      <c r="I46" s="1210">
        <v>15.19</v>
      </c>
      <c r="J46" s="63"/>
    </row>
    <row r="47" spans="1:10">
      <c r="A47" s="1110">
        <v>42598</v>
      </c>
      <c r="B47" s="1107">
        <v>22.71</v>
      </c>
      <c r="C47" s="1108">
        <v>22.05</v>
      </c>
      <c r="D47" s="1108">
        <v>20.58</v>
      </c>
      <c r="E47" s="1109">
        <v>16.739999999999998</v>
      </c>
      <c r="F47" s="1107">
        <v>21.73</v>
      </c>
      <c r="G47" s="1108">
        <v>21.22</v>
      </c>
      <c r="H47" s="1108">
        <v>19.77</v>
      </c>
      <c r="I47" s="1109">
        <v>15.97</v>
      </c>
      <c r="J47" s="63"/>
    </row>
    <row r="48" spans="1:10">
      <c r="A48" s="1207">
        <v>42604</v>
      </c>
      <c r="B48" s="1211">
        <v>23.94</v>
      </c>
      <c r="C48" s="1209">
        <v>23.28</v>
      </c>
      <c r="D48" s="1209">
        <v>21.76</v>
      </c>
      <c r="E48" s="1210">
        <v>18</v>
      </c>
      <c r="F48" s="1211">
        <v>23.01</v>
      </c>
      <c r="G48" s="1209">
        <v>22.5</v>
      </c>
      <c r="H48" s="1209">
        <v>20.99</v>
      </c>
      <c r="I48" s="1210">
        <v>17.28</v>
      </c>
      <c r="J48" s="63"/>
    </row>
    <row r="49" spans="1:10" ht="13.5" thickBot="1">
      <c r="A49" s="1110">
        <v>42611</v>
      </c>
      <c r="B49" s="1107">
        <v>23.97</v>
      </c>
      <c r="C49" s="1108">
        <v>23.31</v>
      </c>
      <c r="D49" s="1108">
        <v>21.79</v>
      </c>
      <c r="E49" s="1109">
        <v>17.96</v>
      </c>
      <c r="F49" s="1107">
        <v>23.01</v>
      </c>
      <c r="G49" s="1108">
        <v>22.53</v>
      </c>
      <c r="H49" s="1108">
        <v>21</v>
      </c>
      <c r="I49" s="1109">
        <v>17.22</v>
      </c>
      <c r="J49" s="63"/>
    </row>
    <row r="50" spans="1:10" ht="13.5" thickBot="1">
      <c r="A50" s="1212" t="s">
        <v>7</v>
      </c>
      <c r="B50" s="1213">
        <f t="shared" ref="B50:I50" si="6">AVERAGE(B45:B49)</f>
        <v>22.988</v>
      </c>
      <c r="C50" s="1213">
        <f t="shared" si="6"/>
        <v>22.344000000000001</v>
      </c>
      <c r="D50" s="1213">
        <f t="shared" si="6"/>
        <v>20.848000000000003</v>
      </c>
      <c r="E50" s="1213">
        <f t="shared" si="6"/>
        <v>16.971999999999998</v>
      </c>
      <c r="F50" s="1213">
        <f t="shared" si="6"/>
        <v>22.022000000000002</v>
      </c>
      <c r="G50" s="1213">
        <f t="shared" si="6"/>
        <v>21.541999999999998</v>
      </c>
      <c r="H50" s="1213">
        <f t="shared" si="6"/>
        <v>20.053999999999998</v>
      </c>
      <c r="I50" s="1214">
        <f t="shared" si="6"/>
        <v>16.218</v>
      </c>
      <c r="J50" s="63"/>
    </row>
    <row r="51" spans="1:10">
      <c r="A51" s="10">
        <v>42618</v>
      </c>
      <c r="B51" s="1107">
        <v>24.06</v>
      </c>
      <c r="C51" s="1108">
        <v>23.41</v>
      </c>
      <c r="D51" s="1108">
        <v>21.9</v>
      </c>
      <c r="E51" s="1109">
        <v>18.079999999999998</v>
      </c>
      <c r="F51" s="1107">
        <v>23.09</v>
      </c>
      <c r="G51" s="1108">
        <v>22.58</v>
      </c>
      <c r="H51" s="1108">
        <v>21.08</v>
      </c>
      <c r="I51" s="1109">
        <v>17.3</v>
      </c>
      <c r="J51" s="63"/>
    </row>
    <row r="52" spans="1:10">
      <c r="A52" s="1207">
        <v>42625</v>
      </c>
      <c r="B52" s="1211">
        <v>24</v>
      </c>
      <c r="C52" s="1209">
        <v>23.29</v>
      </c>
      <c r="D52" s="1209">
        <v>21.81</v>
      </c>
      <c r="E52" s="1210">
        <v>17.8</v>
      </c>
      <c r="F52" s="1211">
        <v>23.04</v>
      </c>
      <c r="G52" s="1209">
        <v>22.51</v>
      </c>
      <c r="H52" s="1209">
        <v>21.01</v>
      </c>
      <c r="I52" s="1210">
        <v>17.05</v>
      </c>
      <c r="J52" s="63"/>
    </row>
    <row r="53" spans="1:10">
      <c r="A53" s="1110">
        <v>42632</v>
      </c>
      <c r="B53" s="1107">
        <v>23.57</v>
      </c>
      <c r="C53" s="1108">
        <v>22.87</v>
      </c>
      <c r="D53" s="1108">
        <v>21.4</v>
      </c>
      <c r="E53" s="1109">
        <v>17.649999999999999</v>
      </c>
      <c r="F53" s="1107">
        <v>22.58</v>
      </c>
      <c r="G53" s="1108">
        <v>22.04</v>
      </c>
      <c r="H53" s="1108">
        <v>20.54</v>
      </c>
      <c r="I53" s="1109">
        <v>16.850000000000001</v>
      </c>
      <c r="J53" s="63"/>
    </row>
    <row r="54" spans="1:10" ht="13.5" thickBot="1">
      <c r="A54" s="1207">
        <v>42639</v>
      </c>
      <c r="B54" s="1211">
        <v>23.05</v>
      </c>
      <c r="C54" s="1209">
        <v>22.37</v>
      </c>
      <c r="D54" s="1209">
        <v>20.88</v>
      </c>
      <c r="E54" s="1210">
        <v>17.14</v>
      </c>
      <c r="F54" s="1211">
        <v>22.04</v>
      </c>
      <c r="G54" s="1209">
        <v>21.53</v>
      </c>
      <c r="H54" s="1209">
        <v>20.03</v>
      </c>
      <c r="I54" s="1210">
        <v>16.329999999999998</v>
      </c>
      <c r="J54" s="63"/>
    </row>
    <row r="55" spans="1:10" ht="13.5" thickBot="1">
      <c r="A55" s="1212" t="s">
        <v>7</v>
      </c>
      <c r="B55" s="1213">
        <f t="shared" ref="B55:I55" si="7">AVERAGE(B51:B54)</f>
        <v>23.669999999999998</v>
      </c>
      <c r="C55" s="1213">
        <f>AVERAGE(C51:C54)</f>
        <v>22.985000000000003</v>
      </c>
      <c r="D55" s="1213">
        <f t="shared" si="7"/>
        <v>21.497499999999995</v>
      </c>
      <c r="E55" s="1213">
        <f t="shared" si="7"/>
        <v>17.667499999999997</v>
      </c>
      <c r="F55" s="1213">
        <f t="shared" si="7"/>
        <v>22.6875</v>
      </c>
      <c r="G55" s="1213">
        <f t="shared" si="7"/>
        <v>22.164999999999999</v>
      </c>
      <c r="H55" s="1213">
        <f t="shared" si="7"/>
        <v>20.664999999999999</v>
      </c>
      <c r="I55" s="1214">
        <f t="shared" si="7"/>
        <v>16.8825</v>
      </c>
      <c r="J55" s="63"/>
    </row>
    <row r="56" spans="1:10">
      <c r="A56" s="10">
        <v>42646</v>
      </c>
      <c r="B56" s="1107">
        <v>23.47</v>
      </c>
      <c r="C56" s="1108">
        <v>22.81</v>
      </c>
      <c r="D56" s="1108">
        <v>21.31</v>
      </c>
      <c r="E56" s="1109">
        <v>17.79</v>
      </c>
      <c r="F56" s="1107">
        <v>22.54</v>
      </c>
      <c r="G56" s="1108">
        <v>22.01</v>
      </c>
      <c r="H56" s="1108">
        <v>20.52</v>
      </c>
      <c r="I56" s="1109">
        <v>17.03</v>
      </c>
      <c r="J56" s="127"/>
    </row>
    <row r="57" spans="1:10">
      <c r="A57" s="1207">
        <v>42653</v>
      </c>
      <c r="B57" s="1211">
        <v>24.45</v>
      </c>
      <c r="C57" s="1209">
        <v>23.8</v>
      </c>
      <c r="D57" s="1209">
        <v>22.31</v>
      </c>
      <c r="E57" s="1210">
        <v>18.73</v>
      </c>
      <c r="F57" s="1211">
        <v>23.51</v>
      </c>
      <c r="G57" s="1209">
        <v>22.99</v>
      </c>
      <c r="H57" s="1209">
        <v>21.5</v>
      </c>
      <c r="I57" s="1210">
        <v>17.98</v>
      </c>
      <c r="J57" s="127"/>
    </row>
    <row r="58" spans="1:10" s="79" customFormat="1">
      <c r="A58" s="1110">
        <v>42660</v>
      </c>
      <c r="B58" s="1107">
        <v>24.02</v>
      </c>
      <c r="C58" s="1108">
        <v>23.38</v>
      </c>
      <c r="D58" s="1108">
        <v>21.89</v>
      </c>
      <c r="E58" s="1109">
        <v>18.5</v>
      </c>
      <c r="F58" s="1107">
        <v>23.05</v>
      </c>
      <c r="G58" s="1108">
        <v>22.55</v>
      </c>
      <c r="H58" s="1108">
        <v>21.06</v>
      </c>
      <c r="I58" s="1109">
        <v>17.71</v>
      </c>
      <c r="J58" s="127"/>
    </row>
    <row r="59" spans="1:10" s="79" customFormat="1">
      <c r="A59" s="1207">
        <v>42667</v>
      </c>
      <c r="B59" s="1211">
        <v>23.78</v>
      </c>
      <c r="C59" s="1209">
        <v>23.15</v>
      </c>
      <c r="D59" s="1209">
        <v>21.67</v>
      </c>
      <c r="E59" s="1210">
        <v>18.12</v>
      </c>
      <c r="F59" s="1211">
        <v>22.81</v>
      </c>
      <c r="G59" s="1209">
        <v>22.33</v>
      </c>
      <c r="H59" s="1209">
        <v>20.83</v>
      </c>
      <c r="I59" s="1210">
        <v>17.32</v>
      </c>
      <c r="J59" s="127"/>
    </row>
    <row r="60" spans="1:10" s="79" customFormat="1" ht="13.5" thickBot="1">
      <c r="A60" s="1110">
        <v>42674</v>
      </c>
      <c r="B60" s="1107">
        <v>24.31</v>
      </c>
      <c r="C60" s="1108">
        <v>23.64</v>
      </c>
      <c r="D60" s="1108">
        <v>22.18</v>
      </c>
      <c r="E60" s="1109">
        <v>18.59</v>
      </c>
      <c r="F60" s="1107">
        <v>23.36</v>
      </c>
      <c r="G60" s="1108">
        <v>22.83</v>
      </c>
      <c r="H60" s="1108">
        <v>21.36</v>
      </c>
      <c r="I60" s="1109">
        <v>17.82</v>
      </c>
      <c r="J60" s="127"/>
    </row>
    <row r="61" spans="1:10" s="79" customFormat="1" ht="13.5" thickBot="1">
      <c r="A61" s="1212" t="s">
        <v>7</v>
      </c>
      <c r="B61" s="1213">
        <f t="shared" ref="B61:I61" si="8">AVERAGE(B56:B60)</f>
        <v>24.006</v>
      </c>
      <c r="C61" s="1213">
        <f t="shared" si="8"/>
        <v>23.355999999999998</v>
      </c>
      <c r="D61" s="1213">
        <f t="shared" si="8"/>
        <v>21.871999999999996</v>
      </c>
      <c r="E61" s="1213">
        <f t="shared" si="8"/>
        <v>18.346</v>
      </c>
      <c r="F61" s="1213">
        <f t="shared" si="8"/>
        <v>23.053999999999998</v>
      </c>
      <c r="G61" s="1213">
        <f t="shared" si="8"/>
        <v>22.541999999999998</v>
      </c>
      <c r="H61" s="1213">
        <f t="shared" si="8"/>
        <v>21.053999999999998</v>
      </c>
      <c r="I61" s="1214">
        <f t="shared" si="8"/>
        <v>17.572000000000003</v>
      </c>
      <c r="J61" s="563"/>
    </row>
    <row r="62" spans="1:10" s="79" customFormat="1">
      <c r="A62" s="10">
        <v>42681</v>
      </c>
      <c r="B62" s="1107">
        <v>24.31</v>
      </c>
      <c r="C62" s="1108">
        <v>23.64</v>
      </c>
      <c r="D62" s="1108">
        <v>22.18</v>
      </c>
      <c r="E62" s="1109">
        <v>18.59</v>
      </c>
      <c r="F62" s="1107">
        <v>23.36</v>
      </c>
      <c r="G62" s="1108">
        <v>22.83</v>
      </c>
      <c r="H62" s="1108">
        <v>21.36</v>
      </c>
      <c r="I62" s="1109">
        <v>17.82</v>
      </c>
      <c r="J62" s="127"/>
    </row>
    <row r="63" spans="1:10" s="79" customFormat="1">
      <c r="A63" s="1207">
        <v>42688</v>
      </c>
      <c r="B63" s="1211">
        <v>23.55</v>
      </c>
      <c r="C63" s="1209">
        <v>22.93</v>
      </c>
      <c r="D63" s="1209">
        <v>21.44</v>
      </c>
      <c r="E63" s="1210">
        <v>17.93</v>
      </c>
      <c r="F63" s="1211">
        <v>22.57</v>
      </c>
      <c r="G63" s="1209">
        <v>22.1</v>
      </c>
      <c r="H63" s="1209">
        <v>20.59</v>
      </c>
      <c r="I63" s="1210">
        <v>17.079999999999998</v>
      </c>
      <c r="J63" s="127"/>
    </row>
    <row r="64" spans="1:10" s="79" customFormat="1">
      <c r="A64" s="1110">
        <v>42695</v>
      </c>
      <c r="B64" s="1107">
        <v>22.49</v>
      </c>
      <c r="C64" s="1108">
        <v>21.88</v>
      </c>
      <c r="D64" s="1108">
        <v>20.420000000000002</v>
      </c>
      <c r="E64" s="1109">
        <v>17.510000000000002</v>
      </c>
      <c r="F64" s="1107">
        <v>21.47</v>
      </c>
      <c r="G64" s="1108">
        <v>21.01</v>
      </c>
      <c r="H64" s="1108">
        <v>19.52</v>
      </c>
      <c r="I64" s="1109">
        <v>16.670000000000002</v>
      </c>
      <c r="J64" s="127"/>
    </row>
    <row r="65" spans="1:10" s="79" customFormat="1" ht="13.5" thickBot="1">
      <c r="A65" s="1207">
        <v>42702</v>
      </c>
      <c r="B65" s="1211">
        <v>22.9</v>
      </c>
      <c r="C65" s="1209">
        <v>22.27</v>
      </c>
      <c r="D65" s="1209">
        <v>20.77</v>
      </c>
      <c r="E65" s="1210">
        <v>17.920000000000002</v>
      </c>
      <c r="F65" s="1211">
        <v>21.96</v>
      </c>
      <c r="G65" s="1209">
        <v>21.44</v>
      </c>
      <c r="H65" s="1209">
        <v>19.940000000000001</v>
      </c>
      <c r="I65" s="1210">
        <v>17.13</v>
      </c>
      <c r="J65" s="127"/>
    </row>
    <row r="66" spans="1:10" s="79" customFormat="1" ht="13.5" thickBot="1">
      <c r="A66" s="1212" t="s">
        <v>7</v>
      </c>
      <c r="B66" s="1213">
        <f t="shared" ref="B66:I66" si="9">AVERAGE(B62:B65)</f>
        <v>23.3125</v>
      </c>
      <c r="C66" s="1213">
        <f t="shared" si="9"/>
        <v>22.68</v>
      </c>
      <c r="D66" s="1213">
        <f t="shared" si="9"/>
        <v>21.202500000000001</v>
      </c>
      <c r="E66" s="1213">
        <f t="shared" si="9"/>
        <v>17.987500000000001</v>
      </c>
      <c r="F66" s="1213">
        <f t="shared" si="9"/>
        <v>22.340000000000003</v>
      </c>
      <c r="G66" s="1213">
        <f t="shared" si="9"/>
        <v>21.844999999999999</v>
      </c>
      <c r="H66" s="1213">
        <f t="shared" si="9"/>
        <v>20.352499999999999</v>
      </c>
      <c r="I66" s="1214">
        <f t="shared" si="9"/>
        <v>17.175000000000001</v>
      </c>
      <c r="J66" s="127"/>
    </row>
    <row r="67" spans="1:10" s="79" customFormat="1" ht="12.75" customHeight="1">
      <c r="A67" s="10">
        <v>42709</v>
      </c>
      <c r="B67" s="1107">
        <v>23.52</v>
      </c>
      <c r="C67" s="1108">
        <v>22.85</v>
      </c>
      <c r="D67" s="1108">
        <v>21.36</v>
      </c>
      <c r="E67" s="1109">
        <v>18.29</v>
      </c>
      <c r="F67" s="1107">
        <v>22.59</v>
      </c>
      <c r="G67" s="1108">
        <v>22.04</v>
      </c>
      <c r="H67" s="1108">
        <v>20.57</v>
      </c>
      <c r="I67" s="1109">
        <v>17.53</v>
      </c>
      <c r="J67" s="127"/>
    </row>
    <row r="68" spans="1:10" s="79" customFormat="1" ht="12.75" customHeight="1">
      <c r="A68" s="1207">
        <v>42716</v>
      </c>
      <c r="B68" s="1211">
        <v>24</v>
      </c>
      <c r="C68" s="1209">
        <v>23.32</v>
      </c>
      <c r="D68" s="1209">
        <v>21.85</v>
      </c>
      <c r="E68" s="1210">
        <v>18.79</v>
      </c>
      <c r="F68" s="1211">
        <v>23.06</v>
      </c>
      <c r="G68" s="1209">
        <v>22.53</v>
      </c>
      <c r="H68" s="1209">
        <v>21.04</v>
      </c>
      <c r="I68" s="1210">
        <v>18.07</v>
      </c>
      <c r="J68" s="127"/>
    </row>
    <row r="69" spans="1:10" s="79" customFormat="1" ht="12.75" customHeight="1">
      <c r="A69" s="1110">
        <v>42723</v>
      </c>
      <c r="B69" s="1107">
        <v>24.51</v>
      </c>
      <c r="C69" s="1108">
        <v>23.88</v>
      </c>
      <c r="D69" s="1108">
        <v>22.38</v>
      </c>
      <c r="E69" s="1109">
        <v>19.14</v>
      </c>
      <c r="F69" s="1107">
        <v>23.57</v>
      </c>
      <c r="G69" s="1108">
        <v>23.05</v>
      </c>
      <c r="H69" s="1108">
        <v>21.55</v>
      </c>
      <c r="I69" s="1109">
        <v>18.37</v>
      </c>
      <c r="J69" s="127"/>
    </row>
    <row r="70" spans="1:10" ht="13.5" thickBot="1">
      <c r="A70" s="1207">
        <v>42731</v>
      </c>
      <c r="B70" s="1211">
        <v>25.028596491228068</v>
      </c>
      <c r="C70" s="1209">
        <v>24.37</v>
      </c>
      <c r="D70" s="1209">
        <v>22.87</v>
      </c>
      <c r="E70" s="1210">
        <v>19.45</v>
      </c>
      <c r="F70" s="1211">
        <v>23.638999999999999</v>
      </c>
      <c r="G70" s="1209">
        <v>23.56</v>
      </c>
      <c r="H70" s="1209">
        <v>22.04</v>
      </c>
      <c r="I70" s="1210">
        <v>18.63</v>
      </c>
      <c r="J70" s="127"/>
    </row>
    <row r="71" spans="1:10" ht="13.5" thickBot="1">
      <c r="A71" s="1212" t="s">
        <v>7</v>
      </c>
      <c r="B71" s="1213">
        <f t="shared" ref="B71:I71" si="10">AVERAGE(B67:B70)</f>
        <v>24.264649122807018</v>
      </c>
      <c r="C71" s="1213">
        <f t="shared" si="10"/>
        <v>23.605</v>
      </c>
      <c r="D71" s="1213">
        <f t="shared" si="10"/>
        <v>22.115000000000002</v>
      </c>
      <c r="E71" s="1213">
        <f t="shared" si="10"/>
        <v>18.9175</v>
      </c>
      <c r="F71" s="1213">
        <f t="shared" si="10"/>
        <v>23.214749999999999</v>
      </c>
      <c r="G71" s="1213">
        <f t="shared" si="10"/>
        <v>22.795000000000002</v>
      </c>
      <c r="H71" s="1213">
        <f t="shared" si="10"/>
        <v>21.299999999999997</v>
      </c>
      <c r="I71" s="1214">
        <f t="shared" si="10"/>
        <v>18.149999999999999</v>
      </c>
      <c r="J71" s="127"/>
    </row>
    <row r="72" spans="1:10" ht="13.5" thickBot="1">
      <c r="A72" s="651"/>
      <c r="B72" s="651"/>
      <c r="C72" s="651"/>
      <c r="D72" s="651"/>
      <c r="E72" s="651"/>
      <c r="F72" s="651"/>
      <c r="G72" s="651"/>
      <c r="H72" s="651"/>
      <c r="I72" s="651"/>
      <c r="J72" s="127"/>
    </row>
    <row r="73" spans="1:10" ht="15.75" thickBot="1">
      <c r="A73" s="651"/>
      <c r="B73" s="849"/>
      <c r="C73" s="651"/>
      <c r="D73" s="651"/>
      <c r="E73" s="651"/>
      <c r="F73" s="651"/>
      <c r="G73" s="651"/>
      <c r="H73" s="651"/>
      <c r="I73" s="651"/>
      <c r="J73" s="127"/>
    </row>
    <row r="74" spans="1:10">
      <c r="A74" s="127"/>
      <c r="B74" s="127"/>
      <c r="C74" s="127"/>
      <c r="D74" s="127"/>
      <c r="E74" s="127"/>
      <c r="F74" s="127"/>
      <c r="G74" s="127"/>
      <c r="H74" s="127"/>
      <c r="I74" s="127"/>
      <c r="J74" s="127"/>
    </row>
    <row r="75" spans="1:10">
      <c r="A75" s="127"/>
      <c r="B75" s="127"/>
      <c r="C75" s="127"/>
      <c r="D75" s="127"/>
      <c r="E75" s="127"/>
      <c r="F75" s="127"/>
      <c r="G75" s="127"/>
      <c r="H75" s="127"/>
      <c r="I75" s="127"/>
      <c r="J75" s="127"/>
    </row>
    <row r="76" spans="1:10">
      <c r="A76" s="127"/>
      <c r="B76" s="127"/>
      <c r="C76" s="127"/>
      <c r="D76" s="127"/>
      <c r="E76" s="127"/>
      <c r="F76" s="127"/>
      <c r="G76" s="127"/>
      <c r="H76" s="127"/>
      <c r="I76" s="127"/>
      <c r="J76" s="127"/>
    </row>
    <row r="77" spans="1:10">
      <c r="A77" s="127"/>
      <c r="B77" s="127"/>
      <c r="C77" s="127"/>
      <c r="D77" s="127"/>
      <c r="E77" s="127"/>
      <c r="F77" s="127"/>
      <c r="G77" s="127"/>
      <c r="H77" s="127"/>
      <c r="I77" s="127"/>
      <c r="J77" s="127"/>
    </row>
    <row r="78" spans="1:10">
      <c r="A78" s="127"/>
      <c r="B78" s="127"/>
      <c r="C78" s="127"/>
      <c r="D78" s="127"/>
      <c r="E78" s="127"/>
      <c r="F78" s="127"/>
      <c r="G78" s="127"/>
      <c r="H78" s="127"/>
      <c r="I78" s="127"/>
      <c r="J78" s="127"/>
    </row>
    <row r="79" spans="1:10">
      <c r="A79" s="127"/>
      <c r="B79" s="127"/>
      <c r="C79" s="127"/>
      <c r="D79" s="127"/>
      <c r="E79" s="127"/>
      <c r="F79" s="127"/>
      <c r="G79" s="127"/>
      <c r="H79" s="127"/>
      <c r="I79" s="127"/>
      <c r="J79" s="127"/>
    </row>
    <row r="80" spans="1:10">
      <c r="A80" s="127"/>
      <c r="B80" s="127"/>
      <c r="C80" s="127"/>
      <c r="D80" s="127"/>
      <c r="E80" s="127"/>
      <c r="F80" s="127"/>
      <c r="G80" s="127"/>
      <c r="H80" s="127"/>
      <c r="I80" s="127"/>
      <c r="J80" s="127"/>
    </row>
    <row r="81" spans="1:10">
      <c r="A81" s="127"/>
      <c r="B81" s="127"/>
      <c r="C81" s="127"/>
      <c r="D81" s="127"/>
      <c r="E81" s="127"/>
      <c r="F81" s="127"/>
      <c r="G81" s="127"/>
      <c r="H81" s="127"/>
      <c r="I81" s="127"/>
      <c r="J81" s="127"/>
    </row>
    <row r="82" spans="1:10">
      <c r="A82" s="127"/>
      <c r="B82" s="127"/>
      <c r="C82" s="127"/>
      <c r="D82" s="127"/>
      <c r="E82" s="127"/>
      <c r="F82" s="127"/>
      <c r="G82" s="127"/>
      <c r="H82" s="127"/>
      <c r="I82" s="127"/>
      <c r="J82" s="127"/>
    </row>
    <row r="83" spans="1:10">
      <c r="A83" s="127"/>
      <c r="B83" s="127"/>
      <c r="C83" s="127"/>
      <c r="D83" s="127"/>
      <c r="E83" s="127"/>
      <c r="F83" s="127"/>
      <c r="G83" s="127"/>
      <c r="H83" s="127"/>
      <c r="I83" s="127"/>
      <c r="J83" s="127"/>
    </row>
    <row r="84" spans="1:10">
      <c r="A84" s="127"/>
      <c r="B84" s="127"/>
      <c r="C84" s="127"/>
      <c r="D84" s="127"/>
      <c r="E84" s="127"/>
      <c r="F84" s="127"/>
      <c r="G84" s="127"/>
      <c r="H84" s="127"/>
      <c r="I84" s="127"/>
      <c r="J84" s="127"/>
    </row>
    <row r="85" spans="1:10">
      <c r="A85" s="127"/>
      <c r="B85" s="127"/>
      <c r="C85" s="127"/>
      <c r="D85" s="127"/>
      <c r="E85" s="127"/>
      <c r="F85" s="127"/>
      <c r="G85" s="127"/>
      <c r="H85" s="127"/>
      <c r="I85" s="127"/>
      <c r="J85" s="127"/>
    </row>
    <row r="86" spans="1:10">
      <c r="A86" s="127"/>
      <c r="B86" s="127"/>
      <c r="C86" s="127"/>
      <c r="D86" s="127"/>
      <c r="E86" s="127"/>
      <c r="F86" s="127"/>
      <c r="G86" s="127"/>
      <c r="H86" s="127"/>
      <c r="I86" s="127"/>
      <c r="J86" s="127"/>
    </row>
    <row r="87" spans="1:10">
      <c r="A87" s="127"/>
      <c r="B87" s="127"/>
      <c r="C87" s="127"/>
      <c r="D87" s="127"/>
      <c r="E87" s="127"/>
      <c r="F87" s="127"/>
      <c r="G87" s="127"/>
      <c r="H87" s="127"/>
      <c r="I87" s="127"/>
      <c r="J87" s="127"/>
    </row>
    <row r="88" spans="1:10">
      <c r="A88" s="127"/>
      <c r="B88" s="127"/>
      <c r="C88" s="127"/>
      <c r="D88" s="127"/>
      <c r="E88" s="127"/>
      <c r="F88" s="127"/>
      <c r="G88" s="127"/>
      <c r="H88" s="127"/>
      <c r="I88" s="127"/>
      <c r="J88" s="127"/>
    </row>
    <row r="89" spans="1:10">
      <c r="A89" s="127"/>
      <c r="B89" s="127"/>
      <c r="C89" s="127"/>
      <c r="D89" s="127"/>
      <c r="E89" s="127"/>
      <c r="F89" s="127"/>
      <c r="G89" s="127"/>
      <c r="H89" s="127"/>
      <c r="I89" s="127"/>
      <c r="J89" s="127"/>
    </row>
    <row r="90" spans="1:10">
      <c r="A90" s="127"/>
      <c r="B90" s="127"/>
      <c r="C90" s="127"/>
      <c r="D90" s="127"/>
      <c r="E90" s="127"/>
      <c r="F90" s="127"/>
      <c r="G90" s="127"/>
      <c r="H90" s="127"/>
      <c r="I90" s="127"/>
      <c r="J90" s="127"/>
    </row>
    <row r="91" spans="1:10">
      <c r="A91" s="127"/>
      <c r="B91" s="127"/>
      <c r="C91" s="127"/>
      <c r="D91" s="127"/>
      <c r="E91" s="127"/>
      <c r="F91" s="127"/>
      <c r="G91" s="127"/>
      <c r="H91" s="127"/>
      <c r="I91" s="127"/>
      <c r="J91" s="127"/>
    </row>
    <row r="92" spans="1:10">
      <c r="A92" s="127"/>
      <c r="B92" s="127"/>
      <c r="C92" s="127"/>
      <c r="D92" s="127"/>
      <c r="E92" s="127"/>
      <c r="F92" s="127"/>
      <c r="G92" s="127"/>
      <c r="H92" s="127"/>
      <c r="I92" s="127"/>
      <c r="J92" s="127"/>
    </row>
    <row r="93" spans="1:10">
      <c r="A93" s="127"/>
      <c r="B93" s="127"/>
      <c r="C93" s="127"/>
      <c r="D93" s="127"/>
      <c r="E93" s="127"/>
      <c r="F93" s="127"/>
      <c r="G93" s="127"/>
      <c r="H93" s="127"/>
      <c r="I93" s="127"/>
      <c r="J93" s="127"/>
    </row>
    <row r="94" spans="1:10">
      <c r="A94" s="127"/>
      <c r="B94" s="127"/>
      <c r="C94" s="127"/>
      <c r="D94" s="127"/>
      <c r="E94" s="127"/>
      <c r="F94" s="127"/>
      <c r="G94" s="127"/>
      <c r="H94" s="127"/>
      <c r="I94" s="127"/>
      <c r="J94" s="127"/>
    </row>
    <row r="95" spans="1:10">
      <c r="A95" s="127"/>
      <c r="B95" s="127"/>
      <c r="C95" s="127"/>
      <c r="D95" s="127"/>
      <c r="E95" s="127"/>
      <c r="F95" s="127"/>
      <c r="G95" s="127"/>
      <c r="H95" s="127"/>
      <c r="I95" s="127"/>
      <c r="J95" s="127"/>
    </row>
    <row r="96" spans="1:10">
      <c r="A96" s="127"/>
      <c r="B96" s="127"/>
      <c r="C96" s="127"/>
      <c r="D96" s="127"/>
      <c r="E96" s="127"/>
      <c r="F96" s="127"/>
      <c r="G96" s="127"/>
      <c r="H96" s="127"/>
      <c r="I96" s="127"/>
      <c r="J96" s="127"/>
    </row>
    <row r="97" spans="1:10">
      <c r="A97" s="127"/>
      <c r="B97" s="127"/>
      <c r="C97" s="127"/>
      <c r="D97" s="127"/>
      <c r="E97" s="127"/>
      <c r="F97" s="127"/>
      <c r="G97" s="127"/>
      <c r="H97" s="127"/>
      <c r="I97" s="127"/>
      <c r="J97" s="127"/>
    </row>
    <row r="98" spans="1:10">
      <c r="A98" s="127"/>
      <c r="B98" s="127"/>
      <c r="C98" s="127"/>
      <c r="D98" s="127"/>
      <c r="E98" s="127"/>
      <c r="F98" s="127"/>
      <c r="G98" s="127"/>
      <c r="H98" s="127"/>
      <c r="I98" s="127"/>
      <c r="J98" s="127"/>
    </row>
    <row r="99" spans="1:10">
      <c r="A99" s="127"/>
      <c r="B99" s="127"/>
      <c r="C99" s="127"/>
      <c r="D99" s="127"/>
      <c r="E99" s="127"/>
      <c r="F99" s="127"/>
      <c r="G99" s="127"/>
      <c r="H99" s="127"/>
      <c r="I99" s="127"/>
      <c r="J99" s="127"/>
    </row>
    <row r="100" spans="1:10">
      <c r="A100" s="127"/>
      <c r="B100" s="127"/>
      <c r="C100" s="127"/>
      <c r="D100" s="127"/>
      <c r="E100" s="127"/>
      <c r="F100" s="127"/>
      <c r="G100" s="127"/>
      <c r="H100" s="127"/>
      <c r="I100" s="127"/>
      <c r="J100" s="127"/>
    </row>
    <row r="101" spans="1:10">
      <c r="A101" s="127"/>
      <c r="B101" s="127"/>
      <c r="C101" s="127"/>
      <c r="D101" s="127"/>
      <c r="E101" s="127"/>
      <c r="F101" s="127"/>
      <c r="G101" s="127"/>
      <c r="H101" s="127"/>
      <c r="I101" s="127"/>
      <c r="J101" s="127"/>
    </row>
    <row r="102" spans="1:10">
      <c r="A102" s="127"/>
      <c r="B102" s="127"/>
      <c r="C102" s="127"/>
      <c r="D102" s="127"/>
      <c r="E102" s="127"/>
      <c r="F102" s="127"/>
      <c r="G102" s="127"/>
      <c r="H102" s="127"/>
      <c r="I102" s="127"/>
      <c r="J102" s="127"/>
    </row>
    <row r="103" spans="1:10">
      <c r="A103" s="127"/>
      <c r="B103" s="127"/>
      <c r="C103" s="127"/>
      <c r="D103" s="127"/>
      <c r="E103" s="127"/>
      <c r="F103" s="127"/>
      <c r="G103" s="127"/>
      <c r="H103" s="127"/>
      <c r="I103" s="127"/>
      <c r="J103" s="127"/>
    </row>
    <row r="104" spans="1:10">
      <c r="A104" s="127"/>
      <c r="B104" s="127"/>
      <c r="C104" s="127"/>
      <c r="D104" s="127"/>
      <c r="E104" s="127"/>
      <c r="F104" s="127"/>
      <c r="G104" s="127"/>
      <c r="H104" s="127"/>
      <c r="I104" s="127"/>
      <c r="J104" s="127"/>
    </row>
    <row r="105" spans="1:10">
      <c r="A105" s="127"/>
      <c r="B105" s="127"/>
      <c r="C105" s="127"/>
      <c r="D105" s="127"/>
      <c r="E105" s="127"/>
      <c r="F105" s="127"/>
      <c r="G105" s="127"/>
      <c r="H105" s="127"/>
      <c r="I105" s="127"/>
      <c r="J105" s="127"/>
    </row>
    <row r="106" spans="1:10">
      <c r="A106" s="127"/>
      <c r="B106" s="127"/>
      <c r="C106" s="127"/>
      <c r="D106" s="127"/>
      <c r="E106" s="127"/>
      <c r="F106" s="127"/>
      <c r="G106" s="127"/>
      <c r="H106" s="127"/>
      <c r="I106" s="127"/>
      <c r="J106" s="127"/>
    </row>
    <row r="107" spans="1:10">
      <c r="A107" s="127"/>
      <c r="B107" s="127"/>
      <c r="C107" s="127"/>
      <c r="D107" s="127"/>
      <c r="E107" s="127"/>
      <c r="F107" s="127"/>
      <c r="G107" s="127"/>
      <c r="H107" s="127"/>
      <c r="I107" s="127"/>
      <c r="J107" s="127"/>
    </row>
    <row r="108" spans="1:10">
      <c r="A108" s="127"/>
      <c r="B108" s="127"/>
      <c r="C108" s="127"/>
      <c r="D108" s="127"/>
      <c r="E108" s="127"/>
      <c r="F108" s="127"/>
      <c r="G108" s="127"/>
      <c r="H108" s="127"/>
      <c r="I108" s="127"/>
      <c r="J108" s="127"/>
    </row>
  </sheetData>
  <mergeCells count="6">
    <mergeCell ref="A2:I2"/>
    <mergeCell ref="A3:I3"/>
    <mergeCell ref="A4:I4"/>
    <mergeCell ref="A5:I5"/>
    <mergeCell ref="B7:E7"/>
    <mergeCell ref="F7:I7"/>
  </mergeCells>
  <pageMargins left="1.4566929133858268" right="0.43307086614173229" top="0.98425196850393704" bottom="0.98425196850393704" header="0" footer="0"/>
  <pageSetup scale="69" orientation="portrait" horizontalDpi="4294967295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A1:J109"/>
  <sheetViews>
    <sheetView view="pageBreakPreview" zoomScale="145" zoomScaleNormal="75" zoomScaleSheetLayoutView="145" workbookViewId="0">
      <selection activeCell="F7" sqref="F7:I7"/>
    </sheetView>
  </sheetViews>
  <sheetFormatPr baseColWidth="10" defaultColWidth="11.42578125" defaultRowHeight="12.75"/>
  <cols>
    <col min="1" max="1" width="16.28515625" customWidth="1"/>
    <col min="2" max="2" width="11.85546875" customWidth="1"/>
    <col min="4" max="4" width="11.28515625" customWidth="1"/>
    <col min="6" max="6" width="12.140625" customWidth="1"/>
    <col min="10" max="10" width="4" customWidth="1"/>
  </cols>
  <sheetData>
    <row r="1" spans="1:10" ht="20.25">
      <c r="A1" s="1575" t="s">
        <v>495</v>
      </c>
      <c r="B1" s="1576"/>
      <c r="C1" s="1576" t="s">
        <v>495</v>
      </c>
      <c r="D1" s="1576"/>
      <c r="E1" s="1576"/>
      <c r="F1" s="1576"/>
      <c r="G1" s="1576"/>
      <c r="H1" s="1576"/>
      <c r="I1" s="1577"/>
      <c r="J1" s="63"/>
    </row>
    <row r="2" spans="1:10" ht="20.25" customHeight="1">
      <c r="A2" s="1581" t="s">
        <v>569</v>
      </c>
      <c r="B2" s="1582"/>
      <c r="C2" s="1582"/>
      <c r="D2" s="1582"/>
      <c r="E2" s="1582"/>
      <c r="F2" s="1582"/>
      <c r="G2" s="1582"/>
      <c r="H2" s="1582"/>
      <c r="I2" s="1583"/>
      <c r="J2" s="63"/>
    </row>
    <row r="3" spans="1:10">
      <c r="A3" s="1549" t="s">
        <v>36</v>
      </c>
      <c r="B3" s="1550"/>
      <c r="C3" s="1550"/>
      <c r="D3" s="1550"/>
      <c r="E3" s="1550"/>
      <c r="F3" s="1550"/>
      <c r="G3" s="1550"/>
      <c r="H3" s="1550"/>
      <c r="I3" s="1551"/>
      <c r="J3" s="63"/>
    </row>
    <row r="4" spans="1:10">
      <c r="A4" s="1549" t="s">
        <v>22</v>
      </c>
      <c r="B4" s="1550"/>
      <c r="C4" s="1550"/>
      <c r="D4" s="1550"/>
      <c r="E4" s="1550"/>
      <c r="F4" s="1550"/>
      <c r="G4" s="1550"/>
      <c r="H4" s="1550"/>
      <c r="I4" s="1551"/>
      <c r="J4" s="63"/>
    </row>
    <row r="5" spans="1:10">
      <c r="A5" s="1549" t="s">
        <v>23</v>
      </c>
      <c r="B5" s="1550"/>
      <c r="C5" s="1550"/>
      <c r="D5" s="1550"/>
      <c r="E5" s="1550"/>
      <c r="F5" s="1550"/>
      <c r="G5" s="1550"/>
      <c r="H5" s="1550"/>
      <c r="I5" s="1551"/>
      <c r="J5" s="63"/>
    </row>
    <row r="6" spans="1:10" ht="18.75" customHeight="1" thickBot="1">
      <c r="A6" s="1578" t="s">
        <v>0</v>
      </c>
      <c r="B6" s="1579"/>
      <c r="C6" s="1579"/>
      <c r="D6" s="1579"/>
      <c r="E6" s="1579"/>
      <c r="F6" s="1579"/>
      <c r="G6" s="1579"/>
      <c r="H6" s="1579"/>
      <c r="I6" s="1580"/>
      <c r="J6" s="63"/>
    </row>
    <row r="7" spans="1:10" ht="24.75" customHeight="1" thickBot="1">
      <c r="A7" s="1199" t="s">
        <v>1</v>
      </c>
      <c r="B7" s="1561" t="s">
        <v>2</v>
      </c>
      <c r="C7" s="1562"/>
      <c r="D7" s="1562"/>
      <c r="E7" s="1563"/>
      <c r="F7" s="1564" t="s">
        <v>3</v>
      </c>
      <c r="G7" s="1565"/>
      <c r="H7" s="1565"/>
      <c r="I7" s="1566"/>
      <c r="J7" s="63"/>
    </row>
    <row r="8" spans="1:10" ht="21" customHeight="1" thickBot="1">
      <c r="A8" s="1200" t="s">
        <v>21</v>
      </c>
      <c r="B8" s="1201" t="s">
        <v>533</v>
      </c>
      <c r="C8" s="1201" t="s">
        <v>4</v>
      </c>
      <c r="D8" s="1202" t="s">
        <v>5</v>
      </c>
      <c r="E8" s="1203" t="s">
        <v>6</v>
      </c>
      <c r="F8" s="1204" t="s">
        <v>533</v>
      </c>
      <c r="G8" s="1204" t="s">
        <v>4</v>
      </c>
      <c r="H8" s="1205" t="s">
        <v>5</v>
      </c>
      <c r="I8" s="1206" t="s">
        <v>6</v>
      </c>
      <c r="J8" s="63"/>
    </row>
    <row r="9" spans="1:10">
      <c r="A9" s="1110">
        <v>42738</v>
      </c>
      <c r="B9" s="1107">
        <v>25.7</v>
      </c>
      <c r="C9" s="1108">
        <v>25.13</v>
      </c>
      <c r="D9" s="1108">
        <v>23.61</v>
      </c>
      <c r="E9" s="1109">
        <v>19.72</v>
      </c>
      <c r="F9" s="1111">
        <v>24.77</v>
      </c>
      <c r="G9" s="1112">
        <v>24.3</v>
      </c>
      <c r="H9" s="1112">
        <v>22.78</v>
      </c>
      <c r="I9" s="1113">
        <v>18.91</v>
      </c>
      <c r="J9" s="79"/>
    </row>
    <row r="10" spans="1:10">
      <c r="A10" s="1215">
        <v>42744</v>
      </c>
      <c r="B10" s="1211">
        <v>25.7</v>
      </c>
      <c r="C10" s="1209">
        <v>25.08</v>
      </c>
      <c r="D10" s="1209">
        <v>23.55</v>
      </c>
      <c r="E10" s="1210">
        <v>19.649999999999999</v>
      </c>
      <c r="F10" s="1208">
        <v>24.76</v>
      </c>
      <c r="G10" s="1209">
        <v>24.25</v>
      </c>
      <c r="H10" s="1209">
        <v>22.74</v>
      </c>
      <c r="I10" s="1210">
        <v>18.87</v>
      </c>
      <c r="J10" s="79"/>
    </row>
    <row r="11" spans="1:10">
      <c r="A11" s="1110">
        <v>42751</v>
      </c>
      <c r="B11" s="1107">
        <v>25.21</v>
      </c>
      <c r="C11" s="1108">
        <v>24.61</v>
      </c>
      <c r="D11" s="1108">
        <v>23.12</v>
      </c>
      <c r="E11" s="1109">
        <v>18.89</v>
      </c>
      <c r="F11" s="1114">
        <v>24.26</v>
      </c>
      <c r="G11" s="1108">
        <v>23.76</v>
      </c>
      <c r="H11" s="1108">
        <v>22.27</v>
      </c>
      <c r="I11" s="1109">
        <v>18.059999999999999</v>
      </c>
      <c r="J11" s="79"/>
    </row>
    <row r="12" spans="1:10">
      <c r="A12" s="1215">
        <v>42758</v>
      </c>
      <c r="B12" s="1211">
        <v>25.22</v>
      </c>
      <c r="C12" s="1209">
        <v>24.57</v>
      </c>
      <c r="D12" s="1209">
        <v>23.09</v>
      </c>
      <c r="E12" s="1210">
        <v>18.87</v>
      </c>
      <c r="F12" s="1208">
        <v>24.25</v>
      </c>
      <c r="G12" s="1209">
        <v>23.75</v>
      </c>
      <c r="H12" s="1209">
        <v>22.26</v>
      </c>
      <c r="I12" s="1210">
        <v>18.059999999999999</v>
      </c>
      <c r="J12" s="79"/>
    </row>
    <row r="13" spans="1:10" ht="13.5" thickBot="1">
      <c r="A13" s="1110">
        <v>42765</v>
      </c>
      <c r="B13" s="1107">
        <v>24.72</v>
      </c>
      <c r="C13" s="1108">
        <v>24.05</v>
      </c>
      <c r="D13" s="1108">
        <v>22.57</v>
      </c>
      <c r="E13" s="1109">
        <v>18.64</v>
      </c>
      <c r="F13" s="1107">
        <v>23.74</v>
      </c>
      <c r="G13" s="1108">
        <v>23.24</v>
      </c>
      <c r="H13" s="1108">
        <v>21.74</v>
      </c>
      <c r="I13" s="1109">
        <v>17.84</v>
      </c>
      <c r="J13" s="79"/>
    </row>
    <row r="14" spans="1:10" ht="13.5" thickBot="1">
      <c r="A14" s="1212" t="s">
        <v>7</v>
      </c>
      <c r="B14" s="1213">
        <f t="shared" ref="B14:I14" si="0">AVERAGE(B9:B13)</f>
        <v>25.31</v>
      </c>
      <c r="C14" s="1213">
        <f t="shared" si="0"/>
        <v>24.687999999999995</v>
      </c>
      <c r="D14" s="1213">
        <f t="shared" si="0"/>
        <v>23.187999999999999</v>
      </c>
      <c r="E14" s="1213">
        <f t="shared" si="0"/>
        <v>19.154</v>
      </c>
      <c r="F14" s="1213">
        <f t="shared" si="0"/>
        <v>24.356000000000002</v>
      </c>
      <c r="G14" s="1213">
        <f t="shared" si="0"/>
        <v>23.86</v>
      </c>
      <c r="H14" s="1213">
        <f t="shared" si="0"/>
        <v>22.357999999999997</v>
      </c>
      <c r="I14" s="1214">
        <f t="shared" si="0"/>
        <v>18.348000000000003</v>
      </c>
      <c r="J14" s="79"/>
    </row>
    <row r="15" spans="1:10">
      <c r="A15" s="10">
        <v>42772</v>
      </c>
      <c r="B15" s="1107">
        <v>24.56</v>
      </c>
      <c r="C15" s="1108">
        <v>23.88</v>
      </c>
      <c r="D15" s="1108">
        <v>22.39</v>
      </c>
      <c r="E15" s="1109">
        <v>18.72</v>
      </c>
      <c r="F15" s="1107">
        <v>23.55</v>
      </c>
      <c r="G15" s="1108">
        <v>23.08</v>
      </c>
      <c r="H15" s="1108">
        <v>21.55</v>
      </c>
      <c r="I15" s="1109">
        <v>17.95</v>
      </c>
      <c r="J15" s="79"/>
    </row>
    <row r="16" spans="1:10">
      <c r="A16" s="1207">
        <v>42779</v>
      </c>
      <c r="B16" s="1211">
        <v>24.52</v>
      </c>
      <c r="C16" s="1209">
        <v>23.9</v>
      </c>
      <c r="D16" s="1209">
        <v>22.41</v>
      </c>
      <c r="E16" s="1210">
        <v>18.440000000000001</v>
      </c>
      <c r="F16" s="1211">
        <v>23.54</v>
      </c>
      <c r="G16" s="1209">
        <v>23.06</v>
      </c>
      <c r="H16" s="1209">
        <v>21.55</v>
      </c>
      <c r="I16" s="1210">
        <v>17.59</v>
      </c>
      <c r="J16" s="79"/>
    </row>
    <row r="17" spans="1:10">
      <c r="A17" s="1110">
        <v>42786</v>
      </c>
      <c r="B17" s="1107">
        <v>24.48</v>
      </c>
      <c r="C17" s="1108">
        <v>23.86</v>
      </c>
      <c r="D17" s="1108">
        <v>22.36</v>
      </c>
      <c r="E17" s="1109">
        <v>18.809999999999999</v>
      </c>
      <c r="F17" s="1107">
        <v>23.55</v>
      </c>
      <c r="G17" s="1108">
        <v>23.01</v>
      </c>
      <c r="H17" s="1108">
        <v>21.52</v>
      </c>
      <c r="I17" s="1109">
        <v>18.010000000000002</v>
      </c>
      <c r="J17" s="79"/>
    </row>
    <row r="18" spans="1:10" ht="13.5" thickBot="1">
      <c r="A18" s="1207">
        <v>42793</v>
      </c>
      <c r="B18" s="1211">
        <v>24.46</v>
      </c>
      <c r="C18" s="1209">
        <v>23.86</v>
      </c>
      <c r="D18" s="1209">
        <v>22.36</v>
      </c>
      <c r="E18" s="1210">
        <v>18.809999999999999</v>
      </c>
      <c r="F18" s="1211">
        <v>23.52</v>
      </c>
      <c r="G18" s="1209">
        <v>23.01</v>
      </c>
      <c r="H18" s="1209">
        <v>21.52</v>
      </c>
      <c r="I18" s="1210">
        <v>18.010000000000002</v>
      </c>
      <c r="J18" s="79"/>
    </row>
    <row r="19" spans="1:10" ht="13.5" thickBot="1">
      <c r="A19" s="1212" t="s">
        <v>7</v>
      </c>
      <c r="B19" s="1213">
        <f t="shared" ref="B19:I19" si="1">AVERAGE(B15:B18)</f>
        <v>24.505000000000003</v>
      </c>
      <c r="C19" s="1213">
        <f t="shared" si="1"/>
        <v>23.875</v>
      </c>
      <c r="D19" s="1213">
        <f t="shared" si="1"/>
        <v>22.38</v>
      </c>
      <c r="E19" s="1213">
        <f t="shared" si="1"/>
        <v>18.695</v>
      </c>
      <c r="F19" s="1213">
        <f t="shared" si="1"/>
        <v>23.54</v>
      </c>
      <c r="G19" s="1213">
        <f t="shared" si="1"/>
        <v>23.040000000000003</v>
      </c>
      <c r="H19" s="1213">
        <f t="shared" si="1"/>
        <v>21.535</v>
      </c>
      <c r="I19" s="1214">
        <f t="shared" si="1"/>
        <v>17.89</v>
      </c>
      <c r="J19" s="79"/>
    </row>
    <row r="20" spans="1:10">
      <c r="A20" s="10">
        <v>42801</v>
      </c>
      <c r="B20" s="1107">
        <v>38.47</v>
      </c>
      <c r="C20" s="1108">
        <v>38.85</v>
      </c>
      <c r="D20" s="1108">
        <v>38.24</v>
      </c>
      <c r="E20" s="1109">
        <v>36.93</v>
      </c>
      <c r="F20" s="1107">
        <v>39.380000000000003</v>
      </c>
      <c r="G20" s="1108">
        <v>37.979999999999997</v>
      </c>
      <c r="H20" s="1108">
        <v>37.39</v>
      </c>
      <c r="I20" s="1109">
        <v>36.090000000000003</v>
      </c>
      <c r="J20" s="79"/>
    </row>
    <row r="21" spans="1:10">
      <c r="A21" s="1207">
        <v>42807</v>
      </c>
      <c r="B21" s="1211">
        <v>24.17</v>
      </c>
      <c r="C21" s="1209">
        <v>23.56</v>
      </c>
      <c r="D21" s="1209">
        <v>22.09</v>
      </c>
      <c r="E21" s="1210">
        <v>18.63</v>
      </c>
      <c r="F21" s="1211">
        <v>23.21</v>
      </c>
      <c r="G21" s="1209">
        <v>22.71</v>
      </c>
      <c r="H21" s="1209">
        <v>21.24</v>
      </c>
      <c r="I21" s="1210">
        <v>17.809999999999999</v>
      </c>
      <c r="J21" s="79"/>
    </row>
    <row r="22" spans="1:10">
      <c r="A22" s="1110">
        <v>42814</v>
      </c>
      <c r="B22" s="1107">
        <v>23.97</v>
      </c>
      <c r="C22" s="1108">
        <v>23.37</v>
      </c>
      <c r="D22" s="1108">
        <v>21.91</v>
      </c>
      <c r="E22" s="1109">
        <v>18.440000000000001</v>
      </c>
      <c r="F22" s="1107">
        <v>23.01</v>
      </c>
      <c r="G22" s="1108">
        <v>22.52</v>
      </c>
      <c r="H22" s="1108">
        <v>21.04</v>
      </c>
      <c r="I22" s="1109">
        <v>17.61</v>
      </c>
      <c r="J22" s="79"/>
    </row>
    <row r="23" spans="1:10" ht="13.5" thickBot="1">
      <c r="A23" s="1207">
        <v>42821</v>
      </c>
      <c r="B23" s="1211">
        <v>23.5</v>
      </c>
      <c r="C23" s="1209">
        <v>22.91</v>
      </c>
      <c r="D23" s="1209">
        <v>21.43</v>
      </c>
      <c r="E23" s="1210">
        <v>17.82</v>
      </c>
      <c r="F23" s="1211">
        <v>22.53</v>
      </c>
      <c r="G23" s="1209">
        <v>22.05</v>
      </c>
      <c r="H23" s="1209">
        <v>20.56</v>
      </c>
      <c r="I23" s="1210">
        <v>16.95</v>
      </c>
      <c r="J23" s="79"/>
    </row>
    <row r="24" spans="1:10" ht="13.5" thickBot="1">
      <c r="A24" s="1212" t="s">
        <v>7</v>
      </c>
      <c r="B24" s="1213">
        <f t="shared" ref="B24:I24" si="2">AVERAGE(B20:B23)</f>
        <v>27.5275</v>
      </c>
      <c r="C24" s="1213">
        <f t="shared" si="2"/>
        <v>27.172499999999999</v>
      </c>
      <c r="D24" s="1213">
        <f t="shared" si="2"/>
        <v>25.917499999999997</v>
      </c>
      <c r="E24" s="1213">
        <f t="shared" si="2"/>
        <v>22.954999999999998</v>
      </c>
      <c r="F24" s="1213">
        <f t="shared" si="2"/>
        <v>27.032500000000002</v>
      </c>
      <c r="G24" s="1213">
        <f t="shared" si="2"/>
        <v>26.314999999999998</v>
      </c>
      <c r="H24" s="1213">
        <f t="shared" si="2"/>
        <v>25.057499999999997</v>
      </c>
      <c r="I24" s="1214">
        <f t="shared" si="2"/>
        <v>22.115000000000002</v>
      </c>
      <c r="J24" s="79"/>
    </row>
    <row r="25" spans="1:10">
      <c r="A25" s="1215">
        <v>42828</v>
      </c>
      <c r="B25" s="1408">
        <v>24.15</v>
      </c>
      <c r="C25" s="1409">
        <v>23.53</v>
      </c>
      <c r="D25" s="1409">
        <v>22.07</v>
      </c>
      <c r="E25" s="1410">
        <v>17.89</v>
      </c>
      <c r="F25" s="1411">
        <v>23.21</v>
      </c>
      <c r="G25" s="1411">
        <v>22.7</v>
      </c>
      <c r="H25" s="1411">
        <v>21.22</v>
      </c>
      <c r="I25" s="1411">
        <v>17.03</v>
      </c>
      <c r="J25" s="79"/>
    </row>
    <row r="26" spans="1:10">
      <c r="A26" s="567">
        <v>42835</v>
      </c>
      <c r="B26" s="1114">
        <v>24.97</v>
      </c>
      <c r="C26" s="1108">
        <v>24.35</v>
      </c>
      <c r="D26" s="1108">
        <v>22.86</v>
      </c>
      <c r="E26" s="1109">
        <v>18.52</v>
      </c>
      <c r="F26" s="1107">
        <v>24.01</v>
      </c>
      <c r="G26" s="56">
        <v>23.51</v>
      </c>
      <c r="H26" s="56">
        <v>22.04</v>
      </c>
      <c r="I26" s="62">
        <v>17.73</v>
      </c>
      <c r="J26" s="79"/>
    </row>
    <row r="27" spans="1:10">
      <c r="A27" s="1215">
        <v>42842</v>
      </c>
      <c r="B27" s="1208">
        <v>24.98</v>
      </c>
      <c r="C27" s="1209">
        <v>24.35</v>
      </c>
      <c r="D27" s="1209">
        <v>22.86</v>
      </c>
      <c r="E27" s="1210">
        <v>18.54</v>
      </c>
      <c r="F27" s="1211">
        <v>24.01</v>
      </c>
      <c r="G27" s="1209">
        <v>23.51</v>
      </c>
      <c r="H27" s="1209">
        <v>22.01</v>
      </c>
      <c r="I27" s="1210">
        <v>17.690000000000001</v>
      </c>
      <c r="J27" s="79"/>
    </row>
    <row r="28" spans="1:10" ht="13.5" thickBot="1">
      <c r="A28" s="567">
        <v>42849</v>
      </c>
      <c r="B28" s="1115">
        <v>25.12</v>
      </c>
      <c r="C28" s="1117">
        <v>24.56</v>
      </c>
      <c r="D28" s="1117">
        <v>23.08</v>
      </c>
      <c r="E28" s="1118">
        <v>18.75</v>
      </c>
      <c r="F28" s="1107">
        <v>24.03</v>
      </c>
      <c r="G28" s="56">
        <v>23.69</v>
      </c>
      <c r="H28" s="56">
        <v>22.2</v>
      </c>
      <c r="I28" s="62">
        <v>17.93</v>
      </c>
      <c r="J28" s="79"/>
    </row>
    <row r="29" spans="1:10" ht="13.5" thickBot="1">
      <c r="A29" s="1212" t="s">
        <v>7</v>
      </c>
      <c r="B29" s="1223">
        <f>AVERAGE(B25:B28)</f>
        <v>24.805</v>
      </c>
      <c r="C29" s="1223">
        <f t="shared" ref="C29:I29" si="3">AVERAGE(C25:C28)</f>
        <v>24.197500000000002</v>
      </c>
      <c r="D29" s="1223">
        <f t="shared" si="3"/>
        <v>22.717499999999998</v>
      </c>
      <c r="E29" s="1223">
        <f t="shared" si="3"/>
        <v>18.424999999999997</v>
      </c>
      <c r="F29" s="1223">
        <f t="shared" si="3"/>
        <v>23.815000000000001</v>
      </c>
      <c r="G29" s="1223">
        <f t="shared" si="3"/>
        <v>23.352499999999999</v>
      </c>
      <c r="H29" s="1223">
        <f t="shared" si="3"/>
        <v>21.8675</v>
      </c>
      <c r="I29" s="1223">
        <f t="shared" si="3"/>
        <v>17.594999999999999</v>
      </c>
      <c r="J29" s="79"/>
    </row>
    <row r="30" spans="1:10">
      <c r="A30" s="1110">
        <v>45048</v>
      </c>
      <c r="B30" s="1107">
        <v>36.58</v>
      </c>
      <c r="C30" s="1108">
        <v>36.090000000000003</v>
      </c>
      <c r="D30" s="1108">
        <v>34.47</v>
      </c>
      <c r="E30" s="1109">
        <v>29.47</v>
      </c>
      <c r="F30" s="1111">
        <v>35.47</v>
      </c>
      <c r="G30" s="1112">
        <v>35.08</v>
      </c>
      <c r="H30" s="1112">
        <v>33.46</v>
      </c>
      <c r="I30" s="1113">
        <v>28.43</v>
      </c>
      <c r="J30" s="79"/>
    </row>
    <row r="31" spans="1:10">
      <c r="A31" s="1215">
        <v>45054</v>
      </c>
      <c r="B31" s="1211">
        <v>35.83</v>
      </c>
      <c r="C31" s="1209">
        <v>35.31</v>
      </c>
      <c r="D31" s="1209">
        <v>33.79</v>
      </c>
      <c r="E31" s="1210">
        <v>28.67</v>
      </c>
      <c r="F31" s="1208">
        <v>34.770000000000003</v>
      </c>
      <c r="G31" s="1209">
        <v>34.31</v>
      </c>
      <c r="H31" s="1209">
        <v>32.799999999999997</v>
      </c>
      <c r="I31" s="1210">
        <v>27.68</v>
      </c>
      <c r="J31" s="79"/>
    </row>
    <row r="32" spans="1:10">
      <c r="A32" s="1110">
        <v>45061</v>
      </c>
      <c r="B32" s="1107">
        <v>35.07</v>
      </c>
      <c r="C32" s="1108">
        <v>34.49</v>
      </c>
      <c r="D32" s="1108">
        <v>32.979999999999997</v>
      </c>
      <c r="E32" s="1109">
        <v>28.04</v>
      </c>
      <c r="F32" s="1114">
        <v>33.97</v>
      </c>
      <c r="G32" s="1108">
        <v>33.49</v>
      </c>
      <c r="H32" s="1108">
        <v>31.98</v>
      </c>
      <c r="I32" s="1109">
        <v>27.02</v>
      </c>
      <c r="J32" s="79"/>
    </row>
    <row r="33" spans="1:10">
      <c r="A33" s="1215">
        <v>45068</v>
      </c>
      <c r="B33" s="1211">
        <v>34.81</v>
      </c>
      <c r="C33" s="1209">
        <v>34.32</v>
      </c>
      <c r="D33" s="1209">
        <v>32.96</v>
      </c>
      <c r="E33" s="1210">
        <v>28.04</v>
      </c>
      <c r="F33" s="1208">
        <v>33.78</v>
      </c>
      <c r="G33" s="1209">
        <v>33.35</v>
      </c>
      <c r="H33" s="1209">
        <v>31.97</v>
      </c>
      <c r="I33" s="1210">
        <v>27.01</v>
      </c>
      <c r="J33" s="79"/>
    </row>
    <row r="34" spans="1:10" ht="13.5" thickBot="1">
      <c r="A34" s="1110">
        <v>45075</v>
      </c>
      <c r="B34" s="1107">
        <v>34.86</v>
      </c>
      <c r="C34" s="1108">
        <v>34.31</v>
      </c>
      <c r="D34" s="1108">
        <v>32.97</v>
      </c>
      <c r="E34" s="1109">
        <v>27.99</v>
      </c>
      <c r="F34" s="1107">
        <v>33.82</v>
      </c>
      <c r="G34" s="1108">
        <v>33.299999999999997</v>
      </c>
      <c r="H34" s="1108">
        <v>31.99</v>
      </c>
      <c r="I34" s="1109">
        <v>27</v>
      </c>
      <c r="J34" s="79"/>
    </row>
    <row r="35" spans="1:10" ht="13.5" thickBot="1">
      <c r="A35" s="1212" t="s">
        <v>7</v>
      </c>
      <c r="B35" s="1213">
        <f t="shared" ref="B35:I35" si="4">AVERAGE(B30:B34)</f>
        <v>35.429999999999993</v>
      </c>
      <c r="C35" s="1213">
        <f t="shared" si="4"/>
        <v>34.904000000000003</v>
      </c>
      <c r="D35" s="1213">
        <f>AVERAGE(D30:D34)</f>
        <v>33.433999999999997</v>
      </c>
      <c r="E35" s="1213">
        <f>AVERAGE(E30:E34)</f>
        <v>28.442</v>
      </c>
      <c r="F35" s="1213">
        <f t="shared" si="4"/>
        <v>34.362000000000002</v>
      </c>
      <c r="G35" s="1213">
        <f t="shared" si="4"/>
        <v>33.905999999999992</v>
      </c>
      <c r="H35" s="1213">
        <f t="shared" si="4"/>
        <v>32.44</v>
      </c>
      <c r="I35" s="1214">
        <f t="shared" si="4"/>
        <v>27.427999999999997</v>
      </c>
      <c r="J35" s="79"/>
    </row>
    <row r="36" spans="1:10">
      <c r="A36" s="10">
        <v>42891</v>
      </c>
      <c r="B36" s="115">
        <v>24.74</v>
      </c>
      <c r="C36" s="56">
        <v>24.11</v>
      </c>
      <c r="D36" s="56">
        <v>22.59</v>
      </c>
      <c r="E36" s="62">
        <v>18.27</v>
      </c>
      <c r="F36" s="115">
        <v>23.7</v>
      </c>
      <c r="G36" s="56">
        <v>23.22</v>
      </c>
      <c r="H36" s="56">
        <v>21.71</v>
      </c>
      <c r="I36" s="62">
        <v>17.41</v>
      </c>
      <c r="J36" s="79"/>
    </row>
    <row r="37" spans="1:10">
      <c r="A37" s="1207">
        <v>42898</v>
      </c>
      <c r="B37" s="1211">
        <v>24.08</v>
      </c>
      <c r="C37" s="1209">
        <v>23.51</v>
      </c>
      <c r="D37" s="1209">
        <v>22.03</v>
      </c>
      <c r="E37" s="1210">
        <v>17.489999999999998</v>
      </c>
      <c r="F37" s="1211">
        <v>23.02</v>
      </c>
      <c r="G37" s="1209">
        <v>22.59</v>
      </c>
      <c r="H37" s="1209">
        <v>21.1</v>
      </c>
      <c r="I37" s="1210">
        <v>16.57</v>
      </c>
      <c r="J37" s="79"/>
    </row>
    <row r="38" spans="1:10">
      <c r="A38" s="112">
        <v>42905</v>
      </c>
      <c r="B38" s="115">
        <v>23.56</v>
      </c>
      <c r="C38" s="56">
        <v>22.96</v>
      </c>
      <c r="D38" s="56">
        <v>21.44</v>
      </c>
      <c r="E38" s="62">
        <v>16.95</v>
      </c>
      <c r="F38" s="115">
        <v>22.54</v>
      </c>
      <c r="G38" s="56">
        <v>22.05</v>
      </c>
      <c r="H38" s="56">
        <v>20.56</v>
      </c>
      <c r="I38" s="62">
        <v>16.059999999999999</v>
      </c>
      <c r="J38" s="63"/>
    </row>
    <row r="39" spans="1:10" ht="13.5" thickBot="1">
      <c r="A39" s="1217">
        <v>42912</v>
      </c>
      <c r="B39" s="1211">
        <v>23.36</v>
      </c>
      <c r="C39" s="1209">
        <v>22.75</v>
      </c>
      <c r="D39" s="1209">
        <v>21.25</v>
      </c>
      <c r="E39" s="1210">
        <v>16.600000000000001</v>
      </c>
      <c r="F39" s="1211">
        <v>22.33</v>
      </c>
      <c r="G39" s="1209">
        <v>21.84</v>
      </c>
      <c r="H39" s="1209">
        <v>20.350000000000001</v>
      </c>
      <c r="I39" s="1210">
        <v>15.74</v>
      </c>
      <c r="J39" s="63"/>
    </row>
    <row r="40" spans="1:10" ht="13.5" thickBot="1">
      <c r="A40" s="1212" t="s">
        <v>7</v>
      </c>
      <c r="B40" s="1213">
        <f>AVERAGE(B36:B39)</f>
        <v>23.934999999999999</v>
      </c>
      <c r="C40" s="1213">
        <f t="shared" ref="C40:I40" si="5">AVERAGE(C36:C39)</f>
        <v>23.332500000000003</v>
      </c>
      <c r="D40" s="1213">
        <f t="shared" si="5"/>
        <v>21.827500000000001</v>
      </c>
      <c r="E40" s="1213">
        <f t="shared" si="5"/>
        <v>17.327500000000001</v>
      </c>
      <c r="F40" s="1213">
        <f t="shared" si="5"/>
        <v>22.897499999999997</v>
      </c>
      <c r="G40" s="1213">
        <f t="shared" si="5"/>
        <v>22.425000000000001</v>
      </c>
      <c r="H40" s="1213">
        <f t="shared" si="5"/>
        <v>20.93</v>
      </c>
      <c r="I40" s="1214">
        <f t="shared" si="5"/>
        <v>16.445</v>
      </c>
      <c r="J40" s="63"/>
    </row>
    <row r="41" spans="1:10">
      <c r="A41" s="1110">
        <v>42920</v>
      </c>
      <c r="B41" s="1107">
        <v>23.38</v>
      </c>
      <c r="C41" s="1108">
        <v>22.7</v>
      </c>
      <c r="D41" s="1108">
        <v>21.21</v>
      </c>
      <c r="E41" s="1109">
        <v>16.87</v>
      </c>
      <c r="F41" s="1111">
        <v>22.33</v>
      </c>
      <c r="G41" s="1112">
        <v>21.81</v>
      </c>
      <c r="H41" s="1112">
        <v>20.32</v>
      </c>
      <c r="I41" s="1113">
        <v>15.99</v>
      </c>
      <c r="J41" s="63"/>
    </row>
    <row r="42" spans="1:10">
      <c r="A42" s="1215">
        <v>42926</v>
      </c>
      <c r="B42" s="1211">
        <v>23.35</v>
      </c>
      <c r="C42" s="1209">
        <v>22.7</v>
      </c>
      <c r="D42" s="1209">
        <v>21.22</v>
      </c>
      <c r="E42" s="1210">
        <v>16.86</v>
      </c>
      <c r="F42" s="1208">
        <v>22.31</v>
      </c>
      <c r="G42" s="1209">
        <v>21.82</v>
      </c>
      <c r="H42" s="1209">
        <v>20.34</v>
      </c>
      <c r="I42" s="1210">
        <v>16</v>
      </c>
      <c r="J42" s="63"/>
    </row>
    <row r="43" spans="1:10">
      <c r="A43" s="1110">
        <v>42933</v>
      </c>
      <c r="B43" s="1107">
        <v>24.06</v>
      </c>
      <c r="C43" s="1108">
        <v>23.38</v>
      </c>
      <c r="D43" s="1108">
        <v>22.08</v>
      </c>
      <c r="E43" s="1109">
        <v>17.760000000000002</v>
      </c>
      <c r="F43" s="1114">
        <v>23.01</v>
      </c>
      <c r="G43" s="1108">
        <v>22.51</v>
      </c>
      <c r="H43" s="1108">
        <v>21.21</v>
      </c>
      <c r="I43" s="1109">
        <v>16.89</v>
      </c>
      <c r="J43" s="63"/>
    </row>
    <row r="44" spans="1:10">
      <c r="A44" s="1215">
        <v>42940</v>
      </c>
      <c r="B44" s="1211">
        <v>23.88</v>
      </c>
      <c r="C44" s="1209">
        <v>23.28</v>
      </c>
      <c r="D44" s="1209">
        <v>21.93</v>
      </c>
      <c r="E44" s="1210">
        <v>17.61</v>
      </c>
      <c r="F44" s="1208">
        <v>22.82</v>
      </c>
      <c r="G44" s="1209">
        <v>22.37</v>
      </c>
      <c r="H44" s="1209">
        <v>21.07</v>
      </c>
      <c r="I44" s="1210">
        <v>16.760000000000002</v>
      </c>
      <c r="J44" s="63"/>
    </row>
    <row r="45" spans="1:10" ht="13.5" thickBot="1">
      <c r="A45" s="1110">
        <v>42947</v>
      </c>
      <c r="B45" s="1107">
        <v>24.35</v>
      </c>
      <c r="C45" s="1108">
        <v>23.68</v>
      </c>
      <c r="D45" s="1108">
        <v>22.38</v>
      </c>
      <c r="E45" s="1109">
        <v>18.260000000000002</v>
      </c>
      <c r="F45" s="1107">
        <v>23.31</v>
      </c>
      <c r="G45" s="1108">
        <v>22.79</v>
      </c>
      <c r="H45" s="1108">
        <v>21.51</v>
      </c>
      <c r="I45" s="1109">
        <v>17.39</v>
      </c>
      <c r="J45" s="63"/>
    </row>
    <row r="46" spans="1:10" ht="13.5" thickBot="1">
      <c r="A46" s="1212" t="s">
        <v>7</v>
      </c>
      <c r="B46" s="1213">
        <f t="shared" ref="B46:I46" si="6">AVERAGE(B41:B45)</f>
        <v>23.804000000000002</v>
      </c>
      <c r="C46" s="1213">
        <f t="shared" si="6"/>
        <v>23.148000000000003</v>
      </c>
      <c r="D46" s="1213">
        <f t="shared" si="6"/>
        <v>21.763999999999999</v>
      </c>
      <c r="E46" s="1213">
        <f t="shared" si="6"/>
        <v>17.472000000000001</v>
      </c>
      <c r="F46" s="1213">
        <f t="shared" si="6"/>
        <v>22.756</v>
      </c>
      <c r="G46" s="1213">
        <f t="shared" si="6"/>
        <v>22.26</v>
      </c>
      <c r="H46" s="1213">
        <f t="shared" si="6"/>
        <v>20.89</v>
      </c>
      <c r="I46" s="1214">
        <f t="shared" si="6"/>
        <v>16.606000000000002</v>
      </c>
      <c r="J46" s="63"/>
    </row>
    <row r="47" spans="1:10">
      <c r="A47" s="10">
        <v>42954</v>
      </c>
      <c r="B47" s="1107">
        <v>24.85</v>
      </c>
      <c r="C47" s="1108">
        <v>24.2</v>
      </c>
      <c r="D47" s="1108">
        <v>22.89</v>
      </c>
      <c r="E47" s="1109">
        <v>18.850000000000001</v>
      </c>
      <c r="F47" s="1107">
        <v>23.81</v>
      </c>
      <c r="G47" s="1108">
        <v>23.31</v>
      </c>
      <c r="H47" s="1108">
        <v>22.01</v>
      </c>
      <c r="I47" s="1109">
        <v>18</v>
      </c>
      <c r="J47" s="63"/>
    </row>
    <row r="48" spans="1:10">
      <c r="A48" s="1207">
        <v>42963</v>
      </c>
      <c r="B48" s="1211">
        <v>24.47</v>
      </c>
      <c r="C48" s="1209">
        <v>23.81</v>
      </c>
      <c r="D48" s="1209">
        <v>22.52</v>
      </c>
      <c r="E48" s="1210">
        <v>18.399999999999999</v>
      </c>
      <c r="F48" s="1211">
        <v>23.39</v>
      </c>
      <c r="G48" s="1209">
        <v>22.91</v>
      </c>
      <c r="H48" s="1209">
        <v>21.63</v>
      </c>
      <c r="I48" s="1210">
        <v>17.510000000000002</v>
      </c>
      <c r="J48" s="63"/>
    </row>
    <row r="49" spans="1:10">
      <c r="A49" s="112">
        <v>42968</v>
      </c>
      <c r="B49" s="1107">
        <v>24.1</v>
      </c>
      <c r="C49" s="1108">
        <v>23.44</v>
      </c>
      <c r="D49" s="1108">
        <v>22.17</v>
      </c>
      <c r="E49" s="1109">
        <v>18.25</v>
      </c>
      <c r="F49" s="1107">
        <v>23.02</v>
      </c>
      <c r="G49" s="1108">
        <v>22.55</v>
      </c>
      <c r="H49" s="1108">
        <v>21.27</v>
      </c>
      <c r="I49" s="1109">
        <v>17.34</v>
      </c>
      <c r="J49" s="63"/>
    </row>
    <row r="50" spans="1:10" ht="13.5" thickBot="1">
      <c r="A50" s="1217">
        <v>42975</v>
      </c>
      <c r="B50" s="1211">
        <v>24.09</v>
      </c>
      <c r="C50" s="1209">
        <v>23.46</v>
      </c>
      <c r="D50" s="1209">
        <v>22.16</v>
      </c>
      <c r="E50" s="1210">
        <v>18.239999999999998</v>
      </c>
      <c r="F50" s="1211">
        <v>23.02</v>
      </c>
      <c r="G50" s="1209">
        <v>22.58</v>
      </c>
      <c r="H50" s="1209">
        <v>21.29</v>
      </c>
      <c r="I50" s="1210">
        <v>17.34</v>
      </c>
      <c r="J50" s="63"/>
    </row>
    <row r="51" spans="1:10" ht="13.5" thickBot="1">
      <c r="A51" s="1212" t="s">
        <v>7</v>
      </c>
      <c r="B51" s="1213">
        <f t="shared" ref="B51:I51" si="7">AVERAGE(B47:B50)</f>
        <v>24.377500000000001</v>
      </c>
      <c r="C51" s="1213">
        <f t="shared" si="7"/>
        <v>23.727499999999999</v>
      </c>
      <c r="D51" s="1213">
        <f t="shared" si="7"/>
        <v>22.434999999999999</v>
      </c>
      <c r="E51" s="1213">
        <f t="shared" si="7"/>
        <v>18.434999999999999</v>
      </c>
      <c r="F51" s="1213">
        <f t="shared" si="7"/>
        <v>23.31</v>
      </c>
      <c r="G51" s="1213">
        <f t="shared" si="7"/>
        <v>22.837499999999999</v>
      </c>
      <c r="H51" s="1213">
        <f t="shared" si="7"/>
        <v>21.549999999999997</v>
      </c>
      <c r="I51" s="1214">
        <f t="shared" si="7"/>
        <v>17.547500000000003</v>
      </c>
      <c r="J51" s="63"/>
    </row>
    <row r="52" spans="1:10">
      <c r="A52" s="10">
        <v>42982</v>
      </c>
      <c r="B52" s="1107">
        <v>26.53</v>
      </c>
      <c r="C52" s="1108">
        <v>25.9</v>
      </c>
      <c r="D52" s="1108">
        <v>24.62</v>
      </c>
      <c r="E52" s="1109">
        <v>19.100000000000001</v>
      </c>
      <c r="F52" s="1107">
        <v>25.52</v>
      </c>
      <c r="G52" s="1108">
        <v>25</v>
      </c>
      <c r="H52" s="1108">
        <v>23.72</v>
      </c>
      <c r="I52" s="1109">
        <v>18.22</v>
      </c>
      <c r="J52" s="63"/>
    </row>
    <row r="53" spans="1:10">
      <c r="A53" s="1207">
        <v>42989</v>
      </c>
      <c r="B53" s="1211">
        <v>26.27</v>
      </c>
      <c r="C53" s="1209">
        <v>25.61</v>
      </c>
      <c r="D53" s="1209">
        <v>24.32</v>
      </c>
      <c r="E53" s="1210">
        <v>18.96</v>
      </c>
      <c r="F53" s="1211">
        <v>25.21</v>
      </c>
      <c r="G53" s="1209">
        <v>24.73</v>
      </c>
      <c r="H53" s="1209">
        <v>23.43</v>
      </c>
      <c r="I53" s="1210">
        <v>18.04</v>
      </c>
      <c r="J53" s="63"/>
    </row>
    <row r="54" spans="1:10">
      <c r="A54" s="112">
        <v>42996</v>
      </c>
      <c r="B54" s="1107">
        <v>25.77</v>
      </c>
      <c r="C54" s="1108">
        <v>25.14</v>
      </c>
      <c r="D54" s="1108">
        <v>23.84</v>
      </c>
      <c r="E54" s="1109">
        <v>18.920000000000002</v>
      </c>
      <c r="F54" s="1107">
        <v>24.72</v>
      </c>
      <c r="G54" s="1108">
        <v>24.25</v>
      </c>
      <c r="H54" s="1108">
        <v>22.94</v>
      </c>
      <c r="I54" s="1109">
        <v>18.05</v>
      </c>
      <c r="J54" s="63"/>
    </row>
    <row r="55" spans="1:10" ht="13.5" thickBot="1">
      <c r="A55" s="1217">
        <v>43003</v>
      </c>
      <c r="B55" s="1211">
        <v>25.13</v>
      </c>
      <c r="C55" s="1209">
        <v>24.63</v>
      </c>
      <c r="D55" s="1209">
        <v>23.32</v>
      </c>
      <c r="E55" s="1210">
        <v>19.75</v>
      </c>
      <c r="F55" s="1211">
        <v>24.03</v>
      </c>
      <c r="G55" s="1209">
        <v>23.71</v>
      </c>
      <c r="H55" s="1209">
        <v>22.41</v>
      </c>
      <c r="I55" s="1210">
        <v>18.899999999999999</v>
      </c>
      <c r="J55" s="63"/>
    </row>
    <row r="56" spans="1:10" ht="13.5" thickBot="1">
      <c r="A56" s="1212" t="s">
        <v>7</v>
      </c>
      <c r="B56" s="1213">
        <f t="shared" ref="B56:I56" si="8">AVERAGE(B52:B55)</f>
        <v>25.924999999999997</v>
      </c>
      <c r="C56" s="1213">
        <f>AVERAGE(C52:C55)</f>
        <v>25.32</v>
      </c>
      <c r="D56" s="1213">
        <f t="shared" si="8"/>
        <v>24.024999999999999</v>
      </c>
      <c r="E56" s="1213">
        <f t="shared" si="8"/>
        <v>19.182500000000001</v>
      </c>
      <c r="F56" s="1213">
        <f t="shared" si="8"/>
        <v>24.87</v>
      </c>
      <c r="G56" s="1213">
        <f t="shared" si="8"/>
        <v>24.422499999999999</v>
      </c>
      <c r="H56" s="1213">
        <f t="shared" si="8"/>
        <v>23.125</v>
      </c>
      <c r="I56" s="1214">
        <f t="shared" si="8"/>
        <v>18.302500000000002</v>
      </c>
      <c r="J56" s="63"/>
    </row>
    <row r="57" spans="1:10">
      <c r="A57" s="1110">
        <v>43010</v>
      </c>
      <c r="B57" s="1107">
        <v>25.06</v>
      </c>
      <c r="C57" s="1108">
        <v>24.43</v>
      </c>
      <c r="D57" s="1108">
        <v>23.13</v>
      </c>
      <c r="E57" s="1109">
        <v>19.88</v>
      </c>
      <c r="F57" s="1111">
        <v>24.03</v>
      </c>
      <c r="G57" s="1112">
        <v>23.51</v>
      </c>
      <c r="H57" s="1112">
        <v>22.23</v>
      </c>
      <c r="I57" s="1113">
        <v>18.989999999999998</v>
      </c>
      <c r="J57" s="127"/>
    </row>
    <row r="58" spans="1:10">
      <c r="A58" s="1215">
        <v>43017</v>
      </c>
      <c r="B58" s="1211">
        <v>25.13</v>
      </c>
      <c r="C58" s="1209">
        <v>24.49</v>
      </c>
      <c r="D58" s="1209">
        <v>23.18</v>
      </c>
      <c r="E58" s="1210">
        <v>19.87</v>
      </c>
      <c r="F58" s="1208">
        <v>24.09</v>
      </c>
      <c r="G58" s="1209">
        <v>23.61</v>
      </c>
      <c r="H58" s="1209">
        <v>22.31</v>
      </c>
      <c r="I58" s="1210">
        <v>19.010000000000002</v>
      </c>
      <c r="J58" s="127"/>
    </row>
    <row r="59" spans="1:10" s="79" customFormat="1">
      <c r="A59" s="1110">
        <v>43024</v>
      </c>
      <c r="B59" s="1107">
        <v>24.93</v>
      </c>
      <c r="C59" s="1108">
        <v>24.3</v>
      </c>
      <c r="D59" s="1108">
        <v>23.02</v>
      </c>
      <c r="E59" s="1109">
        <v>19.78</v>
      </c>
      <c r="F59" s="1114">
        <v>23.93</v>
      </c>
      <c r="G59" s="1108">
        <v>23.43</v>
      </c>
      <c r="H59" s="1108">
        <v>22.13</v>
      </c>
      <c r="I59" s="1109">
        <v>18.91</v>
      </c>
      <c r="J59" s="127"/>
    </row>
    <row r="60" spans="1:10" s="79" customFormat="1">
      <c r="A60" s="1215">
        <v>43031</v>
      </c>
      <c r="B60" s="1211">
        <v>24.94</v>
      </c>
      <c r="C60" s="1209">
        <v>24.31</v>
      </c>
      <c r="D60" s="1209">
        <v>23.01</v>
      </c>
      <c r="E60" s="1210">
        <v>20.079999999999998</v>
      </c>
      <c r="F60" s="1208">
        <v>23.92</v>
      </c>
      <c r="G60" s="1209">
        <v>23.41</v>
      </c>
      <c r="H60" s="1209">
        <v>22.11</v>
      </c>
      <c r="I60" s="1210">
        <v>19.21</v>
      </c>
      <c r="J60" s="127"/>
    </row>
    <row r="61" spans="1:10" s="79" customFormat="1" ht="13.5" thickBot="1">
      <c r="A61" s="1110">
        <v>43038</v>
      </c>
      <c r="B61" s="1107">
        <v>25.36</v>
      </c>
      <c r="C61" s="1108">
        <v>24.66</v>
      </c>
      <c r="D61" s="1108">
        <v>23.42</v>
      </c>
      <c r="E61" s="1109">
        <v>20.27</v>
      </c>
      <c r="F61" s="1107">
        <v>24.31</v>
      </c>
      <c r="G61" s="1108">
        <v>23.79</v>
      </c>
      <c r="H61" s="1108">
        <v>22.5</v>
      </c>
      <c r="I61" s="1109">
        <v>19.39</v>
      </c>
      <c r="J61" s="127"/>
    </row>
    <row r="62" spans="1:10" s="79" customFormat="1" ht="13.5" thickBot="1">
      <c r="A62" s="1212" t="s">
        <v>7</v>
      </c>
      <c r="B62" s="1213">
        <f t="shared" ref="B62:I62" si="9">AVERAGE(B57:B61)</f>
        <v>25.084</v>
      </c>
      <c r="C62" s="1213">
        <f t="shared" si="9"/>
        <v>24.437999999999999</v>
      </c>
      <c r="D62" s="1213">
        <f t="shared" si="9"/>
        <v>23.152000000000001</v>
      </c>
      <c r="E62" s="1213">
        <f t="shared" si="9"/>
        <v>19.975999999999999</v>
      </c>
      <c r="F62" s="1213">
        <f t="shared" si="9"/>
        <v>24.056000000000004</v>
      </c>
      <c r="G62" s="1213">
        <f t="shared" si="9"/>
        <v>23.55</v>
      </c>
      <c r="H62" s="1213">
        <f t="shared" si="9"/>
        <v>22.256</v>
      </c>
      <c r="I62" s="1214">
        <f t="shared" si="9"/>
        <v>19.102</v>
      </c>
      <c r="J62" s="563"/>
    </row>
    <row r="63" spans="1:10" s="79" customFormat="1">
      <c r="A63" s="10">
        <v>43045</v>
      </c>
      <c r="B63" s="1107">
        <v>25.83</v>
      </c>
      <c r="C63" s="1108">
        <v>25.17</v>
      </c>
      <c r="D63" s="1108">
        <v>23.68</v>
      </c>
      <c r="E63" s="1109">
        <v>20.54</v>
      </c>
      <c r="F63" s="1107">
        <v>24.8</v>
      </c>
      <c r="G63" s="1108">
        <v>24.3</v>
      </c>
      <c r="H63" s="1108">
        <v>23.02</v>
      </c>
      <c r="I63" s="1109">
        <v>19.68</v>
      </c>
      <c r="J63" s="127"/>
    </row>
    <row r="64" spans="1:10" s="79" customFormat="1">
      <c r="A64" s="1207">
        <v>43052</v>
      </c>
      <c r="B64" s="1211">
        <v>26.33</v>
      </c>
      <c r="C64" s="1209">
        <v>25.67</v>
      </c>
      <c r="D64" s="1209">
        <v>24.38</v>
      </c>
      <c r="E64" s="1210">
        <v>21.05</v>
      </c>
      <c r="F64" s="1211">
        <v>25.28</v>
      </c>
      <c r="G64" s="1209">
        <v>24.79</v>
      </c>
      <c r="H64" s="1209">
        <v>23.49</v>
      </c>
      <c r="I64" s="1210">
        <v>20.190000000000001</v>
      </c>
      <c r="J64" s="127"/>
    </row>
    <row r="65" spans="1:10" s="79" customFormat="1">
      <c r="A65" s="112">
        <v>43059</v>
      </c>
      <c r="B65" s="1107">
        <v>25.91</v>
      </c>
      <c r="C65" s="1108">
        <v>25.41</v>
      </c>
      <c r="D65" s="1108">
        <v>24.11</v>
      </c>
      <c r="E65" s="1109">
        <v>20.78</v>
      </c>
      <c r="F65" s="1107">
        <v>24.81</v>
      </c>
      <c r="G65" s="1108">
        <v>24.48</v>
      </c>
      <c r="H65" s="1108">
        <v>23.18</v>
      </c>
      <c r="I65" s="1109">
        <v>19.86</v>
      </c>
      <c r="J65" s="127"/>
    </row>
    <row r="66" spans="1:10" s="79" customFormat="1" ht="13.5" thickBot="1">
      <c r="A66" s="1217">
        <v>43066</v>
      </c>
      <c r="B66" s="1211">
        <v>25.86</v>
      </c>
      <c r="C66" s="1209">
        <v>25.21</v>
      </c>
      <c r="D66" s="1209">
        <v>24.19</v>
      </c>
      <c r="E66" s="1210">
        <v>20.85</v>
      </c>
      <c r="F66" s="1211">
        <v>24.81</v>
      </c>
      <c r="G66" s="1209">
        <v>24.33</v>
      </c>
      <c r="H66" s="1209">
        <v>23.3</v>
      </c>
      <c r="I66" s="1210">
        <v>19.989999999999998</v>
      </c>
      <c r="J66" s="127"/>
    </row>
    <row r="67" spans="1:10" s="79" customFormat="1" ht="13.5" thickBot="1">
      <c r="A67" s="1212" t="s">
        <v>7</v>
      </c>
      <c r="B67" s="1213">
        <f>AVERAGE(B63:B66)</f>
        <v>25.982499999999998</v>
      </c>
      <c r="C67" s="1213">
        <f t="shared" ref="C67:I67" si="10">AVERAGE(C63:C66)</f>
        <v>25.365000000000002</v>
      </c>
      <c r="D67" s="1213">
        <f t="shared" si="10"/>
        <v>24.09</v>
      </c>
      <c r="E67" s="1213">
        <f t="shared" si="10"/>
        <v>20.805</v>
      </c>
      <c r="F67" s="1213">
        <f t="shared" si="10"/>
        <v>24.925000000000001</v>
      </c>
      <c r="G67" s="1213">
        <f t="shared" si="10"/>
        <v>24.475000000000001</v>
      </c>
      <c r="H67" s="1213">
        <f t="shared" si="10"/>
        <v>23.247499999999999</v>
      </c>
      <c r="I67" s="1214">
        <f t="shared" si="10"/>
        <v>19.93</v>
      </c>
      <c r="J67" s="127"/>
    </row>
    <row r="68" spans="1:10" s="79" customFormat="1" ht="12.75" customHeight="1">
      <c r="A68" s="10">
        <v>43073</v>
      </c>
      <c r="B68" s="1107">
        <v>26.17</v>
      </c>
      <c r="C68" s="1108">
        <v>25.49</v>
      </c>
      <c r="D68" s="1108">
        <v>24.48</v>
      </c>
      <c r="E68" s="1109">
        <v>21.15</v>
      </c>
      <c r="F68" s="1107">
        <v>25.1</v>
      </c>
      <c r="G68" s="1108">
        <v>24.61</v>
      </c>
      <c r="H68" s="1108">
        <v>23.59</v>
      </c>
      <c r="I68" s="1109">
        <v>20.29</v>
      </c>
      <c r="J68" s="127"/>
    </row>
    <row r="69" spans="1:10" s="79" customFormat="1" ht="12.75" customHeight="1">
      <c r="A69" s="1207">
        <v>43080</v>
      </c>
      <c r="B69" s="1211">
        <v>25.57</v>
      </c>
      <c r="C69" s="1209">
        <v>24.98</v>
      </c>
      <c r="D69" s="1209">
        <v>23.97</v>
      </c>
      <c r="E69" s="1210">
        <v>20.6</v>
      </c>
      <c r="F69" s="1211">
        <v>24.51</v>
      </c>
      <c r="G69" s="1209">
        <v>24.08</v>
      </c>
      <c r="H69" s="1209">
        <v>23.04</v>
      </c>
      <c r="I69" s="1210">
        <v>19.739999999999998</v>
      </c>
      <c r="J69" s="127"/>
    </row>
    <row r="70" spans="1:10" s="79" customFormat="1" ht="12.75" customHeight="1">
      <c r="A70" s="112">
        <v>43087</v>
      </c>
      <c r="B70" s="1107">
        <v>25.56</v>
      </c>
      <c r="C70" s="1108">
        <v>24.93</v>
      </c>
      <c r="D70" s="1108">
        <v>23.92</v>
      </c>
      <c r="E70" s="1109">
        <v>20.89</v>
      </c>
      <c r="F70" s="1107">
        <v>24.51</v>
      </c>
      <c r="G70" s="1108">
        <v>24.02</v>
      </c>
      <c r="H70" s="1108">
        <v>23</v>
      </c>
      <c r="I70" s="1109">
        <v>20.02</v>
      </c>
      <c r="J70" s="127"/>
    </row>
    <row r="71" spans="1:10" ht="13.5" thickBot="1">
      <c r="A71" s="1217">
        <v>43096</v>
      </c>
      <c r="B71" s="1211">
        <v>25.7</v>
      </c>
      <c r="C71" s="1209">
        <v>25.05</v>
      </c>
      <c r="D71" s="1209">
        <v>24.05</v>
      </c>
      <c r="E71" s="1210">
        <v>21.07</v>
      </c>
      <c r="F71" s="1211">
        <v>24.68</v>
      </c>
      <c r="G71" s="1209">
        <v>24.16</v>
      </c>
      <c r="H71" s="1209">
        <v>23.17</v>
      </c>
      <c r="I71" s="1210">
        <v>20.239999999999998</v>
      </c>
      <c r="J71" s="127"/>
    </row>
    <row r="72" spans="1:10" ht="13.5" thickBot="1">
      <c r="A72" s="1212" t="s">
        <v>7</v>
      </c>
      <c r="B72" s="1213">
        <f t="shared" ref="B72:I72" si="11">AVERAGE(B68:B71)</f>
        <v>25.75</v>
      </c>
      <c r="C72" s="1213">
        <f t="shared" si="11"/>
        <v>25.112500000000001</v>
      </c>
      <c r="D72" s="1213">
        <f t="shared" si="11"/>
        <v>24.105</v>
      </c>
      <c r="E72" s="1213">
        <f t="shared" si="11"/>
        <v>20.927500000000002</v>
      </c>
      <c r="F72" s="1213">
        <f t="shared" si="11"/>
        <v>24.700000000000003</v>
      </c>
      <c r="G72" s="1213">
        <f t="shared" si="11"/>
        <v>24.217499999999998</v>
      </c>
      <c r="H72" s="1213">
        <f t="shared" si="11"/>
        <v>23.2</v>
      </c>
      <c r="I72" s="1214">
        <f t="shared" si="11"/>
        <v>20.072499999999998</v>
      </c>
      <c r="J72" s="127"/>
    </row>
    <row r="73" spans="1:10" ht="13.5" thickBot="1">
      <c r="A73" s="651"/>
      <c r="B73" s="651"/>
      <c r="C73" s="651"/>
      <c r="D73" s="651"/>
      <c r="E73" s="651"/>
      <c r="F73" s="651"/>
      <c r="G73" s="651"/>
      <c r="H73" s="651"/>
      <c r="I73" s="651"/>
      <c r="J73" s="127"/>
    </row>
    <row r="74" spans="1:10" ht="15.75" thickBot="1">
      <c r="A74" s="651"/>
      <c r="B74" s="849"/>
      <c r="C74" s="651"/>
      <c r="D74" s="651"/>
      <c r="E74" s="651"/>
      <c r="F74" s="651"/>
      <c r="G74" s="651"/>
      <c r="H74" s="651"/>
      <c r="I74" s="651"/>
      <c r="J74" s="127"/>
    </row>
    <row r="75" spans="1:10">
      <c r="A75" s="127"/>
      <c r="B75" s="127"/>
      <c r="C75" s="127"/>
      <c r="D75" s="127"/>
      <c r="E75" s="127"/>
      <c r="F75" s="127"/>
      <c r="G75" s="127"/>
      <c r="H75" s="127"/>
      <c r="I75" s="127"/>
      <c r="J75" s="127"/>
    </row>
    <row r="76" spans="1:10">
      <c r="A76" s="127"/>
      <c r="B76" s="127"/>
      <c r="C76" s="127"/>
      <c r="D76" s="127"/>
      <c r="E76" s="127"/>
      <c r="F76" s="127"/>
      <c r="G76" s="127"/>
      <c r="H76" s="127"/>
      <c r="I76" s="127"/>
      <c r="J76" s="127"/>
    </row>
    <row r="77" spans="1:10">
      <c r="A77" s="127"/>
      <c r="B77" s="127"/>
      <c r="C77" s="127"/>
      <c r="D77" s="127"/>
      <c r="E77" s="127"/>
      <c r="F77" s="127"/>
      <c r="G77" s="127"/>
      <c r="H77" s="127"/>
      <c r="I77" s="127"/>
      <c r="J77" s="127"/>
    </row>
    <row r="78" spans="1:10">
      <c r="A78" s="127"/>
      <c r="B78" s="127"/>
      <c r="C78" s="127"/>
      <c r="D78" s="127"/>
      <c r="E78" s="127"/>
      <c r="F78" s="127"/>
      <c r="G78" s="127"/>
      <c r="H78" s="127"/>
      <c r="I78" s="127"/>
      <c r="J78" s="127"/>
    </row>
    <row r="79" spans="1:10">
      <c r="A79" s="127"/>
      <c r="B79" s="127"/>
      <c r="C79" s="127"/>
      <c r="D79" s="127"/>
      <c r="E79" s="127"/>
      <c r="F79" s="127"/>
      <c r="G79" s="127"/>
      <c r="H79" s="127"/>
      <c r="I79" s="127"/>
      <c r="J79" s="127"/>
    </row>
    <row r="80" spans="1:10">
      <c r="A80" s="127"/>
      <c r="B80" s="127"/>
      <c r="C80" s="127"/>
      <c r="D80" s="127"/>
      <c r="E80" s="127"/>
      <c r="F80" s="127"/>
      <c r="G80" s="127"/>
      <c r="H80" s="127"/>
      <c r="I80" s="127"/>
      <c r="J80" s="127"/>
    </row>
    <row r="81" spans="1:10">
      <c r="A81" s="127"/>
      <c r="B81" s="127"/>
      <c r="C81" s="127"/>
      <c r="D81" s="127"/>
      <c r="E81" s="127"/>
      <c r="F81" s="127"/>
      <c r="G81" s="127"/>
      <c r="H81" s="127"/>
      <c r="I81" s="127"/>
      <c r="J81" s="127"/>
    </row>
    <row r="82" spans="1:10">
      <c r="A82" s="127"/>
      <c r="B82" s="127"/>
      <c r="C82" s="127"/>
      <c r="D82" s="127"/>
      <c r="E82" s="127"/>
      <c r="F82" s="127"/>
      <c r="G82" s="127"/>
      <c r="H82" s="127"/>
      <c r="I82" s="127"/>
      <c r="J82" s="127"/>
    </row>
    <row r="83" spans="1:10">
      <c r="A83" s="127"/>
      <c r="B83" s="127"/>
      <c r="C83" s="127"/>
      <c r="D83" s="127"/>
      <c r="E83" s="127"/>
      <c r="F83" s="127"/>
      <c r="G83" s="127"/>
      <c r="H83" s="127"/>
      <c r="I83" s="127"/>
      <c r="J83" s="127"/>
    </row>
    <row r="84" spans="1:10">
      <c r="A84" s="127"/>
      <c r="B84" s="127"/>
      <c r="C84" s="127"/>
      <c r="D84" s="127"/>
      <c r="E84" s="127"/>
      <c r="F84" s="127"/>
      <c r="G84" s="127"/>
      <c r="H84" s="127"/>
      <c r="I84" s="127"/>
      <c r="J84" s="127"/>
    </row>
    <row r="85" spans="1:10">
      <c r="A85" s="127"/>
      <c r="B85" s="127"/>
      <c r="C85" s="127"/>
      <c r="D85" s="127"/>
      <c r="E85" s="127"/>
      <c r="F85" s="127"/>
      <c r="G85" s="127"/>
      <c r="H85" s="127"/>
      <c r="I85" s="127"/>
      <c r="J85" s="127"/>
    </row>
    <row r="86" spans="1:10">
      <c r="A86" s="127"/>
      <c r="B86" s="127"/>
      <c r="C86" s="127"/>
      <c r="D86" s="127"/>
      <c r="E86" s="127"/>
      <c r="F86" s="127"/>
      <c r="G86" s="127"/>
      <c r="H86" s="127"/>
      <c r="I86" s="127"/>
      <c r="J86" s="127"/>
    </row>
    <row r="87" spans="1:10">
      <c r="A87" s="127"/>
      <c r="B87" s="127"/>
      <c r="C87" s="127"/>
      <c r="D87" s="127"/>
      <c r="E87" s="127"/>
      <c r="F87" s="127"/>
      <c r="G87" s="127"/>
      <c r="H87" s="127"/>
      <c r="I87" s="127"/>
      <c r="J87" s="127"/>
    </row>
    <row r="88" spans="1:10">
      <c r="A88" s="127"/>
      <c r="B88" s="127"/>
      <c r="C88" s="127"/>
      <c r="D88" s="127"/>
      <c r="E88" s="127"/>
      <c r="F88" s="127"/>
      <c r="G88" s="127"/>
      <c r="H88" s="127"/>
      <c r="I88" s="127"/>
      <c r="J88" s="127"/>
    </row>
    <row r="89" spans="1:10">
      <c r="A89" s="127"/>
      <c r="B89" s="127"/>
      <c r="C89" s="127"/>
      <c r="D89" s="127"/>
      <c r="E89" s="127"/>
      <c r="F89" s="127"/>
      <c r="G89" s="127"/>
      <c r="H89" s="127"/>
      <c r="I89" s="127"/>
      <c r="J89" s="127"/>
    </row>
    <row r="90" spans="1:10">
      <c r="A90" s="127"/>
      <c r="B90" s="127"/>
      <c r="C90" s="127"/>
      <c r="D90" s="127"/>
      <c r="E90" s="127"/>
      <c r="F90" s="127"/>
      <c r="G90" s="127"/>
      <c r="H90" s="127"/>
      <c r="I90" s="127"/>
      <c r="J90" s="127"/>
    </row>
    <row r="91" spans="1:10">
      <c r="A91" s="127"/>
      <c r="B91" s="127"/>
      <c r="C91" s="127"/>
      <c r="D91" s="127"/>
      <c r="E91" s="127"/>
      <c r="F91" s="127"/>
      <c r="G91" s="127"/>
      <c r="H91" s="127"/>
      <c r="I91" s="127"/>
      <c r="J91" s="127"/>
    </row>
    <row r="92" spans="1:10">
      <c r="A92" s="127"/>
      <c r="B92" s="127"/>
      <c r="C92" s="127"/>
      <c r="D92" s="127"/>
      <c r="E92" s="127"/>
      <c r="F92" s="127"/>
      <c r="G92" s="127"/>
      <c r="H92" s="127"/>
      <c r="I92" s="127"/>
      <c r="J92" s="127"/>
    </row>
    <row r="93" spans="1:10">
      <c r="A93" s="127"/>
      <c r="B93" s="127"/>
      <c r="C93" s="127"/>
      <c r="D93" s="127"/>
      <c r="E93" s="127"/>
      <c r="F93" s="127"/>
      <c r="G93" s="127"/>
      <c r="H93" s="127"/>
      <c r="I93" s="127"/>
      <c r="J93" s="127"/>
    </row>
    <row r="94" spans="1:10">
      <c r="A94" s="127"/>
      <c r="B94" s="127"/>
      <c r="C94" s="127"/>
      <c r="D94" s="127"/>
      <c r="E94" s="127"/>
      <c r="F94" s="127"/>
      <c r="G94" s="127"/>
      <c r="H94" s="127"/>
      <c r="I94" s="127"/>
      <c r="J94" s="127"/>
    </row>
    <row r="95" spans="1:10">
      <c r="A95" s="127"/>
      <c r="B95" s="127"/>
      <c r="C95" s="127"/>
      <c r="D95" s="127"/>
      <c r="E95" s="127"/>
      <c r="F95" s="127"/>
      <c r="G95" s="127"/>
      <c r="H95" s="127"/>
      <c r="I95" s="127"/>
      <c r="J95" s="127"/>
    </row>
    <row r="96" spans="1:10">
      <c r="A96" s="127"/>
      <c r="B96" s="127"/>
      <c r="C96" s="127"/>
      <c r="D96" s="127"/>
      <c r="E96" s="127"/>
      <c r="F96" s="127"/>
      <c r="G96" s="127"/>
      <c r="H96" s="127"/>
      <c r="I96" s="127"/>
      <c r="J96" s="127"/>
    </row>
    <row r="97" spans="1:10">
      <c r="A97" s="127"/>
      <c r="B97" s="127"/>
      <c r="C97" s="127"/>
      <c r="D97" s="127"/>
      <c r="E97" s="127"/>
      <c r="F97" s="127"/>
      <c r="G97" s="127"/>
      <c r="H97" s="127"/>
      <c r="I97" s="127"/>
      <c r="J97" s="127"/>
    </row>
    <row r="98" spans="1:10">
      <c r="A98" s="127"/>
      <c r="B98" s="127"/>
      <c r="C98" s="127"/>
      <c r="D98" s="127"/>
      <c r="E98" s="127"/>
      <c r="F98" s="127"/>
      <c r="G98" s="127"/>
      <c r="H98" s="127"/>
      <c r="I98" s="127"/>
      <c r="J98" s="127"/>
    </row>
    <row r="99" spans="1:10">
      <c r="A99" s="127"/>
      <c r="B99" s="127"/>
      <c r="C99" s="127"/>
      <c r="D99" s="127"/>
      <c r="E99" s="127"/>
      <c r="F99" s="127"/>
      <c r="G99" s="127"/>
      <c r="H99" s="127"/>
      <c r="I99" s="127"/>
      <c r="J99" s="127"/>
    </row>
    <row r="100" spans="1:10">
      <c r="A100" s="127"/>
      <c r="B100" s="127"/>
      <c r="C100" s="127"/>
      <c r="D100" s="127"/>
      <c r="E100" s="127"/>
      <c r="F100" s="127"/>
      <c r="G100" s="127"/>
      <c r="H100" s="127"/>
      <c r="I100" s="127"/>
      <c r="J100" s="127"/>
    </row>
    <row r="101" spans="1:10">
      <c r="A101" s="127"/>
      <c r="B101" s="127"/>
      <c r="C101" s="127"/>
      <c r="D101" s="127"/>
      <c r="E101" s="127"/>
      <c r="F101" s="127"/>
      <c r="G101" s="127"/>
      <c r="H101" s="127"/>
      <c r="I101" s="127"/>
      <c r="J101" s="127"/>
    </row>
    <row r="102" spans="1:10">
      <c r="A102" s="127"/>
      <c r="B102" s="127"/>
      <c r="C102" s="127"/>
      <c r="D102" s="127"/>
      <c r="E102" s="127"/>
      <c r="F102" s="127"/>
      <c r="G102" s="127"/>
      <c r="H102" s="127"/>
      <c r="I102" s="127"/>
      <c r="J102" s="127"/>
    </row>
    <row r="103" spans="1:10">
      <c r="A103" s="127"/>
      <c r="B103" s="127"/>
      <c r="C103" s="127"/>
      <c r="D103" s="127"/>
      <c r="E103" s="127"/>
      <c r="F103" s="127"/>
      <c r="G103" s="127"/>
      <c r="H103" s="127"/>
      <c r="I103" s="127"/>
      <c r="J103" s="127"/>
    </row>
    <row r="104" spans="1:10">
      <c r="A104" s="127"/>
      <c r="B104" s="127"/>
      <c r="C104" s="127"/>
      <c r="D104" s="127"/>
      <c r="E104" s="127"/>
      <c r="F104" s="127"/>
      <c r="G104" s="127"/>
      <c r="H104" s="127"/>
      <c r="I104" s="127"/>
      <c r="J104" s="127"/>
    </row>
    <row r="105" spans="1:10">
      <c r="A105" s="127"/>
      <c r="B105" s="127"/>
      <c r="C105" s="127"/>
      <c r="D105" s="127"/>
      <c r="E105" s="127"/>
      <c r="F105" s="127"/>
      <c r="G105" s="127"/>
      <c r="H105" s="127"/>
      <c r="I105" s="127"/>
      <c r="J105" s="127"/>
    </row>
    <row r="106" spans="1:10">
      <c r="A106" s="127"/>
      <c r="B106" s="127"/>
      <c r="C106" s="127"/>
      <c r="D106" s="127"/>
      <c r="E106" s="127"/>
      <c r="F106" s="127"/>
      <c r="G106" s="127"/>
      <c r="H106" s="127"/>
      <c r="I106" s="127"/>
      <c r="J106" s="127"/>
    </row>
    <row r="107" spans="1:10">
      <c r="A107" s="127"/>
      <c r="B107" s="127"/>
      <c r="C107" s="127"/>
      <c r="D107" s="127"/>
      <c r="E107" s="127"/>
      <c r="F107" s="127"/>
      <c r="G107" s="127"/>
      <c r="H107" s="127"/>
      <c r="I107" s="127"/>
      <c r="J107" s="127"/>
    </row>
    <row r="108" spans="1:10">
      <c r="A108" s="127"/>
      <c r="B108" s="127"/>
      <c r="C108" s="127"/>
      <c r="D108" s="127"/>
      <c r="E108" s="127"/>
      <c r="F108" s="127"/>
      <c r="G108" s="127"/>
      <c r="H108" s="127"/>
      <c r="I108" s="127"/>
      <c r="J108" s="127"/>
    </row>
    <row r="109" spans="1:10">
      <c r="A109" s="127"/>
      <c r="B109" s="127"/>
      <c r="C109" s="127"/>
      <c r="D109" s="127"/>
      <c r="E109" s="127"/>
      <c r="F109" s="127"/>
      <c r="G109" s="127"/>
      <c r="H109" s="127"/>
      <c r="I109" s="127"/>
      <c r="J109" s="127"/>
    </row>
  </sheetData>
  <mergeCells count="8">
    <mergeCell ref="B7:E7"/>
    <mergeCell ref="F7:I7"/>
    <mergeCell ref="A1:I1"/>
    <mergeCell ref="A6:I6"/>
    <mergeCell ref="A2:I2"/>
    <mergeCell ref="A3:I3"/>
    <mergeCell ref="A4:I4"/>
    <mergeCell ref="A5:I5"/>
  </mergeCells>
  <pageMargins left="1.47" right="0.42" top="0.6" bottom="1" header="0" footer="0"/>
  <pageSetup scale="6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/>
  <dimension ref="A1:O109"/>
  <sheetViews>
    <sheetView view="pageBreakPreview" topLeftCell="A28" zoomScale="145" zoomScaleNormal="75" zoomScaleSheetLayoutView="145" workbookViewId="0">
      <selection activeCell="C42" sqref="C42"/>
    </sheetView>
  </sheetViews>
  <sheetFormatPr baseColWidth="10" defaultColWidth="11.42578125" defaultRowHeight="12.75"/>
  <cols>
    <col min="1" max="1" width="16.28515625" customWidth="1"/>
    <col min="2" max="2" width="11.7109375" customWidth="1"/>
    <col min="4" max="4" width="11.28515625" customWidth="1"/>
    <col min="6" max="6" width="12.140625" customWidth="1"/>
    <col min="10" max="10" width="4" customWidth="1"/>
  </cols>
  <sheetData>
    <row r="1" spans="1:11" ht="20.25">
      <c r="A1" s="1575" t="s">
        <v>495</v>
      </c>
      <c r="B1" s="1576"/>
      <c r="C1" s="1576" t="s">
        <v>495</v>
      </c>
      <c r="D1" s="1576"/>
      <c r="E1" s="1576"/>
      <c r="F1" s="1576"/>
      <c r="G1" s="1576"/>
      <c r="H1" s="1576"/>
      <c r="I1" s="1577"/>
      <c r="J1" s="63"/>
    </row>
    <row r="2" spans="1:11" ht="20.25" customHeight="1">
      <c r="A2" s="1581" t="s">
        <v>569</v>
      </c>
      <c r="B2" s="1582"/>
      <c r="C2" s="1582"/>
      <c r="D2" s="1582"/>
      <c r="E2" s="1582"/>
      <c r="F2" s="1582"/>
      <c r="G2" s="1582"/>
      <c r="H2" s="1582"/>
      <c r="I2" s="1583"/>
      <c r="J2" s="63"/>
    </row>
    <row r="3" spans="1:11">
      <c r="A3" s="1549"/>
      <c r="B3" s="1550"/>
      <c r="C3" s="1550"/>
      <c r="D3" s="1550"/>
      <c r="E3" s="1550"/>
      <c r="F3" s="1550"/>
      <c r="G3" s="1550"/>
      <c r="H3" s="1550"/>
      <c r="I3" s="1551"/>
      <c r="J3" s="63"/>
    </row>
    <row r="4" spans="1:11">
      <c r="A4" s="1549" t="s">
        <v>22</v>
      </c>
      <c r="B4" s="1550"/>
      <c r="C4" s="1550"/>
      <c r="D4" s="1550"/>
      <c r="E4" s="1550"/>
      <c r="F4" s="1550"/>
      <c r="G4" s="1550"/>
      <c r="H4" s="1550"/>
      <c r="I4" s="1551"/>
      <c r="J4" s="63"/>
    </row>
    <row r="5" spans="1:11">
      <c r="A5" s="1549" t="s">
        <v>23</v>
      </c>
      <c r="B5" s="1550"/>
      <c r="C5" s="1550"/>
      <c r="D5" s="1550"/>
      <c r="E5" s="1550"/>
      <c r="F5" s="1550"/>
      <c r="G5" s="1550"/>
      <c r="H5" s="1550"/>
      <c r="I5" s="1551"/>
      <c r="J5" s="63"/>
    </row>
    <row r="6" spans="1:11" ht="18.75" customHeight="1" thickBot="1">
      <c r="A6" s="1578" t="s">
        <v>0</v>
      </c>
      <c r="B6" s="1579"/>
      <c r="C6" s="1579"/>
      <c r="D6" s="1579"/>
      <c r="E6" s="1579"/>
      <c r="F6" s="1579"/>
      <c r="G6" s="1579"/>
      <c r="H6" s="1579"/>
      <c r="I6" s="1580"/>
      <c r="J6" s="63"/>
    </row>
    <row r="7" spans="1:11" ht="24.75" customHeight="1" thickBot="1">
      <c r="A7" s="1199" t="s">
        <v>1</v>
      </c>
      <c r="B7" s="1561" t="s">
        <v>2</v>
      </c>
      <c r="C7" s="1562"/>
      <c r="D7" s="1562"/>
      <c r="E7" s="1563"/>
      <c r="F7" s="1564" t="s">
        <v>3</v>
      </c>
      <c r="G7" s="1565"/>
      <c r="H7" s="1565"/>
      <c r="I7" s="1566"/>
      <c r="J7" s="63"/>
    </row>
    <row r="8" spans="1:11" ht="21" customHeight="1" thickBot="1">
      <c r="A8" s="1200" t="s">
        <v>21</v>
      </c>
      <c r="B8" s="1201" t="s">
        <v>533</v>
      </c>
      <c r="C8" s="1201" t="s">
        <v>4</v>
      </c>
      <c r="D8" s="1202" t="s">
        <v>5</v>
      </c>
      <c r="E8" s="1203" t="s">
        <v>6</v>
      </c>
      <c r="F8" s="1204" t="s">
        <v>533</v>
      </c>
      <c r="G8" s="1204" t="s">
        <v>4</v>
      </c>
      <c r="H8" s="1205" t="s">
        <v>5</v>
      </c>
      <c r="I8" s="1206" t="s">
        <v>6</v>
      </c>
      <c r="J8" s="63"/>
    </row>
    <row r="9" spans="1:11">
      <c r="A9" s="1110">
        <v>43103</v>
      </c>
      <c r="B9" s="1107">
        <v>25.85</v>
      </c>
      <c r="C9" s="1108">
        <v>25.21</v>
      </c>
      <c r="D9" s="1108">
        <v>24.2</v>
      </c>
      <c r="E9" s="1109">
        <v>21.35</v>
      </c>
      <c r="F9" s="1111">
        <v>24.81</v>
      </c>
      <c r="G9" s="1112">
        <v>24.31</v>
      </c>
      <c r="H9" s="1112">
        <v>23.31</v>
      </c>
      <c r="I9" s="1113">
        <v>20.49</v>
      </c>
      <c r="J9" s="79"/>
    </row>
    <row r="10" spans="1:11">
      <c r="A10" s="1215">
        <v>43108</v>
      </c>
      <c r="B10" s="1211">
        <v>25.85</v>
      </c>
      <c r="C10" s="1209">
        <v>25.23</v>
      </c>
      <c r="D10" s="1209">
        <v>24.24</v>
      </c>
      <c r="E10" s="1210">
        <v>21.38</v>
      </c>
      <c r="F10" s="1208">
        <v>24.81</v>
      </c>
      <c r="G10" s="1209">
        <v>24.31</v>
      </c>
      <c r="H10" s="1209">
        <v>23.31</v>
      </c>
      <c r="I10" s="1210">
        <v>20.5</v>
      </c>
      <c r="J10" s="79"/>
    </row>
    <row r="11" spans="1:11">
      <c r="A11" s="1110">
        <v>43115</v>
      </c>
      <c r="B11" s="1107">
        <v>26.45</v>
      </c>
      <c r="C11" s="1108">
        <v>25.8</v>
      </c>
      <c r="D11" s="1108">
        <v>24.71</v>
      </c>
      <c r="E11" s="1109">
        <v>21.69</v>
      </c>
      <c r="F11" s="1114">
        <v>25.41</v>
      </c>
      <c r="G11" s="1108">
        <v>24.91</v>
      </c>
      <c r="H11" s="1108">
        <v>23.81</v>
      </c>
      <c r="I11" s="1109">
        <v>20.8</v>
      </c>
      <c r="J11" s="79"/>
    </row>
    <row r="12" spans="1:11">
      <c r="A12" s="1215">
        <v>43122</v>
      </c>
      <c r="B12" s="1211">
        <v>26.95</v>
      </c>
      <c r="C12" s="1209">
        <v>26.29</v>
      </c>
      <c r="D12" s="1209">
        <v>25.2</v>
      </c>
      <c r="E12" s="1210">
        <v>21.68</v>
      </c>
      <c r="F12" s="1208">
        <v>25.91</v>
      </c>
      <c r="G12" s="1209">
        <v>25.4</v>
      </c>
      <c r="H12" s="1209">
        <v>24.32</v>
      </c>
      <c r="I12" s="1210">
        <v>20.8</v>
      </c>
      <c r="J12" s="79"/>
    </row>
    <row r="13" spans="1:11" ht="13.5" thickBot="1">
      <c r="A13" s="1110">
        <v>43129</v>
      </c>
      <c r="B13" s="1107">
        <v>27.23</v>
      </c>
      <c r="C13" s="1108">
        <v>26.61</v>
      </c>
      <c r="D13" s="1108">
        <v>25.51</v>
      </c>
      <c r="E13" s="1109">
        <v>22</v>
      </c>
      <c r="F13" s="1107">
        <v>26.2</v>
      </c>
      <c r="G13" s="1108">
        <v>25.71</v>
      </c>
      <c r="H13" s="1108">
        <v>24.61</v>
      </c>
      <c r="I13" s="1109">
        <v>21.11</v>
      </c>
      <c r="J13" s="79"/>
    </row>
    <row r="14" spans="1:11" ht="13.5" thickBot="1">
      <c r="A14" s="1212" t="s">
        <v>7</v>
      </c>
      <c r="B14" s="1213">
        <f t="shared" ref="B14:I14" si="0">AVERAGE(B9:B13)</f>
        <v>26.466000000000001</v>
      </c>
      <c r="C14" s="1213">
        <f t="shared" si="0"/>
        <v>25.827999999999996</v>
      </c>
      <c r="D14" s="1213">
        <f t="shared" si="0"/>
        <v>24.772000000000002</v>
      </c>
      <c r="E14" s="1213">
        <f t="shared" si="0"/>
        <v>21.619999999999997</v>
      </c>
      <c r="F14" s="1213">
        <f t="shared" si="0"/>
        <v>25.428000000000001</v>
      </c>
      <c r="G14" s="1213">
        <f t="shared" si="0"/>
        <v>24.928000000000004</v>
      </c>
      <c r="H14" s="1213">
        <f t="shared" si="0"/>
        <v>23.872</v>
      </c>
      <c r="I14" s="1214">
        <f t="shared" si="0"/>
        <v>20.74</v>
      </c>
      <c r="J14" s="79"/>
      <c r="K14" s="767" t="s">
        <v>148</v>
      </c>
    </row>
    <row r="15" spans="1:11">
      <c r="A15" s="10">
        <v>43136</v>
      </c>
      <c r="B15" s="115">
        <v>27.07</v>
      </c>
      <c r="C15" s="56">
        <v>26.45</v>
      </c>
      <c r="D15" s="56">
        <v>25.36</v>
      </c>
      <c r="E15" s="62">
        <v>21.91</v>
      </c>
      <c r="F15" s="115">
        <v>26.01</v>
      </c>
      <c r="G15" s="56">
        <v>25.54</v>
      </c>
      <c r="H15" s="56">
        <v>24.44</v>
      </c>
      <c r="I15" s="62">
        <v>21.02</v>
      </c>
      <c r="J15" s="79"/>
    </row>
    <row r="16" spans="1:11">
      <c r="A16" s="1207">
        <v>43143</v>
      </c>
      <c r="B16" s="1211">
        <v>26.14</v>
      </c>
      <c r="C16" s="1209">
        <v>25.99</v>
      </c>
      <c r="D16" s="1209">
        <v>24.91</v>
      </c>
      <c r="E16" s="1210">
        <v>21.39</v>
      </c>
      <c r="F16" s="1211">
        <v>25.53</v>
      </c>
      <c r="G16" s="1209">
        <v>25.07</v>
      </c>
      <c r="H16" s="1209">
        <v>23.97</v>
      </c>
      <c r="I16" s="1210">
        <v>20.48</v>
      </c>
      <c r="J16" s="79"/>
    </row>
    <row r="17" spans="1:10">
      <c r="A17" s="567">
        <v>43150</v>
      </c>
      <c r="B17" s="115">
        <v>26.28</v>
      </c>
      <c r="C17" s="56">
        <v>25.63</v>
      </c>
      <c r="D17" s="56">
        <v>24.52</v>
      </c>
      <c r="E17" s="62">
        <v>21.11</v>
      </c>
      <c r="F17" s="115">
        <v>25.21</v>
      </c>
      <c r="G17" s="56">
        <v>24.74</v>
      </c>
      <c r="H17" s="56">
        <v>23.65</v>
      </c>
      <c r="I17" s="62">
        <v>20.23</v>
      </c>
      <c r="J17" s="79"/>
    </row>
    <row r="18" spans="1:10" ht="13.5" thickBot="1">
      <c r="A18" s="1207">
        <v>43157</v>
      </c>
      <c r="B18" s="1211">
        <v>25.57</v>
      </c>
      <c r="C18" s="1209">
        <v>25.05</v>
      </c>
      <c r="D18" s="1209">
        <v>23.98</v>
      </c>
      <c r="E18" s="1210">
        <v>20.72</v>
      </c>
      <c r="F18" s="1211">
        <v>24.6</v>
      </c>
      <c r="G18" s="1209">
        <v>24.21</v>
      </c>
      <c r="H18" s="1209">
        <v>23.1</v>
      </c>
      <c r="I18" s="1210">
        <v>19.82</v>
      </c>
      <c r="J18" s="79"/>
    </row>
    <row r="19" spans="1:10" ht="13.5" thickBot="1">
      <c r="A19" s="1212" t="s">
        <v>7</v>
      </c>
      <c r="B19" s="1213">
        <f t="shared" ref="B19:I19" si="1">AVERAGE(B15:B18)</f>
        <v>26.265000000000001</v>
      </c>
      <c r="C19" s="1213">
        <f t="shared" si="1"/>
        <v>25.779999999999998</v>
      </c>
      <c r="D19" s="1213">
        <f t="shared" si="1"/>
        <v>24.692499999999999</v>
      </c>
      <c r="E19" s="1213">
        <f t="shared" si="1"/>
        <v>21.282499999999999</v>
      </c>
      <c r="F19" s="1213">
        <f t="shared" si="1"/>
        <v>25.337499999999999</v>
      </c>
      <c r="G19" s="1213">
        <f t="shared" si="1"/>
        <v>24.89</v>
      </c>
      <c r="H19" s="1213">
        <f t="shared" si="1"/>
        <v>23.79</v>
      </c>
      <c r="I19" s="1214">
        <f t="shared" si="1"/>
        <v>20.387500000000003</v>
      </c>
      <c r="J19" s="79"/>
    </row>
    <row r="20" spans="1:10">
      <c r="A20" s="10">
        <v>43166</v>
      </c>
      <c r="B20" s="1107">
        <v>38.47</v>
      </c>
      <c r="C20" s="1108">
        <v>38.85</v>
      </c>
      <c r="D20" s="1108">
        <v>38.24</v>
      </c>
      <c r="E20" s="1109">
        <v>36.93</v>
      </c>
      <c r="F20" s="1107">
        <v>39.380000000000003</v>
      </c>
      <c r="G20" s="1108">
        <v>37.979999999999997</v>
      </c>
      <c r="H20" s="1108">
        <v>37.39</v>
      </c>
      <c r="I20" s="1109">
        <v>36.090000000000003</v>
      </c>
      <c r="J20" s="79"/>
    </row>
    <row r="21" spans="1:10">
      <c r="A21" s="1207">
        <v>43172</v>
      </c>
      <c r="B21" s="1211">
        <v>26.07</v>
      </c>
      <c r="C21" s="1209">
        <v>25.47</v>
      </c>
      <c r="D21" s="1209">
        <v>24.38</v>
      </c>
      <c r="E21" s="1210">
        <v>20.68</v>
      </c>
      <c r="F21" s="1211">
        <v>25.02</v>
      </c>
      <c r="G21" s="1209">
        <v>24.56</v>
      </c>
      <c r="H21" s="1209">
        <v>23.47</v>
      </c>
      <c r="I21" s="1210">
        <v>19.75</v>
      </c>
      <c r="J21" s="79"/>
    </row>
    <row r="22" spans="1:10">
      <c r="A22" s="1110">
        <v>43178</v>
      </c>
      <c r="B22" s="1107">
        <v>26.27</v>
      </c>
      <c r="C22" s="1108">
        <v>25.61</v>
      </c>
      <c r="D22" s="1108">
        <v>24.51</v>
      </c>
      <c r="E22" s="1109">
        <v>20.64</v>
      </c>
      <c r="F22" s="1107">
        <v>25.21</v>
      </c>
      <c r="G22" s="1108">
        <v>24.73</v>
      </c>
      <c r="H22" s="1108">
        <v>23.63</v>
      </c>
      <c r="I22" s="1109">
        <v>19.72</v>
      </c>
      <c r="J22" s="79"/>
    </row>
    <row r="23" spans="1:10" ht="13.5" thickBot="1">
      <c r="A23" s="1207">
        <v>43185</v>
      </c>
      <c r="B23" s="1211">
        <v>27.04</v>
      </c>
      <c r="C23" s="1209">
        <v>26.4</v>
      </c>
      <c r="D23" s="1209">
        <v>25.31</v>
      </c>
      <c r="E23" s="1210">
        <v>21.39</v>
      </c>
      <c r="F23" s="1211">
        <v>26.01</v>
      </c>
      <c r="G23" s="1209">
        <v>25.54</v>
      </c>
      <c r="H23" s="1209">
        <v>24.45</v>
      </c>
      <c r="I23" s="1210">
        <v>20.52</v>
      </c>
      <c r="J23" s="79"/>
    </row>
    <row r="24" spans="1:10" ht="13.5" thickBot="1">
      <c r="A24" s="1212" t="s">
        <v>7</v>
      </c>
      <c r="B24" s="1213">
        <f t="shared" ref="B24:I24" si="2">AVERAGE(B20:B23)</f>
        <v>29.462499999999999</v>
      </c>
      <c r="C24" s="1213">
        <f t="shared" si="2"/>
        <v>29.082499999999996</v>
      </c>
      <c r="D24" s="1213">
        <f t="shared" si="2"/>
        <v>28.110000000000003</v>
      </c>
      <c r="E24" s="1213">
        <f t="shared" si="2"/>
        <v>24.91</v>
      </c>
      <c r="F24" s="1213">
        <f t="shared" si="2"/>
        <v>28.905000000000005</v>
      </c>
      <c r="G24" s="1213">
        <f t="shared" si="2"/>
        <v>28.202500000000001</v>
      </c>
      <c r="H24" s="1213">
        <f t="shared" si="2"/>
        <v>27.234999999999999</v>
      </c>
      <c r="I24" s="1214">
        <f t="shared" si="2"/>
        <v>24.02</v>
      </c>
      <c r="J24" s="79"/>
    </row>
    <row r="25" spans="1:10">
      <c r="A25" s="1215">
        <v>43193</v>
      </c>
      <c r="B25" s="1408">
        <v>24.15</v>
      </c>
      <c r="C25" s="1409">
        <v>23.53</v>
      </c>
      <c r="D25" s="1409">
        <v>22.07</v>
      </c>
      <c r="E25" s="1410">
        <v>17.89</v>
      </c>
      <c r="F25" s="1411">
        <v>23.21</v>
      </c>
      <c r="G25" s="1411">
        <v>22.7</v>
      </c>
      <c r="H25" s="1411">
        <v>21.22</v>
      </c>
      <c r="I25" s="1411">
        <v>17.03</v>
      </c>
      <c r="J25" s="79"/>
    </row>
    <row r="26" spans="1:10">
      <c r="A26" s="567">
        <v>43199</v>
      </c>
      <c r="B26" s="1114">
        <v>27.43</v>
      </c>
      <c r="C26" s="1108">
        <v>26.8</v>
      </c>
      <c r="D26" s="1108">
        <v>25.69</v>
      </c>
      <c r="E26" s="1109">
        <v>21.76</v>
      </c>
      <c r="F26" s="1107">
        <v>26.41</v>
      </c>
      <c r="G26" s="56">
        <v>25.91</v>
      </c>
      <c r="H26" s="56">
        <v>24.81</v>
      </c>
      <c r="I26" s="62">
        <v>20.89</v>
      </c>
      <c r="J26" s="79"/>
    </row>
    <row r="27" spans="1:10">
      <c r="A27" s="1215">
        <v>43207</v>
      </c>
      <c r="B27" s="1208">
        <v>28.04</v>
      </c>
      <c r="C27" s="1209">
        <v>27.39</v>
      </c>
      <c r="D27" s="1209">
        <v>26.29</v>
      </c>
      <c r="E27" s="1210">
        <v>22.54</v>
      </c>
      <c r="F27" s="1211">
        <v>27</v>
      </c>
      <c r="G27" s="1209">
        <v>26.51</v>
      </c>
      <c r="H27" s="1209">
        <v>25.41</v>
      </c>
      <c r="I27" s="1210">
        <v>21.69</v>
      </c>
      <c r="J27" s="79"/>
    </row>
    <row r="28" spans="1:10" ht="13.5" thickBot="1">
      <c r="A28" s="567">
        <v>43213</v>
      </c>
      <c r="B28" s="1115">
        <v>28.04</v>
      </c>
      <c r="C28" s="1117">
        <v>27.39</v>
      </c>
      <c r="D28" s="1117">
        <v>26.28</v>
      </c>
      <c r="E28" s="1118">
        <v>22.56</v>
      </c>
      <c r="F28" s="1107">
        <v>27</v>
      </c>
      <c r="G28" s="56">
        <v>26.51</v>
      </c>
      <c r="H28" s="56">
        <v>25.41</v>
      </c>
      <c r="I28" s="62">
        <v>21.7</v>
      </c>
      <c r="J28" s="79"/>
    </row>
    <row r="29" spans="1:10" ht="13.5" thickBot="1">
      <c r="A29" s="1212" t="s">
        <v>7</v>
      </c>
      <c r="B29" s="1223">
        <f>AVERAGE(B25:B28)</f>
        <v>26.914999999999999</v>
      </c>
      <c r="C29" s="1223">
        <f t="shared" ref="C29:I29" si="3">AVERAGE(C25:C28)</f>
        <v>26.2775</v>
      </c>
      <c r="D29" s="1223">
        <f t="shared" si="3"/>
        <v>25.082500000000003</v>
      </c>
      <c r="E29" s="1223">
        <f t="shared" si="3"/>
        <v>21.1875</v>
      </c>
      <c r="F29" s="1223">
        <f t="shared" si="3"/>
        <v>25.905000000000001</v>
      </c>
      <c r="G29" s="1223">
        <f t="shared" si="3"/>
        <v>25.407500000000002</v>
      </c>
      <c r="H29" s="1223">
        <f t="shared" si="3"/>
        <v>24.212499999999999</v>
      </c>
      <c r="I29" s="1223">
        <f t="shared" si="3"/>
        <v>20.327500000000001</v>
      </c>
      <c r="J29" s="79"/>
    </row>
    <row r="30" spans="1:10">
      <c r="A30" s="1110">
        <v>45048</v>
      </c>
      <c r="B30" s="1107">
        <v>36.58</v>
      </c>
      <c r="C30" s="1108">
        <v>36.090000000000003</v>
      </c>
      <c r="D30" s="1108">
        <v>34.47</v>
      </c>
      <c r="E30" s="1109">
        <v>29.47</v>
      </c>
      <c r="F30" s="1111">
        <v>35.47</v>
      </c>
      <c r="G30" s="1112">
        <v>35.08</v>
      </c>
      <c r="H30" s="1112">
        <v>33.46</v>
      </c>
      <c r="I30" s="1113">
        <v>28.43</v>
      </c>
      <c r="J30" s="79"/>
    </row>
    <row r="31" spans="1:10">
      <c r="A31" s="1215">
        <v>45054</v>
      </c>
      <c r="B31" s="1211">
        <v>35.83</v>
      </c>
      <c r="C31" s="1209">
        <v>35.31</v>
      </c>
      <c r="D31" s="1209">
        <v>33.79</v>
      </c>
      <c r="E31" s="1210">
        <v>28.67</v>
      </c>
      <c r="F31" s="1208">
        <v>34.770000000000003</v>
      </c>
      <c r="G31" s="1209">
        <v>34.31</v>
      </c>
      <c r="H31" s="1209">
        <v>32.799999999999997</v>
      </c>
      <c r="I31" s="1210">
        <v>27.68</v>
      </c>
      <c r="J31" s="79"/>
    </row>
    <row r="32" spans="1:10">
      <c r="A32" s="1110">
        <v>45061</v>
      </c>
      <c r="B32" s="1107">
        <v>35.07</v>
      </c>
      <c r="C32" s="1108">
        <v>34.49</v>
      </c>
      <c r="D32" s="1108">
        <v>32.979999999999997</v>
      </c>
      <c r="E32" s="1109">
        <v>28.04</v>
      </c>
      <c r="F32" s="1114">
        <v>33.97</v>
      </c>
      <c r="G32" s="1108">
        <v>33.49</v>
      </c>
      <c r="H32" s="1108">
        <v>31.98</v>
      </c>
      <c r="I32" s="1109">
        <v>27.02</v>
      </c>
      <c r="J32" s="79"/>
    </row>
    <row r="33" spans="1:10">
      <c r="A33" s="1215">
        <v>45068</v>
      </c>
      <c r="B33" s="1211">
        <v>34.81</v>
      </c>
      <c r="C33" s="1209">
        <v>34.32</v>
      </c>
      <c r="D33" s="1209">
        <v>32.96</v>
      </c>
      <c r="E33" s="1210">
        <v>28.04</v>
      </c>
      <c r="F33" s="1208">
        <v>33.78</v>
      </c>
      <c r="G33" s="1209">
        <v>33.35</v>
      </c>
      <c r="H33" s="1209">
        <v>31.97</v>
      </c>
      <c r="I33" s="1210">
        <v>27.01</v>
      </c>
      <c r="J33" s="79"/>
    </row>
    <row r="34" spans="1:10" ht="13.5" thickBot="1">
      <c r="A34" s="1110">
        <v>45075</v>
      </c>
      <c r="B34" s="1107">
        <v>34.86</v>
      </c>
      <c r="C34" s="1108">
        <v>34.31</v>
      </c>
      <c r="D34" s="1108">
        <v>32.97</v>
      </c>
      <c r="E34" s="1109">
        <v>27.99</v>
      </c>
      <c r="F34" s="1107">
        <v>33.82</v>
      </c>
      <c r="G34" s="1108">
        <v>33.299999999999997</v>
      </c>
      <c r="H34" s="1108">
        <v>31.99</v>
      </c>
      <c r="I34" s="1109">
        <v>27</v>
      </c>
      <c r="J34" s="79"/>
    </row>
    <row r="35" spans="1:10" ht="13.5" thickBot="1">
      <c r="A35" s="1212" t="s">
        <v>7</v>
      </c>
      <c r="B35" s="1213">
        <f t="shared" ref="B35:I35" si="4">AVERAGE(B30:B34)</f>
        <v>35.429999999999993</v>
      </c>
      <c r="C35" s="1213">
        <f t="shared" si="4"/>
        <v>34.904000000000003</v>
      </c>
      <c r="D35" s="1213">
        <f>AVERAGE(D30:D34)</f>
        <v>33.433999999999997</v>
      </c>
      <c r="E35" s="1213">
        <f t="shared" si="4"/>
        <v>28.442</v>
      </c>
      <c r="F35" s="1213">
        <f t="shared" si="4"/>
        <v>34.362000000000002</v>
      </c>
      <c r="G35" s="1213">
        <f t="shared" si="4"/>
        <v>33.905999999999992</v>
      </c>
      <c r="H35" s="1213">
        <f t="shared" si="4"/>
        <v>32.44</v>
      </c>
      <c r="I35" s="1214">
        <f t="shared" si="4"/>
        <v>27.427999999999997</v>
      </c>
      <c r="J35" s="79"/>
    </row>
    <row r="36" spans="1:10">
      <c r="A36" s="10">
        <v>43255</v>
      </c>
      <c r="B36" s="1107">
        <v>29.2</v>
      </c>
      <c r="C36" s="1108">
        <v>28.49</v>
      </c>
      <c r="D36" s="1108">
        <v>27.4</v>
      </c>
      <c r="E36" s="1109">
        <v>23.41</v>
      </c>
      <c r="F36" s="1107">
        <v>28.15</v>
      </c>
      <c r="G36" s="1108">
        <v>27.62</v>
      </c>
      <c r="H36" s="1108">
        <v>26.53</v>
      </c>
      <c r="I36" s="1109">
        <v>22.53</v>
      </c>
      <c r="J36" s="79"/>
    </row>
    <row r="37" spans="1:10">
      <c r="A37" s="1207">
        <v>43262</v>
      </c>
      <c r="B37" s="1211">
        <v>28.58</v>
      </c>
      <c r="C37" s="1209">
        <v>27.93</v>
      </c>
      <c r="D37" s="1209">
        <v>26.82</v>
      </c>
      <c r="E37" s="1210">
        <v>22.91</v>
      </c>
      <c r="F37" s="1211">
        <v>27.52</v>
      </c>
      <c r="G37" s="1209">
        <v>27.05</v>
      </c>
      <c r="H37" s="1209">
        <v>25.96</v>
      </c>
      <c r="I37" s="1210">
        <v>22.03</v>
      </c>
      <c r="J37" s="79"/>
    </row>
    <row r="38" spans="1:10">
      <c r="A38" s="1110">
        <v>43269</v>
      </c>
      <c r="B38" s="1107">
        <v>28.55</v>
      </c>
      <c r="C38" s="1108">
        <v>27.9</v>
      </c>
      <c r="D38" s="1108">
        <v>26.8</v>
      </c>
      <c r="E38" s="1109">
        <v>22.86</v>
      </c>
      <c r="F38" s="1107">
        <v>27.51</v>
      </c>
      <c r="G38" s="1108">
        <v>27.01</v>
      </c>
      <c r="H38" s="1108">
        <v>25.91</v>
      </c>
      <c r="I38" s="1109">
        <v>22</v>
      </c>
      <c r="J38" s="79"/>
    </row>
    <row r="39" spans="1:10" ht="13.5" thickBot="1">
      <c r="A39" s="1207">
        <v>43276</v>
      </c>
      <c r="B39" s="1211">
        <v>28.08</v>
      </c>
      <c r="C39" s="1209">
        <v>27.46</v>
      </c>
      <c r="D39" s="1209">
        <v>26.36</v>
      </c>
      <c r="E39" s="1210">
        <v>22.68</v>
      </c>
      <c r="F39" s="1211">
        <v>27.03</v>
      </c>
      <c r="G39" s="1209">
        <v>26.57</v>
      </c>
      <c r="H39" s="1209">
        <v>25.47</v>
      </c>
      <c r="I39" s="1210">
        <v>21.84</v>
      </c>
      <c r="J39" s="63"/>
    </row>
    <row r="40" spans="1:10" ht="13.5" thickBot="1">
      <c r="A40" s="1212" t="s">
        <v>7</v>
      </c>
      <c r="B40" s="1213">
        <f t="shared" ref="B40:I40" si="5">AVERAGE(B36:B39)</f>
        <v>28.602499999999999</v>
      </c>
      <c r="C40" s="1213">
        <f t="shared" si="5"/>
        <v>27.945</v>
      </c>
      <c r="D40" s="1213">
        <f t="shared" si="5"/>
        <v>26.844999999999999</v>
      </c>
      <c r="E40" s="1213">
        <f t="shared" si="5"/>
        <v>22.965000000000003</v>
      </c>
      <c r="F40" s="1213">
        <f t="shared" si="5"/>
        <v>27.552500000000002</v>
      </c>
      <c r="G40" s="1213">
        <f t="shared" si="5"/>
        <v>27.0625</v>
      </c>
      <c r="H40" s="1213">
        <f t="shared" si="5"/>
        <v>25.967500000000001</v>
      </c>
      <c r="I40" s="1214">
        <f t="shared" si="5"/>
        <v>22.1</v>
      </c>
      <c r="J40" s="63"/>
    </row>
    <row r="41" spans="1:10">
      <c r="A41" s="1110">
        <v>43284</v>
      </c>
      <c r="B41" s="1107">
        <v>28.55</v>
      </c>
      <c r="C41" s="1108">
        <v>27.88</v>
      </c>
      <c r="D41" s="1108">
        <v>26.77</v>
      </c>
      <c r="E41" s="1109">
        <v>23.03</v>
      </c>
      <c r="F41" s="1111">
        <v>27.51</v>
      </c>
      <c r="G41" s="1112">
        <v>27</v>
      </c>
      <c r="H41" s="1112">
        <v>25.89</v>
      </c>
      <c r="I41" s="1113">
        <v>22.2</v>
      </c>
      <c r="J41" s="63"/>
    </row>
    <row r="42" spans="1:10">
      <c r="A42" s="1215">
        <v>43290</v>
      </c>
      <c r="B42" s="1211">
        <v>28.56</v>
      </c>
      <c r="C42" s="1209">
        <v>27.88</v>
      </c>
      <c r="D42" s="1209">
        <v>26.78</v>
      </c>
      <c r="E42" s="1210">
        <v>23.05</v>
      </c>
      <c r="F42" s="1208">
        <v>27.51</v>
      </c>
      <c r="G42" s="1209">
        <v>27</v>
      </c>
      <c r="H42" s="1209">
        <v>25.89</v>
      </c>
      <c r="I42" s="1210">
        <v>22.2</v>
      </c>
      <c r="J42" s="63"/>
    </row>
    <row r="43" spans="1:10">
      <c r="A43" s="1110">
        <v>43297</v>
      </c>
      <c r="B43" s="1107">
        <v>28.85</v>
      </c>
      <c r="C43" s="1108">
        <v>28.17</v>
      </c>
      <c r="D43" s="1108">
        <v>27.09</v>
      </c>
      <c r="E43" s="1109">
        <v>23.26</v>
      </c>
      <c r="F43" s="1114">
        <v>27.81</v>
      </c>
      <c r="G43" s="1108">
        <v>27.31</v>
      </c>
      <c r="H43" s="1108">
        <v>26.22</v>
      </c>
      <c r="I43" s="1109">
        <v>22.41</v>
      </c>
      <c r="J43" s="63"/>
    </row>
    <row r="44" spans="1:10">
      <c r="A44" s="1215">
        <v>43304</v>
      </c>
      <c r="B44" s="1211">
        <v>28.38</v>
      </c>
      <c r="C44" s="1209">
        <v>27.71</v>
      </c>
      <c r="D44" s="1209">
        <v>26.62</v>
      </c>
      <c r="E44" s="1210">
        <v>22.63</v>
      </c>
      <c r="F44" s="1208">
        <v>27.31</v>
      </c>
      <c r="G44" s="1209">
        <v>26.83</v>
      </c>
      <c r="H44" s="1209">
        <v>25.74</v>
      </c>
      <c r="I44" s="1210">
        <v>21.85</v>
      </c>
      <c r="J44" s="63"/>
    </row>
    <row r="45" spans="1:10" ht="13.5" thickBot="1">
      <c r="A45" s="1110">
        <v>43311</v>
      </c>
      <c r="B45" s="1107">
        <v>28.36</v>
      </c>
      <c r="C45" s="1108">
        <v>27.7</v>
      </c>
      <c r="D45" s="1108">
        <v>26.61</v>
      </c>
      <c r="E45" s="1109">
        <v>22.67</v>
      </c>
      <c r="F45" s="1107">
        <v>27.3</v>
      </c>
      <c r="G45" s="1108">
        <v>26.81</v>
      </c>
      <c r="H45" s="1108">
        <v>25.72</v>
      </c>
      <c r="I45" s="1109">
        <v>21.82</v>
      </c>
      <c r="J45" s="63"/>
    </row>
    <row r="46" spans="1:10" ht="13.5" thickBot="1">
      <c r="A46" s="1212" t="s">
        <v>7</v>
      </c>
      <c r="B46" s="1213">
        <f t="shared" ref="B46:I46" si="6">AVERAGE(B41:B45)</f>
        <v>28.54</v>
      </c>
      <c r="C46" s="1213">
        <f t="shared" si="6"/>
        <v>27.868000000000002</v>
      </c>
      <c r="D46" s="1213">
        <f t="shared" si="6"/>
        <v>26.774000000000001</v>
      </c>
      <c r="E46" s="1213">
        <f t="shared" si="6"/>
        <v>22.928000000000001</v>
      </c>
      <c r="F46" s="1213">
        <f t="shared" si="6"/>
        <v>27.488</v>
      </c>
      <c r="G46" s="1213">
        <f t="shared" si="6"/>
        <v>26.99</v>
      </c>
      <c r="H46" s="1213">
        <f t="shared" si="6"/>
        <v>25.891999999999996</v>
      </c>
      <c r="I46" s="1214">
        <f t="shared" si="6"/>
        <v>22.095999999999997</v>
      </c>
      <c r="J46" s="63"/>
    </row>
    <row r="47" spans="1:10">
      <c r="A47" s="10">
        <v>43318</v>
      </c>
      <c r="B47" s="1107">
        <v>28.84</v>
      </c>
      <c r="C47" s="1108">
        <v>28.18</v>
      </c>
      <c r="D47" s="1108">
        <v>27.07</v>
      </c>
      <c r="E47" s="1109">
        <v>23.05</v>
      </c>
      <c r="F47" s="1107">
        <v>27.82</v>
      </c>
      <c r="G47" s="1108">
        <v>27.3</v>
      </c>
      <c r="H47" s="1108">
        <v>26.2</v>
      </c>
      <c r="I47" s="1109">
        <v>22.21</v>
      </c>
      <c r="J47" s="63"/>
    </row>
    <row r="48" spans="1:10">
      <c r="A48" s="1207">
        <v>43325</v>
      </c>
      <c r="B48" s="1211">
        <v>28.56</v>
      </c>
      <c r="C48" s="1209">
        <v>27.91</v>
      </c>
      <c r="D48" s="1209">
        <v>26.83</v>
      </c>
      <c r="E48" s="1210">
        <v>22.88</v>
      </c>
      <c r="F48" s="1211">
        <v>27.5</v>
      </c>
      <c r="G48" s="1209">
        <v>27.02</v>
      </c>
      <c r="H48" s="1209">
        <v>25.92</v>
      </c>
      <c r="I48" s="1210">
        <v>22.01</v>
      </c>
      <c r="J48" s="63"/>
    </row>
    <row r="49" spans="1:15">
      <c r="A49" s="1110">
        <v>43332</v>
      </c>
      <c r="B49" s="1107">
        <v>28.35</v>
      </c>
      <c r="C49" s="1108">
        <v>27.7</v>
      </c>
      <c r="D49" s="1108">
        <v>26.54</v>
      </c>
      <c r="E49" s="1109">
        <v>22.62</v>
      </c>
      <c r="F49" s="1107">
        <v>27.32</v>
      </c>
      <c r="G49" s="1108">
        <v>26.81</v>
      </c>
      <c r="H49" s="1108">
        <v>25.65</v>
      </c>
      <c r="I49" s="1109">
        <v>21.73</v>
      </c>
      <c r="J49" s="63"/>
    </row>
    <row r="50" spans="1:15" ht="13.5" thickBot="1">
      <c r="A50" s="1207">
        <v>43339</v>
      </c>
      <c r="B50" s="1211">
        <v>28.65</v>
      </c>
      <c r="C50" s="1209">
        <v>27.99</v>
      </c>
      <c r="D50" s="1209">
        <v>26.79</v>
      </c>
      <c r="E50" s="1210">
        <v>23.12</v>
      </c>
      <c r="F50" s="1211">
        <v>27.6</v>
      </c>
      <c r="G50" s="1209">
        <v>27.09</v>
      </c>
      <c r="H50" s="1209">
        <v>25.91</v>
      </c>
      <c r="I50" s="1210">
        <v>22.27</v>
      </c>
      <c r="J50" s="63"/>
    </row>
    <row r="51" spans="1:15" ht="13.5" thickBot="1">
      <c r="A51" s="1212" t="s">
        <v>7</v>
      </c>
      <c r="B51" s="1213">
        <f t="shared" ref="B51:I51" si="7">AVERAGE(B47:B50)</f>
        <v>28.6</v>
      </c>
      <c r="C51" s="1213">
        <f t="shared" si="7"/>
        <v>27.945</v>
      </c>
      <c r="D51" s="1213">
        <f t="shared" si="7"/>
        <v>26.807499999999997</v>
      </c>
      <c r="E51" s="1213">
        <f t="shared" si="7"/>
        <v>22.9175</v>
      </c>
      <c r="F51" s="1213">
        <f t="shared" si="7"/>
        <v>27.560000000000002</v>
      </c>
      <c r="G51" s="1213">
        <f t="shared" si="7"/>
        <v>27.055</v>
      </c>
      <c r="H51" s="1213">
        <f t="shared" si="7"/>
        <v>25.92</v>
      </c>
      <c r="I51" s="1214">
        <f t="shared" si="7"/>
        <v>22.055</v>
      </c>
      <c r="J51" s="63"/>
    </row>
    <row r="52" spans="1:15">
      <c r="A52" s="10">
        <v>43346</v>
      </c>
      <c r="B52" s="1107">
        <v>29.05</v>
      </c>
      <c r="C52" s="1108">
        <v>28.39</v>
      </c>
      <c r="D52" s="1108">
        <v>27.21</v>
      </c>
      <c r="E52" s="1109">
        <v>23.56</v>
      </c>
      <c r="F52" s="1107">
        <v>28</v>
      </c>
      <c r="G52" s="1108">
        <v>27.5</v>
      </c>
      <c r="H52" s="1108">
        <v>26.3</v>
      </c>
      <c r="I52" s="1109">
        <v>22.69</v>
      </c>
      <c r="J52" s="63"/>
    </row>
    <row r="53" spans="1:15">
      <c r="A53" s="1207">
        <v>43353</v>
      </c>
      <c r="B53" s="1211">
        <v>29.04</v>
      </c>
      <c r="C53" s="1209">
        <v>28.41</v>
      </c>
      <c r="D53" s="1209">
        <v>27.21</v>
      </c>
      <c r="E53" s="1210">
        <v>23.84</v>
      </c>
      <c r="F53" s="1211">
        <v>28</v>
      </c>
      <c r="G53" s="1209">
        <v>27.5</v>
      </c>
      <c r="H53" s="1209">
        <v>26.31</v>
      </c>
      <c r="I53" s="1210">
        <v>22.99</v>
      </c>
      <c r="J53" s="63"/>
      <c r="K53" s="75"/>
      <c r="L53" s="75"/>
      <c r="M53" s="75"/>
      <c r="N53" s="75"/>
      <c r="O53" s="75"/>
    </row>
    <row r="54" spans="1:15">
      <c r="A54" s="1110">
        <v>43360</v>
      </c>
      <c r="B54" s="1107">
        <v>28.77</v>
      </c>
      <c r="C54" s="1108">
        <v>28.11</v>
      </c>
      <c r="D54" s="1108">
        <v>26.92</v>
      </c>
      <c r="E54" s="1109">
        <v>24.05</v>
      </c>
      <c r="F54" s="1107">
        <v>27.7</v>
      </c>
      <c r="G54" s="1108">
        <v>27.21</v>
      </c>
      <c r="H54" s="1108">
        <v>26.01</v>
      </c>
      <c r="I54" s="1109">
        <v>23.2</v>
      </c>
      <c r="J54" s="63"/>
      <c r="K54" s="75"/>
      <c r="L54" s="56"/>
      <c r="M54" s="56"/>
      <c r="N54" s="56"/>
      <c r="O54" s="56"/>
    </row>
    <row r="55" spans="1:15" ht="13.5" thickBot="1">
      <c r="A55" s="1207">
        <v>43367</v>
      </c>
      <c r="B55" s="1211">
        <v>28.57</v>
      </c>
      <c r="C55" s="1209">
        <v>27.93</v>
      </c>
      <c r="D55" s="1209">
        <v>26.73</v>
      </c>
      <c r="E55" s="1210">
        <v>23.9</v>
      </c>
      <c r="F55" s="1211">
        <v>27.5</v>
      </c>
      <c r="G55" s="1209">
        <v>27.03</v>
      </c>
      <c r="H55" s="1209">
        <v>25.83</v>
      </c>
      <c r="I55" s="1210">
        <v>23.02</v>
      </c>
      <c r="J55" s="63"/>
      <c r="K55" s="75"/>
      <c r="L55" s="75"/>
      <c r="M55" s="75"/>
      <c r="N55" s="75"/>
      <c r="O55" s="75"/>
    </row>
    <row r="56" spans="1:15" ht="13.5" thickBot="1">
      <c r="A56" s="1212" t="s">
        <v>7</v>
      </c>
      <c r="B56" s="1213">
        <f t="shared" ref="B56:I56" si="8">AVERAGE(B52:B55)</f>
        <v>28.857500000000002</v>
      </c>
      <c r="C56" s="1213">
        <f t="shared" si="8"/>
        <v>28.21</v>
      </c>
      <c r="D56" s="1213">
        <f t="shared" si="8"/>
        <v>27.017500000000002</v>
      </c>
      <c r="E56" s="1213">
        <f t="shared" si="8"/>
        <v>23.837499999999999</v>
      </c>
      <c r="F56" s="1213">
        <f t="shared" si="8"/>
        <v>27.8</v>
      </c>
      <c r="G56" s="1213">
        <f t="shared" si="8"/>
        <v>27.310000000000002</v>
      </c>
      <c r="H56" s="1213">
        <f t="shared" si="8"/>
        <v>26.112500000000001</v>
      </c>
      <c r="I56" s="1214">
        <f t="shared" si="8"/>
        <v>22.974999999999998</v>
      </c>
      <c r="J56" s="63"/>
      <c r="K56" s="75"/>
      <c r="L56" s="75"/>
      <c r="M56" s="75"/>
      <c r="N56" s="75"/>
      <c r="O56" s="75"/>
    </row>
    <row r="57" spans="1:15">
      <c r="A57" s="1110">
        <v>43374</v>
      </c>
      <c r="B57" s="1107">
        <v>28.53</v>
      </c>
      <c r="C57" s="1108">
        <v>28.02</v>
      </c>
      <c r="D57" s="1108">
        <v>26.83</v>
      </c>
      <c r="E57" s="1109">
        <v>23.98</v>
      </c>
      <c r="F57" s="1111">
        <v>27.51</v>
      </c>
      <c r="G57" s="1112">
        <v>27.19</v>
      </c>
      <c r="H57" s="1112">
        <v>26</v>
      </c>
      <c r="I57" s="1113">
        <v>23.16</v>
      </c>
      <c r="J57" s="127"/>
      <c r="K57" s="56"/>
      <c r="L57" s="56"/>
      <c r="M57" s="56"/>
      <c r="N57" s="56"/>
      <c r="O57" s="75"/>
    </row>
    <row r="58" spans="1:15">
      <c r="A58" s="1215">
        <v>43381</v>
      </c>
      <c r="B58" s="1211">
        <v>30.33</v>
      </c>
      <c r="C58" s="1209">
        <v>29.59</v>
      </c>
      <c r="D58" s="1209">
        <v>28.4</v>
      </c>
      <c r="E58" s="1210">
        <v>25.58</v>
      </c>
      <c r="F58" s="1208">
        <v>29.29</v>
      </c>
      <c r="G58" s="1209">
        <v>28.74</v>
      </c>
      <c r="H58" s="1209">
        <v>27.55</v>
      </c>
      <c r="I58" s="1210">
        <v>24.76</v>
      </c>
      <c r="J58" s="127"/>
      <c r="K58" s="75"/>
      <c r="L58" s="75"/>
      <c r="M58" s="75"/>
      <c r="N58" s="75"/>
      <c r="O58" s="75"/>
    </row>
    <row r="59" spans="1:15" s="79" customFormat="1">
      <c r="A59" s="1110">
        <v>43388</v>
      </c>
      <c r="B59" s="1107">
        <v>29.84</v>
      </c>
      <c r="C59" s="1108">
        <v>29.23</v>
      </c>
      <c r="D59" s="1108">
        <v>28.06</v>
      </c>
      <c r="E59" s="1109">
        <v>25.58</v>
      </c>
      <c r="F59" s="1114">
        <v>28.81</v>
      </c>
      <c r="G59" s="1108">
        <v>28.35</v>
      </c>
      <c r="H59" s="1108">
        <v>27.15</v>
      </c>
      <c r="I59" s="1109">
        <v>24.72</v>
      </c>
      <c r="J59" s="127"/>
    </row>
    <row r="60" spans="1:15" s="79" customFormat="1">
      <c r="A60" s="1215">
        <v>43396</v>
      </c>
      <c r="B60" s="1211">
        <v>28.89</v>
      </c>
      <c r="C60" s="1209">
        <v>28.32</v>
      </c>
      <c r="D60" s="1209">
        <v>27.13</v>
      </c>
      <c r="E60" s="1210">
        <v>25.17</v>
      </c>
      <c r="F60" s="1208">
        <v>27.82</v>
      </c>
      <c r="G60" s="1209">
        <v>27.36</v>
      </c>
      <c r="H60" s="1209">
        <v>26.23</v>
      </c>
      <c r="I60" s="1210">
        <v>24.29</v>
      </c>
      <c r="J60" s="127"/>
    </row>
    <row r="61" spans="1:15" s="79" customFormat="1" ht="13.5" thickBot="1">
      <c r="A61" s="1110">
        <v>43402</v>
      </c>
      <c r="B61" s="1107">
        <v>28.13</v>
      </c>
      <c r="C61" s="1108">
        <v>27.55</v>
      </c>
      <c r="D61" s="1108">
        <v>26.36</v>
      </c>
      <c r="E61" s="1109">
        <v>24.91</v>
      </c>
      <c r="F61" s="1107">
        <v>27.02</v>
      </c>
      <c r="G61" s="1108">
        <v>26.64</v>
      </c>
      <c r="H61" s="1108">
        <v>25.46</v>
      </c>
      <c r="I61" s="1109">
        <v>24.03</v>
      </c>
      <c r="J61" s="127"/>
    </row>
    <row r="62" spans="1:15" s="79" customFormat="1" ht="13.5" thickBot="1">
      <c r="A62" s="1212" t="s">
        <v>7</v>
      </c>
      <c r="B62" s="1213">
        <f>AVERAGE(B57:B61)</f>
        <v>29.143999999999998</v>
      </c>
      <c r="C62" s="1213">
        <f t="shared" ref="C62:I62" si="9">AVERAGE(C57:C61)</f>
        <v>28.542000000000002</v>
      </c>
      <c r="D62" s="1213">
        <f t="shared" si="9"/>
        <v>27.355999999999995</v>
      </c>
      <c r="E62" s="1213">
        <f t="shared" si="9"/>
        <v>25.044</v>
      </c>
      <c r="F62" s="1213">
        <f t="shared" si="9"/>
        <v>28.090000000000003</v>
      </c>
      <c r="G62" s="1213">
        <f t="shared" si="9"/>
        <v>27.655999999999999</v>
      </c>
      <c r="H62" s="1213">
        <f t="shared" si="9"/>
        <v>26.477999999999998</v>
      </c>
      <c r="I62" s="1214">
        <f t="shared" si="9"/>
        <v>24.192</v>
      </c>
      <c r="J62" s="563"/>
    </row>
    <row r="63" spans="1:15" s="79" customFormat="1">
      <c r="A63" s="10">
        <v>43409</v>
      </c>
      <c r="B63" s="1107">
        <v>27.62</v>
      </c>
      <c r="C63" s="1108">
        <v>27.04</v>
      </c>
      <c r="D63" s="1108">
        <v>25.84</v>
      </c>
      <c r="E63" s="1109">
        <v>24.62</v>
      </c>
      <c r="F63" s="1107">
        <v>26.52</v>
      </c>
      <c r="G63" s="1108">
        <v>26.11</v>
      </c>
      <c r="H63" s="1108">
        <v>24.91</v>
      </c>
      <c r="I63" s="1109">
        <v>23.72</v>
      </c>
      <c r="J63" s="127"/>
    </row>
    <row r="64" spans="1:15" s="79" customFormat="1">
      <c r="A64" s="1207">
        <v>43416</v>
      </c>
      <c r="B64" s="1211">
        <v>27.02</v>
      </c>
      <c r="C64" s="1209">
        <v>26.49</v>
      </c>
      <c r="D64" s="1209">
        <v>25.3</v>
      </c>
      <c r="E64" s="1210">
        <v>24.3</v>
      </c>
      <c r="F64" s="1211">
        <v>25.94</v>
      </c>
      <c r="G64" s="1209">
        <v>25.58</v>
      </c>
      <c r="H64" s="1209">
        <v>24.38</v>
      </c>
      <c r="I64" s="1210">
        <v>23.39</v>
      </c>
      <c r="J64" s="127"/>
    </row>
    <row r="65" spans="1:10" s="79" customFormat="1">
      <c r="A65" s="1110">
        <v>43423</v>
      </c>
      <c r="B65" s="1107">
        <v>25.96</v>
      </c>
      <c r="C65" s="1108">
        <v>25.39</v>
      </c>
      <c r="D65" s="1108">
        <v>24.2</v>
      </c>
      <c r="E65" s="1109">
        <v>23.45</v>
      </c>
      <c r="F65" s="1107">
        <v>24.91</v>
      </c>
      <c r="G65" s="1108">
        <v>24.46</v>
      </c>
      <c r="H65" s="1108">
        <v>23.26</v>
      </c>
      <c r="I65" s="1109">
        <v>22.54</v>
      </c>
      <c r="J65" s="127"/>
    </row>
    <row r="66" spans="1:10" s="79" customFormat="1" ht="13.5" thickBot="1">
      <c r="A66" s="1207">
        <v>43430</v>
      </c>
      <c r="B66" s="1211">
        <v>25.14</v>
      </c>
      <c r="C66" s="1209">
        <v>24.56</v>
      </c>
      <c r="D66" s="1209">
        <v>23.36</v>
      </c>
      <c r="E66" s="1210">
        <v>22.74</v>
      </c>
      <c r="F66" s="1211">
        <v>24.05</v>
      </c>
      <c r="G66" s="1209">
        <v>23.64</v>
      </c>
      <c r="H66" s="1209">
        <v>22.45</v>
      </c>
      <c r="I66" s="1210">
        <v>21.84</v>
      </c>
      <c r="J66" s="127"/>
    </row>
    <row r="67" spans="1:10" s="79" customFormat="1" ht="13.5" thickBot="1">
      <c r="A67" s="1212" t="s">
        <v>7</v>
      </c>
      <c r="B67" s="1213">
        <f t="shared" ref="B67:I67" si="10">AVERAGE(B63:B66)</f>
        <v>26.434999999999999</v>
      </c>
      <c r="C67" s="1213">
        <f t="shared" si="10"/>
        <v>25.87</v>
      </c>
      <c r="D67" s="1213">
        <f t="shared" si="10"/>
        <v>24.675000000000001</v>
      </c>
      <c r="E67" s="1213">
        <f t="shared" si="10"/>
        <v>23.7775</v>
      </c>
      <c r="F67" s="1213">
        <f t="shared" si="10"/>
        <v>25.355</v>
      </c>
      <c r="G67" s="1213">
        <f t="shared" si="10"/>
        <v>24.947500000000002</v>
      </c>
      <c r="H67" s="1213">
        <f t="shared" si="10"/>
        <v>23.75</v>
      </c>
      <c r="I67" s="1214">
        <f t="shared" si="10"/>
        <v>22.872500000000002</v>
      </c>
      <c r="J67" s="127"/>
    </row>
    <row r="68" spans="1:10" s="79" customFormat="1" ht="12.75" customHeight="1">
      <c r="A68" s="10">
        <v>43437</v>
      </c>
      <c r="B68" s="1107">
        <v>24.59</v>
      </c>
      <c r="C68" s="1108">
        <v>23.91</v>
      </c>
      <c r="D68" s="1108">
        <v>22.72</v>
      </c>
      <c r="E68" s="1109">
        <v>22.1</v>
      </c>
      <c r="F68" s="1107">
        <v>23.5</v>
      </c>
      <c r="G68" s="1108">
        <v>23.03</v>
      </c>
      <c r="H68" s="1108">
        <v>21.83</v>
      </c>
      <c r="I68" s="1109">
        <v>21.23</v>
      </c>
      <c r="J68" s="127"/>
    </row>
    <row r="69" spans="1:10" s="79" customFormat="1" ht="12.75" customHeight="1">
      <c r="A69" s="1207">
        <v>43444</v>
      </c>
      <c r="B69" s="1211">
        <v>24.58</v>
      </c>
      <c r="C69" s="1209">
        <v>23.87</v>
      </c>
      <c r="D69" s="1209">
        <v>22.68</v>
      </c>
      <c r="E69" s="1210">
        <v>21.6</v>
      </c>
      <c r="F69" s="1211">
        <v>23.49</v>
      </c>
      <c r="G69" s="1209">
        <v>23</v>
      </c>
      <c r="H69" s="1209">
        <v>21.8</v>
      </c>
      <c r="I69" s="1210">
        <v>20.72</v>
      </c>
      <c r="J69" s="127"/>
    </row>
    <row r="70" spans="1:10" s="79" customFormat="1" ht="12.75" customHeight="1">
      <c r="A70" s="1110">
        <v>43451</v>
      </c>
      <c r="B70" s="1107">
        <v>24.56</v>
      </c>
      <c r="C70" s="1108">
        <v>23.88</v>
      </c>
      <c r="D70" s="1108">
        <v>22.69</v>
      </c>
      <c r="E70" s="1109">
        <v>21.6</v>
      </c>
      <c r="F70" s="1107">
        <v>23.49</v>
      </c>
      <c r="G70" s="1108">
        <v>22.99</v>
      </c>
      <c r="H70" s="1108">
        <v>21.8</v>
      </c>
      <c r="I70" s="1109">
        <v>20.72</v>
      </c>
      <c r="J70" s="127"/>
    </row>
    <row r="71" spans="1:10" ht="13.5" thickBot="1">
      <c r="A71" s="1207">
        <v>43460</v>
      </c>
      <c r="B71" s="1211">
        <v>24.25</v>
      </c>
      <c r="C71" s="1209">
        <v>23.58</v>
      </c>
      <c r="D71" s="1209">
        <v>22.39</v>
      </c>
      <c r="E71" s="1210">
        <v>21.09</v>
      </c>
      <c r="F71" s="1211">
        <v>23.2</v>
      </c>
      <c r="G71" s="1209">
        <v>22.71</v>
      </c>
      <c r="H71" s="1209">
        <v>21.52</v>
      </c>
      <c r="I71" s="1210">
        <v>20.22</v>
      </c>
      <c r="J71" s="127"/>
    </row>
    <row r="72" spans="1:10" ht="13.5" thickBot="1">
      <c r="A72" s="1212" t="s">
        <v>7</v>
      </c>
      <c r="B72" s="1213">
        <f t="shared" ref="B72:I72" si="11">AVERAGE(B68:B71)</f>
        <v>24.495000000000001</v>
      </c>
      <c r="C72" s="1213">
        <f t="shared" si="11"/>
        <v>23.81</v>
      </c>
      <c r="D72" s="1213">
        <f t="shared" si="11"/>
        <v>22.62</v>
      </c>
      <c r="E72" s="1213">
        <f t="shared" si="11"/>
        <v>21.597500000000004</v>
      </c>
      <c r="F72" s="1213">
        <f t="shared" si="11"/>
        <v>23.419999999999998</v>
      </c>
      <c r="G72" s="1213">
        <f t="shared" si="11"/>
        <v>22.932499999999997</v>
      </c>
      <c r="H72" s="1213">
        <f t="shared" si="11"/>
        <v>21.737499999999997</v>
      </c>
      <c r="I72" s="1214">
        <f t="shared" si="11"/>
        <v>20.7225</v>
      </c>
      <c r="J72" s="127"/>
    </row>
    <row r="73" spans="1:10">
      <c r="A73" s="651"/>
      <c r="B73" s="651"/>
      <c r="C73" s="651"/>
      <c r="D73" s="651"/>
      <c r="E73" s="651"/>
      <c r="F73" s="651"/>
      <c r="G73" s="651"/>
      <c r="H73" s="651"/>
      <c r="I73" s="651"/>
      <c r="J73" s="127"/>
    </row>
    <row r="74" spans="1:10" ht="15">
      <c r="A74" s="651"/>
      <c r="B74" s="1353"/>
      <c r="C74" s="651"/>
      <c r="D74" s="651"/>
      <c r="E74" s="651"/>
      <c r="F74" s="651"/>
      <c r="G74" s="651"/>
      <c r="H74" s="651"/>
      <c r="I74" s="651"/>
      <c r="J74" s="127"/>
    </row>
    <row r="75" spans="1:10">
      <c r="A75" s="127"/>
      <c r="B75" s="127"/>
      <c r="C75" s="127"/>
      <c r="D75" s="127"/>
      <c r="E75" s="127"/>
      <c r="F75" s="127"/>
      <c r="G75" s="127"/>
      <c r="H75" s="127"/>
      <c r="I75" s="127"/>
      <c r="J75" s="127"/>
    </row>
    <row r="76" spans="1:10">
      <c r="A76" s="127"/>
      <c r="B76" s="127"/>
      <c r="C76" s="127"/>
      <c r="D76" s="127"/>
      <c r="E76" s="127"/>
      <c r="F76" s="127"/>
      <c r="G76" s="127"/>
      <c r="H76" s="127"/>
      <c r="I76" s="127"/>
      <c r="J76" s="127"/>
    </row>
    <row r="77" spans="1:10">
      <c r="A77" s="127"/>
      <c r="B77" s="127"/>
      <c r="C77" s="127"/>
      <c r="D77" s="127"/>
      <c r="E77" s="127"/>
      <c r="F77" s="127"/>
      <c r="G77" s="127"/>
      <c r="H77" s="127"/>
      <c r="I77" s="127"/>
      <c r="J77" s="127"/>
    </row>
    <row r="78" spans="1:10">
      <c r="A78" s="127"/>
      <c r="B78" s="127"/>
      <c r="C78" s="127"/>
      <c r="D78" s="127"/>
      <c r="E78" s="127"/>
      <c r="F78" s="127"/>
      <c r="G78" s="127"/>
      <c r="H78" s="127"/>
      <c r="I78" s="127"/>
      <c r="J78" s="127"/>
    </row>
    <row r="79" spans="1:10">
      <c r="A79" s="127"/>
      <c r="B79" s="127"/>
      <c r="C79" s="127"/>
      <c r="D79" s="127"/>
      <c r="E79" s="127"/>
      <c r="F79" s="127"/>
      <c r="G79" s="127"/>
      <c r="H79" s="127"/>
      <c r="I79" s="127"/>
      <c r="J79" s="127"/>
    </row>
    <row r="80" spans="1:10">
      <c r="A80" s="127"/>
      <c r="B80" s="127"/>
      <c r="C80" s="127"/>
      <c r="D80" s="127"/>
      <c r="E80" s="127"/>
      <c r="F80" s="127"/>
      <c r="G80" s="127"/>
      <c r="H80" s="127"/>
      <c r="I80" s="127"/>
      <c r="J80" s="127"/>
    </row>
    <row r="81" spans="1:10">
      <c r="A81" s="127"/>
      <c r="B81" s="127"/>
      <c r="C81" s="127"/>
      <c r="D81" s="127"/>
      <c r="E81" s="127"/>
      <c r="F81" s="127"/>
      <c r="G81" s="127"/>
      <c r="H81" s="127"/>
      <c r="I81" s="127"/>
      <c r="J81" s="127"/>
    </row>
    <row r="82" spans="1:10">
      <c r="A82" s="127"/>
      <c r="B82" s="127"/>
      <c r="C82" s="127"/>
      <c r="D82" s="127"/>
      <c r="E82" s="127"/>
      <c r="F82" s="127"/>
      <c r="G82" s="127"/>
      <c r="H82" s="127"/>
      <c r="I82" s="127"/>
      <c r="J82" s="127"/>
    </row>
    <row r="83" spans="1:10">
      <c r="A83" s="127"/>
      <c r="B83" s="127"/>
      <c r="C83" s="127"/>
      <c r="D83" s="127"/>
      <c r="E83" s="127"/>
      <c r="F83" s="127"/>
      <c r="G83" s="127"/>
      <c r="H83" s="127"/>
      <c r="I83" s="127"/>
      <c r="J83" s="127"/>
    </row>
    <row r="84" spans="1:10">
      <c r="A84" s="127"/>
      <c r="B84" s="127"/>
      <c r="C84" s="127"/>
      <c r="D84" s="127"/>
      <c r="E84" s="127"/>
      <c r="F84" s="127"/>
      <c r="G84" s="127"/>
      <c r="H84" s="127"/>
      <c r="I84" s="127"/>
      <c r="J84" s="127"/>
    </row>
    <row r="85" spans="1:10">
      <c r="A85" s="127"/>
      <c r="B85" s="127"/>
      <c r="C85" s="127"/>
      <c r="D85" s="127"/>
      <c r="E85" s="127"/>
      <c r="F85" s="127"/>
      <c r="G85" s="127"/>
      <c r="H85" s="127"/>
      <c r="I85" s="127"/>
      <c r="J85" s="127"/>
    </row>
    <row r="86" spans="1:10">
      <c r="A86" s="127"/>
      <c r="B86" s="127"/>
      <c r="C86" s="127"/>
      <c r="D86" s="127"/>
      <c r="E86" s="127"/>
      <c r="F86" s="127"/>
      <c r="G86" s="127"/>
      <c r="H86" s="127"/>
      <c r="I86" s="127"/>
      <c r="J86" s="127"/>
    </row>
    <row r="87" spans="1:10">
      <c r="A87" s="127"/>
      <c r="B87" s="127"/>
      <c r="C87" s="127"/>
      <c r="D87" s="127"/>
      <c r="E87" s="127"/>
      <c r="F87" s="127"/>
      <c r="G87" s="127"/>
      <c r="H87" s="127"/>
      <c r="I87" s="127"/>
      <c r="J87" s="127"/>
    </row>
    <row r="88" spans="1:10">
      <c r="A88" s="127"/>
      <c r="B88" s="127"/>
      <c r="C88" s="127"/>
      <c r="D88" s="127"/>
      <c r="E88" s="127"/>
      <c r="F88" s="127"/>
      <c r="G88" s="127"/>
      <c r="H88" s="127"/>
      <c r="I88" s="127"/>
      <c r="J88" s="127"/>
    </row>
    <row r="89" spans="1:10">
      <c r="A89" s="127"/>
      <c r="B89" s="127"/>
      <c r="C89" s="127"/>
      <c r="D89" s="127"/>
      <c r="E89" s="127"/>
      <c r="F89" s="127"/>
      <c r="G89" s="127"/>
      <c r="H89" s="127"/>
      <c r="I89" s="127"/>
      <c r="J89" s="127"/>
    </row>
    <row r="90" spans="1:10">
      <c r="A90" s="127"/>
      <c r="B90" s="127"/>
      <c r="C90" s="127"/>
      <c r="D90" s="127"/>
      <c r="E90" s="127"/>
      <c r="F90" s="127"/>
      <c r="G90" s="127"/>
      <c r="H90" s="127"/>
      <c r="I90" s="127"/>
      <c r="J90" s="127"/>
    </row>
    <row r="91" spans="1:10">
      <c r="A91" s="127"/>
      <c r="B91" s="127"/>
      <c r="C91" s="127"/>
      <c r="D91" s="127"/>
      <c r="E91" s="127"/>
      <c r="F91" s="127"/>
      <c r="G91" s="127"/>
      <c r="H91" s="127"/>
      <c r="I91" s="127"/>
      <c r="J91" s="127"/>
    </row>
    <row r="92" spans="1:10">
      <c r="A92" s="127"/>
      <c r="B92" s="127"/>
      <c r="C92" s="127"/>
      <c r="D92" s="127"/>
      <c r="E92" s="127"/>
      <c r="F92" s="127"/>
      <c r="G92" s="127"/>
      <c r="H92" s="127"/>
      <c r="I92" s="127"/>
      <c r="J92" s="127"/>
    </row>
    <row r="93" spans="1:10">
      <c r="A93" s="127"/>
      <c r="B93" s="127"/>
      <c r="C93" s="127"/>
      <c r="D93" s="127"/>
      <c r="E93" s="127"/>
      <c r="F93" s="127"/>
      <c r="G93" s="127"/>
      <c r="H93" s="127"/>
      <c r="I93" s="127"/>
      <c r="J93" s="127"/>
    </row>
    <row r="94" spans="1:10">
      <c r="A94" s="127"/>
      <c r="B94" s="127"/>
      <c r="C94" s="127"/>
      <c r="D94" s="127"/>
      <c r="E94" s="127"/>
      <c r="F94" s="127"/>
      <c r="G94" s="127"/>
      <c r="H94" s="127"/>
      <c r="I94" s="127"/>
      <c r="J94" s="127"/>
    </row>
    <row r="95" spans="1:10">
      <c r="A95" s="127"/>
      <c r="B95" s="127"/>
      <c r="C95" s="127"/>
      <c r="D95" s="127"/>
      <c r="E95" s="127"/>
      <c r="F95" s="127"/>
      <c r="G95" s="127"/>
      <c r="H95" s="127"/>
      <c r="I95" s="127"/>
      <c r="J95" s="127"/>
    </row>
    <row r="96" spans="1:10">
      <c r="A96" s="127"/>
      <c r="B96" s="127"/>
      <c r="C96" s="127"/>
      <c r="D96" s="127"/>
      <c r="E96" s="127"/>
      <c r="F96" s="127"/>
      <c r="G96" s="127"/>
      <c r="H96" s="127"/>
      <c r="I96" s="127"/>
      <c r="J96" s="127"/>
    </row>
    <row r="97" spans="1:10">
      <c r="A97" s="127"/>
      <c r="B97" s="127"/>
      <c r="C97" s="127"/>
      <c r="D97" s="127"/>
      <c r="E97" s="127"/>
      <c r="F97" s="127"/>
      <c r="G97" s="127"/>
      <c r="H97" s="127"/>
      <c r="I97" s="127"/>
      <c r="J97" s="127"/>
    </row>
    <row r="98" spans="1:10">
      <c r="A98" s="127"/>
      <c r="B98" s="127"/>
      <c r="C98" s="127"/>
      <c r="D98" s="127"/>
      <c r="E98" s="127"/>
      <c r="F98" s="127"/>
      <c r="G98" s="127"/>
      <c r="H98" s="127"/>
      <c r="I98" s="127"/>
      <c r="J98" s="127"/>
    </row>
    <row r="99" spans="1:10">
      <c r="A99" s="127"/>
      <c r="B99" s="127"/>
      <c r="C99" s="127"/>
      <c r="D99" s="127"/>
      <c r="E99" s="127"/>
      <c r="F99" s="127"/>
      <c r="G99" s="127"/>
      <c r="H99" s="127"/>
      <c r="I99" s="127"/>
      <c r="J99" s="127"/>
    </row>
    <row r="100" spans="1:10">
      <c r="A100" s="127"/>
      <c r="B100" s="127"/>
      <c r="C100" s="127"/>
      <c r="D100" s="127"/>
      <c r="E100" s="127"/>
      <c r="F100" s="127"/>
      <c r="G100" s="127"/>
      <c r="H100" s="127"/>
      <c r="I100" s="127"/>
      <c r="J100" s="127"/>
    </row>
    <row r="101" spans="1:10">
      <c r="A101" s="127"/>
      <c r="B101" s="127"/>
      <c r="C101" s="127"/>
      <c r="D101" s="127"/>
      <c r="E101" s="127"/>
      <c r="F101" s="127"/>
      <c r="G101" s="127"/>
      <c r="H101" s="127"/>
      <c r="I101" s="127"/>
      <c r="J101" s="127"/>
    </row>
    <row r="102" spans="1:10">
      <c r="A102" s="127"/>
      <c r="B102" s="127"/>
      <c r="C102" s="127"/>
      <c r="D102" s="127"/>
      <c r="E102" s="127"/>
      <c r="F102" s="127"/>
      <c r="G102" s="127"/>
      <c r="H102" s="127"/>
      <c r="I102" s="127"/>
      <c r="J102" s="127"/>
    </row>
    <row r="103" spans="1:10">
      <c r="A103" s="127"/>
      <c r="B103" s="127"/>
      <c r="C103" s="127"/>
      <c r="D103" s="127"/>
      <c r="E103" s="127"/>
      <c r="F103" s="127"/>
      <c r="G103" s="127"/>
      <c r="H103" s="127"/>
      <c r="I103" s="127"/>
      <c r="J103" s="127"/>
    </row>
    <row r="104" spans="1:10">
      <c r="A104" s="127"/>
      <c r="B104" s="127"/>
      <c r="C104" s="127"/>
      <c r="D104" s="127"/>
      <c r="E104" s="127"/>
      <c r="F104" s="127"/>
      <c r="G104" s="127"/>
      <c r="H104" s="127"/>
      <c r="I104" s="127"/>
      <c r="J104" s="127"/>
    </row>
    <row r="105" spans="1:10">
      <c r="A105" s="127"/>
      <c r="B105" s="127"/>
      <c r="C105" s="127"/>
      <c r="D105" s="127"/>
      <c r="E105" s="127"/>
      <c r="F105" s="127"/>
      <c r="G105" s="127"/>
      <c r="H105" s="127"/>
      <c r="I105" s="127"/>
      <c r="J105" s="127"/>
    </row>
    <row r="106" spans="1:10">
      <c r="A106" s="127"/>
      <c r="B106" s="127"/>
      <c r="C106" s="127"/>
      <c r="D106" s="127"/>
      <c r="E106" s="127"/>
      <c r="F106" s="127"/>
      <c r="G106" s="127"/>
      <c r="H106" s="127"/>
      <c r="I106" s="127"/>
      <c r="J106" s="127"/>
    </row>
    <row r="107" spans="1:10">
      <c r="A107" s="127"/>
      <c r="B107" s="127"/>
      <c r="C107" s="127"/>
      <c r="D107" s="127"/>
      <c r="E107" s="127"/>
      <c r="F107" s="127"/>
      <c r="G107" s="127"/>
      <c r="H107" s="127"/>
      <c r="I107" s="127"/>
      <c r="J107" s="127"/>
    </row>
    <row r="108" spans="1:10">
      <c r="A108" s="127"/>
      <c r="B108" s="127"/>
      <c r="C108" s="127"/>
      <c r="D108" s="127"/>
      <c r="E108" s="127"/>
      <c r="F108" s="127"/>
      <c r="G108" s="127"/>
      <c r="H108" s="127"/>
      <c r="I108" s="127"/>
      <c r="J108" s="127"/>
    </row>
    <row r="109" spans="1:10">
      <c r="A109" s="127"/>
      <c r="B109" s="127"/>
      <c r="C109" s="127"/>
      <c r="D109" s="127"/>
      <c r="E109" s="127"/>
      <c r="F109" s="127"/>
      <c r="G109" s="127"/>
      <c r="H109" s="127"/>
      <c r="I109" s="127"/>
      <c r="J109" s="127"/>
    </row>
  </sheetData>
  <mergeCells count="8">
    <mergeCell ref="B7:E7"/>
    <mergeCell ref="F7:I7"/>
    <mergeCell ref="A1:I1"/>
    <mergeCell ref="A2:I2"/>
    <mergeCell ref="A3:I3"/>
    <mergeCell ref="A4:I4"/>
    <mergeCell ref="A5:I5"/>
    <mergeCell ref="A6:I6"/>
  </mergeCells>
  <pageMargins left="1.47" right="0.42" top="0.6" bottom="1" header="0" footer="0"/>
  <pageSetup scale="6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O110"/>
  <sheetViews>
    <sheetView view="pageBreakPreview" topLeftCell="A2" zoomScale="145" zoomScaleNormal="75" zoomScaleSheetLayoutView="145" workbookViewId="0">
      <selection activeCell="C42" sqref="C42"/>
    </sheetView>
  </sheetViews>
  <sheetFormatPr baseColWidth="10" defaultColWidth="11.42578125" defaultRowHeight="12.75"/>
  <cols>
    <col min="1" max="1" width="16.28515625" customWidth="1"/>
    <col min="2" max="2" width="11.7109375" customWidth="1"/>
    <col min="4" max="4" width="11.28515625" customWidth="1"/>
    <col min="6" max="6" width="12.140625" customWidth="1"/>
    <col min="10" max="10" width="4" customWidth="1"/>
  </cols>
  <sheetData>
    <row r="1" spans="1:11" ht="20.25">
      <c r="A1" s="1575" t="s">
        <v>495</v>
      </c>
      <c r="B1" s="1576"/>
      <c r="C1" s="1576" t="s">
        <v>495</v>
      </c>
      <c r="D1" s="1576"/>
      <c r="E1" s="1576"/>
      <c r="F1" s="1576"/>
      <c r="G1" s="1576"/>
      <c r="H1" s="1576"/>
      <c r="I1" s="1577"/>
      <c r="J1" s="63"/>
    </row>
    <row r="2" spans="1:11" ht="20.25" customHeight="1">
      <c r="A2" s="1581" t="s">
        <v>569</v>
      </c>
      <c r="B2" s="1582"/>
      <c r="C2" s="1582"/>
      <c r="D2" s="1582"/>
      <c r="E2" s="1582"/>
      <c r="F2" s="1582"/>
      <c r="G2" s="1582"/>
      <c r="H2" s="1582"/>
      <c r="I2" s="1583"/>
      <c r="J2" s="63"/>
    </row>
    <row r="3" spans="1:11">
      <c r="A3" s="1549"/>
      <c r="B3" s="1550"/>
      <c r="C3" s="1550"/>
      <c r="D3" s="1550"/>
      <c r="E3" s="1550"/>
      <c r="F3" s="1550"/>
      <c r="G3" s="1550"/>
      <c r="H3" s="1550"/>
      <c r="I3" s="1551"/>
      <c r="J3" s="63"/>
    </row>
    <row r="4" spans="1:11">
      <c r="A4" s="1549" t="s">
        <v>22</v>
      </c>
      <c r="B4" s="1550"/>
      <c r="C4" s="1550"/>
      <c r="D4" s="1550"/>
      <c r="E4" s="1550"/>
      <c r="F4" s="1550"/>
      <c r="G4" s="1550"/>
      <c r="H4" s="1550"/>
      <c r="I4" s="1551"/>
      <c r="J4" s="63"/>
    </row>
    <row r="5" spans="1:11">
      <c r="A5" s="1549" t="s">
        <v>23</v>
      </c>
      <c r="B5" s="1550"/>
      <c r="C5" s="1550"/>
      <c r="D5" s="1550"/>
      <c r="E5" s="1550"/>
      <c r="F5" s="1550"/>
      <c r="G5" s="1550"/>
      <c r="H5" s="1550"/>
      <c r="I5" s="1551"/>
      <c r="J5" s="63"/>
    </row>
    <row r="6" spans="1:11" ht="18.75" customHeight="1" thickBot="1">
      <c r="A6" s="1578" t="s">
        <v>0</v>
      </c>
      <c r="B6" s="1579"/>
      <c r="C6" s="1579"/>
      <c r="D6" s="1579"/>
      <c r="E6" s="1579"/>
      <c r="F6" s="1579"/>
      <c r="G6" s="1579"/>
      <c r="H6" s="1579"/>
      <c r="I6" s="1580"/>
      <c r="J6" s="63"/>
    </row>
    <row r="7" spans="1:11" ht="24.75" customHeight="1" thickBot="1">
      <c r="A7" s="1199" t="s">
        <v>1</v>
      </c>
      <c r="B7" s="1561" t="s">
        <v>2</v>
      </c>
      <c r="C7" s="1562"/>
      <c r="D7" s="1562"/>
      <c r="E7" s="1563"/>
      <c r="F7" s="1564" t="s">
        <v>3</v>
      </c>
      <c r="G7" s="1565"/>
      <c r="H7" s="1565"/>
      <c r="I7" s="1566"/>
      <c r="J7" s="63"/>
    </row>
    <row r="8" spans="1:11" ht="21" customHeight="1" thickBot="1">
      <c r="A8" s="1200" t="s">
        <v>21</v>
      </c>
      <c r="B8" s="1201" t="s">
        <v>533</v>
      </c>
      <c r="C8" s="1201" t="s">
        <v>4</v>
      </c>
      <c r="D8" s="1202" t="s">
        <v>5</v>
      </c>
      <c r="E8" s="1203" t="s">
        <v>6</v>
      </c>
      <c r="F8" s="1204" t="s">
        <v>533</v>
      </c>
      <c r="G8" s="1204" t="s">
        <v>4</v>
      </c>
      <c r="H8" s="1205" t="s">
        <v>5</v>
      </c>
      <c r="I8" s="1206" t="s">
        <v>6</v>
      </c>
      <c r="J8" s="63"/>
    </row>
    <row r="9" spans="1:11">
      <c r="A9" s="1110">
        <v>43467</v>
      </c>
      <c r="B9" s="1107">
        <v>23.78</v>
      </c>
      <c r="C9" s="1108">
        <v>23.11</v>
      </c>
      <c r="D9" s="1108">
        <v>21.94</v>
      </c>
      <c r="E9" s="1109">
        <v>20.59</v>
      </c>
      <c r="F9" s="1111">
        <v>22.7</v>
      </c>
      <c r="G9" s="1112">
        <v>22.2</v>
      </c>
      <c r="H9" s="1112">
        <v>21.02</v>
      </c>
      <c r="I9" s="1113">
        <v>19.73</v>
      </c>
      <c r="J9" s="79"/>
    </row>
    <row r="10" spans="1:11">
      <c r="A10" s="1215">
        <v>43472</v>
      </c>
      <c r="B10" s="1211">
        <v>23.3</v>
      </c>
      <c r="C10" s="1209">
        <v>22.61</v>
      </c>
      <c r="D10" s="1209">
        <v>21.42</v>
      </c>
      <c r="E10" s="1210">
        <v>20.079999999999998</v>
      </c>
      <c r="F10" s="1208">
        <v>22.2</v>
      </c>
      <c r="G10" s="1209">
        <v>21.72</v>
      </c>
      <c r="H10" s="1209">
        <v>20.52</v>
      </c>
      <c r="I10" s="1210">
        <v>19.21</v>
      </c>
      <c r="J10" s="79"/>
    </row>
    <row r="11" spans="1:11">
      <c r="A11" s="1110">
        <v>43479</v>
      </c>
      <c r="B11" s="1107">
        <v>23.65</v>
      </c>
      <c r="C11" s="1108">
        <v>22.9</v>
      </c>
      <c r="D11" s="1108">
        <v>21.79</v>
      </c>
      <c r="E11" s="1109">
        <v>20.66</v>
      </c>
      <c r="F11" s="1114">
        <v>22.61</v>
      </c>
      <c r="G11" s="1108">
        <v>22.1</v>
      </c>
      <c r="H11" s="1108">
        <v>20.91</v>
      </c>
      <c r="I11" s="1109">
        <v>19.809999999999999</v>
      </c>
      <c r="J11" s="79"/>
    </row>
    <row r="12" spans="1:11">
      <c r="A12" s="1215">
        <v>43486</v>
      </c>
      <c r="B12" s="1211">
        <v>23.84</v>
      </c>
      <c r="C12" s="1209">
        <v>23.16</v>
      </c>
      <c r="D12" s="1209">
        <v>21.99</v>
      </c>
      <c r="E12" s="1210">
        <v>21.06</v>
      </c>
      <c r="F12" s="1208">
        <v>22.8</v>
      </c>
      <c r="G12" s="1209">
        <v>22.3</v>
      </c>
      <c r="H12" s="1209">
        <v>21.1</v>
      </c>
      <c r="I12" s="1210">
        <v>20.2</v>
      </c>
      <c r="J12" s="79"/>
    </row>
    <row r="13" spans="1:11" ht="13.5" thickBot="1">
      <c r="A13" s="1110">
        <v>43493</v>
      </c>
      <c r="B13" s="1107">
        <v>24.05</v>
      </c>
      <c r="C13" s="1108">
        <v>23.39</v>
      </c>
      <c r="D13" s="1108">
        <v>22.2</v>
      </c>
      <c r="E13" s="1109">
        <v>21.27</v>
      </c>
      <c r="F13" s="1107">
        <v>23</v>
      </c>
      <c r="G13" s="1108">
        <v>22.51</v>
      </c>
      <c r="H13" s="1108">
        <v>21.31</v>
      </c>
      <c r="I13" s="1109">
        <v>20.399999999999999</v>
      </c>
      <c r="J13" s="79"/>
    </row>
    <row r="14" spans="1:11" ht="13.5" thickBot="1">
      <c r="A14" s="1212" t="s">
        <v>7</v>
      </c>
      <c r="B14" s="1213">
        <f t="shared" ref="B14:I14" si="0">AVERAGE(B9:B13)</f>
        <v>23.723999999999997</v>
      </c>
      <c r="C14" s="1213">
        <f t="shared" si="0"/>
        <v>23.033999999999999</v>
      </c>
      <c r="D14" s="1213">
        <f t="shared" si="0"/>
        <v>21.868000000000002</v>
      </c>
      <c r="E14" s="1213">
        <f t="shared" si="0"/>
        <v>20.731999999999999</v>
      </c>
      <c r="F14" s="1213">
        <f t="shared" si="0"/>
        <v>22.661999999999999</v>
      </c>
      <c r="G14" s="1213">
        <f t="shared" si="0"/>
        <v>22.166000000000004</v>
      </c>
      <c r="H14" s="1213">
        <f t="shared" si="0"/>
        <v>20.972000000000001</v>
      </c>
      <c r="I14" s="1214">
        <f t="shared" si="0"/>
        <v>19.869999999999997</v>
      </c>
      <c r="J14" s="79"/>
      <c r="K14" s="767" t="s">
        <v>148</v>
      </c>
    </row>
    <row r="15" spans="1:11">
      <c r="A15" s="10">
        <v>43500</v>
      </c>
      <c r="B15" s="115">
        <v>24.04</v>
      </c>
      <c r="C15" s="56">
        <v>23.39</v>
      </c>
      <c r="D15" s="56">
        <v>22.19</v>
      </c>
      <c r="E15" s="62">
        <v>21.52</v>
      </c>
      <c r="F15" s="115">
        <v>23</v>
      </c>
      <c r="G15" s="56">
        <v>22.51</v>
      </c>
      <c r="H15" s="56">
        <v>21.31</v>
      </c>
      <c r="I15" s="62">
        <v>20.69</v>
      </c>
      <c r="J15" s="79"/>
    </row>
    <row r="16" spans="1:11">
      <c r="A16" s="1207">
        <v>43507</v>
      </c>
      <c r="B16" s="1211">
        <v>24.05</v>
      </c>
      <c r="C16" s="1209">
        <v>23.37</v>
      </c>
      <c r="D16" s="1209">
        <v>22.17</v>
      </c>
      <c r="E16" s="1210">
        <v>21.54</v>
      </c>
      <c r="F16" s="1211">
        <v>23</v>
      </c>
      <c r="G16" s="1209">
        <v>22.51</v>
      </c>
      <c r="H16" s="1209">
        <v>21.31</v>
      </c>
      <c r="I16" s="1210">
        <v>20.69</v>
      </c>
      <c r="J16" s="79"/>
    </row>
    <row r="17" spans="1:10">
      <c r="A17" s="567">
        <v>43514</v>
      </c>
      <c r="B17" s="115">
        <v>24.513000000000002</v>
      </c>
      <c r="C17" s="56">
        <v>23.85</v>
      </c>
      <c r="D17" s="56">
        <v>22.67</v>
      </c>
      <c r="E17" s="62">
        <v>22.05</v>
      </c>
      <c r="F17" s="115">
        <v>23.48</v>
      </c>
      <c r="G17" s="56">
        <v>22.99</v>
      </c>
      <c r="H17" s="56">
        <v>21.79</v>
      </c>
      <c r="I17" s="62">
        <v>21.2</v>
      </c>
      <c r="J17" s="79"/>
    </row>
    <row r="18" spans="1:10" ht="13.5" thickBot="1">
      <c r="A18" s="1207">
        <v>43521</v>
      </c>
      <c r="B18" s="1211">
        <v>25.55</v>
      </c>
      <c r="C18" s="1209">
        <v>24.85</v>
      </c>
      <c r="D18" s="1209">
        <v>23.67</v>
      </c>
      <c r="E18" s="1210">
        <v>22.64</v>
      </c>
      <c r="F18" s="1211">
        <v>24.5</v>
      </c>
      <c r="G18" s="1209">
        <v>23.99</v>
      </c>
      <c r="H18" s="1209">
        <v>22.79</v>
      </c>
      <c r="I18" s="1210">
        <v>21.79</v>
      </c>
      <c r="J18" s="79"/>
    </row>
    <row r="19" spans="1:10" ht="13.5" thickBot="1">
      <c r="A19" s="1212" t="s">
        <v>7</v>
      </c>
      <c r="B19" s="1213">
        <f t="shared" ref="B19:I19" si="1">AVERAGE(B15:B18)</f>
        <v>24.538250000000001</v>
      </c>
      <c r="C19" s="1213">
        <f t="shared" si="1"/>
        <v>23.865000000000002</v>
      </c>
      <c r="D19" s="1213">
        <f t="shared" si="1"/>
        <v>22.675000000000001</v>
      </c>
      <c r="E19" s="1213">
        <f t="shared" si="1"/>
        <v>21.9375</v>
      </c>
      <c r="F19" s="1213">
        <f t="shared" si="1"/>
        <v>23.495000000000001</v>
      </c>
      <c r="G19" s="1213">
        <f t="shared" si="1"/>
        <v>23</v>
      </c>
      <c r="H19" s="1213">
        <f t="shared" si="1"/>
        <v>21.799999999999997</v>
      </c>
      <c r="I19" s="1214">
        <f t="shared" si="1"/>
        <v>21.092500000000001</v>
      </c>
      <c r="J19" s="79"/>
    </row>
    <row r="20" spans="1:10">
      <c r="A20" s="10">
        <v>43531</v>
      </c>
      <c r="B20" s="1107">
        <v>38.47</v>
      </c>
      <c r="C20" s="1108">
        <v>38.85</v>
      </c>
      <c r="D20" s="1108">
        <v>38.24</v>
      </c>
      <c r="E20" s="1109">
        <v>36.93</v>
      </c>
      <c r="F20" s="1107">
        <v>39.380000000000003</v>
      </c>
      <c r="G20" s="1108">
        <v>37.979999999999997</v>
      </c>
      <c r="H20" s="1108">
        <v>37.39</v>
      </c>
      <c r="I20" s="1109">
        <v>36.090000000000003</v>
      </c>
      <c r="J20" s="79"/>
    </row>
    <row r="21" spans="1:10">
      <c r="A21" s="1215">
        <v>43537</v>
      </c>
      <c r="B21" s="1211">
        <v>25.93</v>
      </c>
      <c r="C21" s="1209">
        <v>25.28</v>
      </c>
      <c r="D21" s="1209">
        <v>24.09</v>
      </c>
      <c r="E21" s="1210">
        <v>22.84</v>
      </c>
      <c r="F21" s="1211">
        <v>24.9</v>
      </c>
      <c r="G21" s="1209">
        <v>24.41</v>
      </c>
      <c r="H21" s="1209">
        <v>23.23</v>
      </c>
      <c r="I21" s="1210">
        <v>21.99</v>
      </c>
      <c r="J21" s="79"/>
    </row>
    <row r="22" spans="1:10">
      <c r="A22" s="1110">
        <v>43542</v>
      </c>
      <c r="B22" s="1107">
        <v>27.02</v>
      </c>
      <c r="C22" s="1108">
        <v>26.26</v>
      </c>
      <c r="D22" s="1108">
        <v>25.06</v>
      </c>
      <c r="E22" s="1109">
        <v>22.69</v>
      </c>
      <c r="F22" s="1107">
        <v>26</v>
      </c>
      <c r="G22" s="1108">
        <v>25.42</v>
      </c>
      <c r="H22" s="1108">
        <v>24.24</v>
      </c>
      <c r="I22" s="1109">
        <v>21.84</v>
      </c>
      <c r="J22" s="79"/>
    </row>
    <row r="23" spans="1:10" ht="13.5" thickBot="1">
      <c r="A23" s="1207">
        <v>43549</v>
      </c>
      <c r="B23" s="1211">
        <v>27.45</v>
      </c>
      <c r="C23" s="1209">
        <v>26.81</v>
      </c>
      <c r="D23" s="1209">
        <v>25.61</v>
      </c>
      <c r="E23" s="1210">
        <v>22.66</v>
      </c>
      <c r="F23" s="1211">
        <v>26.43</v>
      </c>
      <c r="G23" s="1209">
        <v>25.93</v>
      </c>
      <c r="H23" s="1209">
        <v>24.73</v>
      </c>
      <c r="I23" s="1210">
        <v>21.81</v>
      </c>
      <c r="J23" s="79"/>
    </row>
    <row r="24" spans="1:10" ht="13.5" thickBot="1">
      <c r="A24" s="1212" t="s">
        <v>7</v>
      </c>
      <c r="B24" s="1251">
        <f t="shared" ref="B24:I24" si="2">AVERAGE(B20:B23)</f>
        <v>29.717500000000001</v>
      </c>
      <c r="C24" s="1251">
        <f t="shared" si="2"/>
        <v>29.3</v>
      </c>
      <c r="D24" s="1251">
        <f t="shared" si="2"/>
        <v>28.25</v>
      </c>
      <c r="E24" s="1251">
        <f t="shared" si="2"/>
        <v>26.279999999999998</v>
      </c>
      <c r="F24" s="1213">
        <f t="shared" si="2"/>
        <v>29.177500000000002</v>
      </c>
      <c r="G24" s="1213">
        <f t="shared" si="2"/>
        <v>28.435000000000002</v>
      </c>
      <c r="H24" s="1213">
        <f t="shared" si="2"/>
        <v>27.397500000000001</v>
      </c>
      <c r="I24" s="1214">
        <f t="shared" si="2"/>
        <v>25.432500000000001</v>
      </c>
      <c r="J24" s="79"/>
    </row>
    <row r="25" spans="1:10">
      <c r="A25" s="1258">
        <v>43558</v>
      </c>
      <c r="B25" s="1408">
        <v>24.15</v>
      </c>
      <c r="C25" s="1409">
        <v>23.53</v>
      </c>
      <c r="D25" s="1409">
        <v>22.07</v>
      </c>
      <c r="E25" s="1410">
        <v>17.89</v>
      </c>
      <c r="F25" s="1411">
        <v>23.21</v>
      </c>
      <c r="G25" s="1411">
        <v>22.7</v>
      </c>
      <c r="H25" s="1411">
        <v>21.22</v>
      </c>
      <c r="I25" s="1411">
        <v>17.03</v>
      </c>
      <c r="J25" s="79"/>
    </row>
    <row r="26" spans="1:10">
      <c r="A26" s="103">
        <v>43563</v>
      </c>
      <c r="B26" s="1114">
        <v>27.84</v>
      </c>
      <c r="C26" s="1108">
        <v>27.21</v>
      </c>
      <c r="D26" s="1108">
        <v>26.02</v>
      </c>
      <c r="E26" s="1109">
        <v>22.63</v>
      </c>
      <c r="F26" s="1107">
        <v>26.78</v>
      </c>
      <c r="G26" s="1108">
        <v>26.38</v>
      </c>
      <c r="H26" s="1108">
        <v>25.19</v>
      </c>
      <c r="I26" s="1109">
        <v>21.78</v>
      </c>
      <c r="J26" s="79"/>
    </row>
    <row r="27" spans="1:10">
      <c r="A27" s="1258">
        <v>43570</v>
      </c>
      <c r="B27" s="1208">
        <v>29.03</v>
      </c>
      <c r="C27" s="1209">
        <v>28.35</v>
      </c>
      <c r="D27" s="1209">
        <v>27.17</v>
      </c>
      <c r="E27" s="1210">
        <v>22.84</v>
      </c>
      <c r="F27" s="1211">
        <v>28.01</v>
      </c>
      <c r="G27" s="1209">
        <v>27.48</v>
      </c>
      <c r="H27" s="1209">
        <v>26.29</v>
      </c>
      <c r="I27" s="1210">
        <v>21.99</v>
      </c>
      <c r="J27" s="79"/>
    </row>
    <row r="28" spans="1:10">
      <c r="A28" s="764">
        <v>43577</v>
      </c>
      <c r="B28" s="1114">
        <v>29.05</v>
      </c>
      <c r="C28" s="1108">
        <v>28.35</v>
      </c>
      <c r="D28" s="1108">
        <v>27.17</v>
      </c>
      <c r="E28" s="1109">
        <v>22.84</v>
      </c>
      <c r="F28" s="1107">
        <v>28.01</v>
      </c>
      <c r="G28" s="1108">
        <v>27.49</v>
      </c>
      <c r="H28" s="1108">
        <v>26.31</v>
      </c>
      <c r="I28" s="1109">
        <v>21.99</v>
      </c>
      <c r="J28" s="79"/>
    </row>
    <row r="29" spans="1:10" ht="13.5" thickBot="1">
      <c r="A29" s="1258">
        <v>43585</v>
      </c>
      <c r="B29" s="1265">
        <f>AVERAGE(B25:B28)</f>
        <v>27.517499999999998</v>
      </c>
      <c r="C29" s="1260">
        <f t="shared" ref="C29:I29" si="3">AVERAGE(C25:C28)</f>
        <v>26.86</v>
      </c>
      <c r="D29" s="1260">
        <f t="shared" si="3"/>
        <v>25.607500000000002</v>
      </c>
      <c r="E29" s="1413">
        <f t="shared" si="3"/>
        <v>21.55</v>
      </c>
      <c r="F29" s="1211">
        <f t="shared" si="3"/>
        <v>26.502500000000001</v>
      </c>
      <c r="G29" s="1211">
        <f t="shared" si="3"/>
        <v>26.012499999999999</v>
      </c>
      <c r="H29" s="1211">
        <f t="shared" si="3"/>
        <v>24.752499999999998</v>
      </c>
      <c r="I29" s="1211">
        <f t="shared" si="3"/>
        <v>20.697499999999998</v>
      </c>
      <c r="J29" s="79"/>
    </row>
    <row r="30" spans="1:10" ht="13.5" thickBot="1">
      <c r="A30" s="1212">
        <v>45048</v>
      </c>
      <c r="B30" s="1223">
        <v>36.58</v>
      </c>
      <c r="C30" s="1223">
        <v>36.090000000000003</v>
      </c>
      <c r="D30" s="1223">
        <v>34.47</v>
      </c>
      <c r="E30" s="1223">
        <v>29.47</v>
      </c>
      <c r="F30" s="1213">
        <v>35.47</v>
      </c>
      <c r="G30" s="1213">
        <v>35.08</v>
      </c>
      <c r="H30" s="1213">
        <v>33.46</v>
      </c>
      <c r="I30" s="1214">
        <v>28.43</v>
      </c>
      <c r="J30" s="79"/>
    </row>
    <row r="31" spans="1:10">
      <c r="A31" s="10">
        <v>45054</v>
      </c>
      <c r="B31" s="1107">
        <v>35.83</v>
      </c>
      <c r="C31" s="1108">
        <v>35.31</v>
      </c>
      <c r="D31" s="1108">
        <v>33.79</v>
      </c>
      <c r="E31" s="1109">
        <v>28.67</v>
      </c>
      <c r="F31" s="1107">
        <v>34.770000000000003</v>
      </c>
      <c r="G31" s="1108">
        <v>34.31</v>
      </c>
      <c r="H31" s="1108">
        <v>32.799999999999997</v>
      </c>
      <c r="I31" s="1109">
        <v>27.68</v>
      </c>
      <c r="J31" s="79"/>
    </row>
    <row r="32" spans="1:10">
      <c r="A32" s="1207">
        <v>45061</v>
      </c>
      <c r="B32" s="1211">
        <v>35.07</v>
      </c>
      <c r="C32" s="1209">
        <v>34.49</v>
      </c>
      <c r="D32" s="1209">
        <v>32.979999999999997</v>
      </c>
      <c r="E32" s="1210">
        <v>28.04</v>
      </c>
      <c r="F32" s="1211">
        <v>33.97</v>
      </c>
      <c r="G32" s="1209">
        <v>33.49</v>
      </c>
      <c r="H32" s="1209">
        <v>31.98</v>
      </c>
      <c r="I32" s="1210">
        <v>27.02</v>
      </c>
      <c r="J32" s="79"/>
    </row>
    <row r="33" spans="1:10">
      <c r="A33" s="1110">
        <v>45068</v>
      </c>
      <c r="B33" s="1107">
        <v>34.81</v>
      </c>
      <c r="C33" s="1108">
        <v>34.32</v>
      </c>
      <c r="D33" s="1108">
        <v>32.96</v>
      </c>
      <c r="E33" s="1109">
        <v>28.04</v>
      </c>
      <c r="F33" s="1107">
        <v>33.78</v>
      </c>
      <c r="G33" s="1108">
        <v>33.35</v>
      </c>
      <c r="H33" s="1108">
        <v>31.97</v>
      </c>
      <c r="I33" s="1109">
        <v>27.01</v>
      </c>
      <c r="J33" s="79"/>
    </row>
    <row r="34" spans="1:10" ht="13.5" thickBot="1">
      <c r="A34" s="1207">
        <v>45075</v>
      </c>
      <c r="B34" s="1211">
        <v>34.86</v>
      </c>
      <c r="C34" s="1209">
        <v>34.31</v>
      </c>
      <c r="D34" s="1209">
        <v>32.97</v>
      </c>
      <c r="E34" s="1210">
        <v>27.99</v>
      </c>
      <c r="F34" s="1211">
        <v>33.82</v>
      </c>
      <c r="G34" s="1209">
        <v>33.299999999999997</v>
      </c>
      <c r="H34" s="1209">
        <v>31.99</v>
      </c>
      <c r="I34" s="1210">
        <v>27</v>
      </c>
      <c r="J34" s="79"/>
    </row>
    <row r="35" spans="1:10" ht="13.5" thickBot="1">
      <c r="A35" s="1212" t="s">
        <v>7</v>
      </c>
      <c r="B35" s="1213">
        <f t="shared" ref="B35:I35" si="4">AVERAGE(B31:B34)</f>
        <v>35.142499999999998</v>
      </c>
      <c r="C35" s="1213">
        <f t="shared" si="4"/>
        <v>34.607500000000002</v>
      </c>
      <c r="D35" s="1213">
        <f t="shared" si="4"/>
        <v>33.174999999999997</v>
      </c>
      <c r="E35" s="1213">
        <f t="shared" si="4"/>
        <v>28.184999999999999</v>
      </c>
      <c r="F35" s="1213">
        <f t="shared" si="4"/>
        <v>34.085000000000001</v>
      </c>
      <c r="G35" s="1213">
        <f t="shared" si="4"/>
        <v>33.612499999999997</v>
      </c>
      <c r="H35" s="1213">
        <f t="shared" si="4"/>
        <v>32.185000000000002</v>
      </c>
      <c r="I35" s="1214">
        <f t="shared" si="4"/>
        <v>27.177500000000002</v>
      </c>
      <c r="J35" s="79"/>
    </row>
    <row r="36" spans="1:10">
      <c r="A36" s="10">
        <v>43619</v>
      </c>
      <c r="B36" s="1107">
        <v>27.74</v>
      </c>
      <c r="C36" s="1108">
        <v>27.09</v>
      </c>
      <c r="D36" s="1108">
        <v>25.92</v>
      </c>
      <c r="E36" s="1109">
        <v>22.4</v>
      </c>
      <c r="F36" s="1107">
        <v>26.7</v>
      </c>
      <c r="G36" s="1108">
        <v>26.21</v>
      </c>
      <c r="H36" s="1108">
        <v>25.02</v>
      </c>
      <c r="I36" s="1109">
        <v>21.52</v>
      </c>
      <c r="J36" s="79"/>
    </row>
    <row r="37" spans="1:10">
      <c r="A37" s="1207">
        <v>43626</v>
      </c>
      <c r="B37" s="1211">
        <v>27.28</v>
      </c>
      <c r="C37" s="1209">
        <v>26.62</v>
      </c>
      <c r="D37" s="1209">
        <v>25.45</v>
      </c>
      <c r="E37" s="1210">
        <v>21.74</v>
      </c>
      <c r="F37" s="1211">
        <v>26.22</v>
      </c>
      <c r="G37" s="1209">
        <v>25.72</v>
      </c>
      <c r="H37" s="1209">
        <v>24.53</v>
      </c>
      <c r="I37" s="1210">
        <v>20.84</v>
      </c>
      <c r="J37" s="79"/>
    </row>
    <row r="38" spans="1:10">
      <c r="A38" s="1110">
        <v>43634</v>
      </c>
      <c r="B38" s="1107">
        <v>26.77</v>
      </c>
      <c r="C38" s="1108">
        <v>26.12</v>
      </c>
      <c r="D38" s="1108">
        <v>24.91</v>
      </c>
      <c r="E38" s="1109">
        <v>21.27</v>
      </c>
      <c r="F38" s="1107">
        <v>25.85</v>
      </c>
      <c r="G38" s="1108">
        <v>25.22</v>
      </c>
      <c r="H38" s="1108">
        <v>24.02</v>
      </c>
      <c r="I38" s="1109">
        <v>20.41</v>
      </c>
      <c r="J38" s="79"/>
    </row>
    <row r="39" spans="1:10" ht="13.5" thickBot="1">
      <c r="A39" s="1207">
        <v>43640</v>
      </c>
      <c r="B39" s="1211">
        <v>26.57</v>
      </c>
      <c r="C39" s="1209">
        <v>25.92</v>
      </c>
      <c r="D39" s="1209">
        <v>24.73</v>
      </c>
      <c r="E39" s="1210">
        <v>21.11</v>
      </c>
      <c r="F39" s="1211">
        <v>25.51</v>
      </c>
      <c r="G39" s="1209">
        <v>25.03</v>
      </c>
      <c r="H39" s="1209">
        <v>23.84</v>
      </c>
      <c r="I39" s="1210">
        <v>20.23</v>
      </c>
      <c r="J39" s="63"/>
    </row>
    <row r="40" spans="1:10" ht="13.5" thickBot="1">
      <c r="A40" s="1212" t="s">
        <v>7</v>
      </c>
      <c r="B40" s="1213">
        <f t="shared" ref="B40:I40" si="5">AVERAGE(B36:B39)</f>
        <v>27.089999999999996</v>
      </c>
      <c r="C40" s="1213">
        <f t="shared" si="5"/>
        <v>26.4375</v>
      </c>
      <c r="D40" s="1213">
        <f t="shared" si="5"/>
        <v>25.252500000000001</v>
      </c>
      <c r="E40" s="1213">
        <f t="shared" si="5"/>
        <v>21.63</v>
      </c>
      <c r="F40" s="1213">
        <f t="shared" si="5"/>
        <v>26.070000000000004</v>
      </c>
      <c r="G40" s="1213">
        <f t="shared" si="5"/>
        <v>25.545000000000002</v>
      </c>
      <c r="H40" s="1213">
        <f t="shared" si="5"/>
        <v>24.352499999999999</v>
      </c>
      <c r="I40" s="1214">
        <f t="shared" si="5"/>
        <v>20.75</v>
      </c>
      <c r="J40" s="63"/>
    </row>
    <row r="41" spans="1:10">
      <c r="A41" s="1110">
        <v>43648</v>
      </c>
      <c r="B41" s="1107">
        <v>27.53</v>
      </c>
      <c r="C41" s="1108">
        <v>26.83</v>
      </c>
      <c r="D41" s="1108">
        <v>25.65</v>
      </c>
      <c r="E41" s="1109">
        <v>22</v>
      </c>
      <c r="F41" s="1111">
        <v>26.5</v>
      </c>
      <c r="G41" s="1112">
        <v>25.96</v>
      </c>
      <c r="H41" s="1112">
        <v>24.77</v>
      </c>
      <c r="I41" s="1113">
        <v>21.16</v>
      </c>
      <c r="J41" s="63"/>
    </row>
    <row r="42" spans="1:10">
      <c r="A42" s="1215">
        <v>43654</v>
      </c>
      <c r="B42" s="1211">
        <v>27.53</v>
      </c>
      <c r="C42" s="1209">
        <v>26.88</v>
      </c>
      <c r="D42" s="1209">
        <v>25.68</v>
      </c>
      <c r="E42" s="1210">
        <v>22.08</v>
      </c>
      <c r="F42" s="1208">
        <v>26.5</v>
      </c>
      <c r="G42" s="1209">
        <v>25.99</v>
      </c>
      <c r="H42" s="1209">
        <v>24.79</v>
      </c>
      <c r="I42" s="1210">
        <v>21.21</v>
      </c>
      <c r="J42" s="63"/>
    </row>
    <row r="43" spans="1:10">
      <c r="A43" s="1110">
        <v>43661</v>
      </c>
      <c r="B43" s="1107">
        <v>28.02</v>
      </c>
      <c r="C43" s="1108">
        <v>27.4</v>
      </c>
      <c r="D43" s="1108">
        <v>26.19</v>
      </c>
      <c r="E43" s="1109">
        <v>21.81</v>
      </c>
      <c r="F43" s="1114">
        <v>27</v>
      </c>
      <c r="G43" s="1108">
        <v>26.5</v>
      </c>
      <c r="H43" s="1108">
        <v>25.3</v>
      </c>
      <c r="I43" s="1109">
        <v>20.91</v>
      </c>
      <c r="J43" s="63"/>
    </row>
    <row r="44" spans="1:10">
      <c r="A44" s="1215">
        <v>43668</v>
      </c>
      <c r="B44" s="1211">
        <v>28.09</v>
      </c>
      <c r="C44" s="1209">
        <v>27.58</v>
      </c>
      <c r="D44" s="1209">
        <v>26.38</v>
      </c>
      <c r="E44" s="1210">
        <v>21.78</v>
      </c>
      <c r="F44" s="1208">
        <v>27.02</v>
      </c>
      <c r="G44" s="1209">
        <v>26.67</v>
      </c>
      <c r="H44" s="1209">
        <v>25.47</v>
      </c>
      <c r="I44" s="1210">
        <v>20.91</v>
      </c>
      <c r="J44" s="63"/>
    </row>
    <row r="45" spans="1:10" ht="13.5" thickBot="1">
      <c r="A45" s="1110">
        <v>43675</v>
      </c>
      <c r="B45" s="1107">
        <v>27.57</v>
      </c>
      <c r="C45" s="1108">
        <v>26.96</v>
      </c>
      <c r="D45" s="1108">
        <v>25.75</v>
      </c>
      <c r="E45" s="1109">
        <v>21.6</v>
      </c>
      <c r="F45" s="1107">
        <v>26.51</v>
      </c>
      <c r="G45" s="1108">
        <v>26.05</v>
      </c>
      <c r="H45" s="1108">
        <v>24.84</v>
      </c>
      <c r="I45" s="1109">
        <v>20.71</v>
      </c>
      <c r="J45" s="63"/>
    </row>
    <row r="46" spans="1:10" ht="13.5" thickBot="1">
      <c r="A46" s="1212" t="s">
        <v>7</v>
      </c>
      <c r="B46" s="1213">
        <f t="shared" ref="B46:I46" si="6">AVERAGE(B41:B45)</f>
        <v>27.748000000000001</v>
      </c>
      <c r="C46" s="1213">
        <f t="shared" si="6"/>
        <v>27.129999999999995</v>
      </c>
      <c r="D46" s="1213">
        <f t="shared" si="6"/>
        <v>25.929999999999996</v>
      </c>
      <c r="E46" s="1213">
        <f t="shared" si="6"/>
        <v>21.854000000000003</v>
      </c>
      <c r="F46" s="1213">
        <f t="shared" si="6"/>
        <v>26.706</v>
      </c>
      <c r="G46" s="1213">
        <f t="shared" si="6"/>
        <v>26.234000000000002</v>
      </c>
      <c r="H46" s="1213">
        <f t="shared" si="6"/>
        <v>25.033999999999999</v>
      </c>
      <c r="I46" s="1214">
        <f t="shared" si="6"/>
        <v>20.98</v>
      </c>
      <c r="J46" s="63"/>
    </row>
    <row r="47" spans="1:10">
      <c r="A47" s="10">
        <v>43682</v>
      </c>
      <c r="B47" s="1107">
        <v>27.55</v>
      </c>
      <c r="C47" s="1108">
        <v>26.9</v>
      </c>
      <c r="D47" s="1108">
        <v>25.7</v>
      </c>
      <c r="E47" s="1109">
        <v>21.58</v>
      </c>
      <c r="F47" s="1107">
        <v>26.51</v>
      </c>
      <c r="G47" s="1108">
        <v>26</v>
      </c>
      <c r="H47" s="1108">
        <v>24.8</v>
      </c>
      <c r="I47" s="1109">
        <v>20.71</v>
      </c>
      <c r="J47" s="63"/>
    </row>
    <row r="48" spans="1:10">
      <c r="A48" s="1207">
        <v>43689</v>
      </c>
      <c r="B48" s="1211">
        <v>26.48</v>
      </c>
      <c r="C48" s="1209">
        <v>25.96</v>
      </c>
      <c r="D48" s="1209">
        <v>24.76</v>
      </c>
      <c r="E48" s="1210">
        <v>21</v>
      </c>
      <c r="F48" s="1211">
        <v>25.42</v>
      </c>
      <c r="G48" s="1209">
        <v>25.04</v>
      </c>
      <c r="H48" s="1209">
        <v>23.84</v>
      </c>
      <c r="I48" s="1210">
        <v>20.100000000000001</v>
      </c>
      <c r="J48" s="63"/>
    </row>
    <row r="49" spans="1:15">
      <c r="A49" s="1110">
        <v>43696</v>
      </c>
      <c r="B49" s="1107">
        <v>26.46</v>
      </c>
      <c r="C49" s="1108">
        <v>25.8</v>
      </c>
      <c r="D49" s="1108">
        <v>24.62</v>
      </c>
      <c r="E49" s="1109">
        <v>20.95</v>
      </c>
      <c r="F49" s="1107">
        <v>25.41</v>
      </c>
      <c r="G49" s="1108">
        <v>24.89</v>
      </c>
      <c r="H49" s="1108">
        <v>23.71</v>
      </c>
      <c r="I49" s="1109">
        <v>20.010000000000002</v>
      </c>
      <c r="J49" s="63"/>
    </row>
    <row r="50" spans="1:15" ht="13.5" thickBot="1">
      <c r="A50" s="1207">
        <v>43703</v>
      </c>
      <c r="B50" s="1211">
        <v>26.26</v>
      </c>
      <c r="C50" s="1209">
        <v>25.62</v>
      </c>
      <c r="D50" s="1209">
        <v>24.41</v>
      </c>
      <c r="E50" s="1210">
        <v>20.9</v>
      </c>
      <c r="F50" s="1211">
        <v>25.2</v>
      </c>
      <c r="G50" s="1209">
        <v>24.71</v>
      </c>
      <c r="H50" s="1209">
        <v>23.51</v>
      </c>
      <c r="I50" s="1210">
        <v>20</v>
      </c>
      <c r="J50" s="63"/>
    </row>
    <row r="51" spans="1:15" ht="13.5" thickBot="1">
      <c r="A51" s="1212" t="s">
        <v>7</v>
      </c>
      <c r="B51" s="1213">
        <f t="shared" ref="B51:I51" si="7">AVERAGE(B47:B50)</f>
        <v>26.687500000000004</v>
      </c>
      <c r="C51" s="1213">
        <f t="shared" si="7"/>
        <v>26.07</v>
      </c>
      <c r="D51" s="1213">
        <f t="shared" si="7"/>
        <v>24.872499999999999</v>
      </c>
      <c r="E51" s="1213">
        <f t="shared" si="7"/>
        <v>21.107500000000002</v>
      </c>
      <c r="F51" s="1213">
        <f t="shared" si="7"/>
        <v>25.635000000000002</v>
      </c>
      <c r="G51" s="1213">
        <f t="shared" si="7"/>
        <v>25.160000000000004</v>
      </c>
      <c r="H51" s="1213">
        <f t="shared" si="7"/>
        <v>23.965</v>
      </c>
      <c r="I51" s="1214">
        <f t="shared" si="7"/>
        <v>20.205000000000002</v>
      </c>
      <c r="J51" s="63"/>
    </row>
    <row r="52" spans="1:15">
      <c r="A52" s="1110">
        <v>43710</v>
      </c>
      <c r="B52" s="1107">
        <v>26.05</v>
      </c>
      <c r="C52" s="1108">
        <v>25.41</v>
      </c>
      <c r="D52" s="1108">
        <v>24.22</v>
      </c>
      <c r="E52" s="1109">
        <v>20.89</v>
      </c>
      <c r="F52" s="1111">
        <v>25.01</v>
      </c>
      <c r="G52" s="1112">
        <v>24.51</v>
      </c>
      <c r="H52" s="1112">
        <v>23.32</v>
      </c>
      <c r="I52" s="1113">
        <v>20</v>
      </c>
      <c r="J52" s="63"/>
    </row>
    <row r="53" spans="1:15">
      <c r="A53" s="1215">
        <v>43717</v>
      </c>
      <c r="B53" s="1211">
        <v>26.05</v>
      </c>
      <c r="C53" s="1209">
        <v>25.41</v>
      </c>
      <c r="D53" s="1209">
        <v>24.21</v>
      </c>
      <c r="E53" s="1210">
        <v>21.51</v>
      </c>
      <c r="F53" s="1208">
        <v>25.01</v>
      </c>
      <c r="G53" s="1209">
        <v>24.52</v>
      </c>
      <c r="H53" s="1209">
        <v>23.32</v>
      </c>
      <c r="I53" s="1210">
        <v>20.67</v>
      </c>
      <c r="J53" s="63"/>
      <c r="K53" s="75"/>
      <c r="L53" s="75"/>
      <c r="M53" s="75"/>
      <c r="N53" s="75"/>
      <c r="O53" s="75"/>
    </row>
    <row r="54" spans="1:15">
      <c r="A54" s="1110">
        <v>43725</v>
      </c>
      <c r="B54" s="1107">
        <v>26.55</v>
      </c>
      <c r="C54" s="1108">
        <v>25.82</v>
      </c>
      <c r="D54" s="1108">
        <v>24.61</v>
      </c>
      <c r="E54" s="1109">
        <v>21.95</v>
      </c>
      <c r="F54" s="1114">
        <v>25.48</v>
      </c>
      <c r="G54" s="1108">
        <v>24.96</v>
      </c>
      <c r="H54" s="1108">
        <v>23.77</v>
      </c>
      <c r="I54" s="1109">
        <v>21.15</v>
      </c>
      <c r="J54" s="63"/>
      <c r="K54" s="75"/>
      <c r="L54" s="56"/>
      <c r="M54" s="56"/>
      <c r="N54" s="56"/>
      <c r="O54" s="56"/>
    </row>
    <row r="55" spans="1:15">
      <c r="A55" s="1215">
        <v>43731</v>
      </c>
      <c r="B55" s="1211">
        <v>27.01</v>
      </c>
      <c r="C55" s="1209">
        <v>26.26</v>
      </c>
      <c r="D55" s="1209">
        <v>25.08</v>
      </c>
      <c r="E55" s="1210">
        <v>22.36</v>
      </c>
      <c r="F55" s="1208">
        <v>25.99</v>
      </c>
      <c r="G55" s="1209">
        <v>25.42</v>
      </c>
      <c r="H55" s="1209">
        <v>24.23</v>
      </c>
      <c r="I55" s="1210">
        <v>21.53</v>
      </c>
      <c r="J55" s="63"/>
      <c r="K55" s="75"/>
      <c r="L55" s="56"/>
      <c r="M55" s="56"/>
      <c r="N55" s="56"/>
      <c r="O55" s="56"/>
    </row>
    <row r="56" spans="1:15" ht="13.5" thickBot="1">
      <c r="A56" s="1110">
        <v>43738</v>
      </c>
      <c r="B56" s="1107">
        <v>27.01</v>
      </c>
      <c r="C56" s="1108">
        <v>26.37</v>
      </c>
      <c r="D56" s="1108">
        <v>25.18</v>
      </c>
      <c r="E56" s="1109">
        <v>22.45</v>
      </c>
      <c r="F56" s="1107">
        <v>26</v>
      </c>
      <c r="G56" s="1108">
        <v>25.5</v>
      </c>
      <c r="H56" s="1108">
        <v>24.3</v>
      </c>
      <c r="I56" s="1109">
        <v>21.59</v>
      </c>
      <c r="J56" s="63"/>
      <c r="K56" s="75"/>
      <c r="L56" s="75"/>
      <c r="M56" s="75"/>
      <c r="N56" s="75"/>
      <c r="O56" s="75"/>
    </row>
    <row r="57" spans="1:15" ht="13.5" thickBot="1">
      <c r="A57" s="1212" t="s">
        <v>7</v>
      </c>
      <c r="B57" s="1213">
        <f t="shared" ref="B57:I57" si="8">AVERAGE(B52:B56)</f>
        <v>26.534000000000002</v>
      </c>
      <c r="C57" s="1213">
        <f t="shared" si="8"/>
        <v>25.854000000000003</v>
      </c>
      <c r="D57" s="1213">
        <f t="shared" si="8"/>
        <v>24.659999999999997</v>
      </c>
      <c r="E57" s="1213">
        <f t="shared" si="8"/>
        <v>21.832000000000001</v>
      </c>
      <c r="F57" s="1213">
        <f t="shared" si="8"/>
        <v>25.497999999999998</v>
      </c>
      <c r="G57" s="1213">
        <f t="shared" si="8"/>
        <v>24.982000000000003</v>
      </c>
      <c r="H57" s="1213">
        <f t="shared" si="8"/>
        <v>23.788</v>
      </c>
      <c r="I57" s="1214">
        <f t="shared" si="8"/>
        <v>20.988</v>
      </c>
      <c r="J57" s="63"/>
      <c r="K57" s="75"/>
      <c r="L57" s="75"/>
      <c r="M57" s="75"/>
      <c r="N57" s="75"/>
      <c r="O57" s="75"/>
    </row>
    <row r="58" spans="1:15">
      <c r="A58" s="10">
        <v>43745</v>
      </c>
      <c r="B58" s="1107">
        <v>26.28</v>
      </c>
      <c r="C58" s="1108">
        <v>25.63</v>
      </c>
      <c r="D58" s="1108">
        <v>24.52</v>
      </c>
      <c r="E58" s="1109">
        <v>22.07</v>
      </c>
      <c r="F58" s="1107">
        <v>25.21</v>
      </c>
      <c r="G58" s="1108">
        <v>24.73</v>
      </c>
      <c r="H58" s="1108">
        <v>23.62</v>
      </c>
      <c r="I58" s="1109">
        <v>21.21</v>
      </c>
      <c r="J58" s="127"/>
      <c r="K58" s="56"/>
      <c r="L58" s="56"/>
      <c r="M58" s="56"/>
      <c r="N58" s="56"/>
      <c r="O58" s="75"/>
    </row>
    <row r="59" spans="1:15">
      <c r="A59" s="1207">
        <v>43752</v>
      </c>
      <c r="B59" s="1211">
        <v>26.25</v>
      </c>
      <c r="C59" s="1209">
        <v>25.62</v>
      </c>
      <c r="D59" s="1209">
        <v>24.49</v>
      </c>
      <c r="E59" s="1210">
        <v>22.06</v>
      </c>
      <c r="F59" s="1211">
        <v>25.21</v>
      </c>
      <c r="G59" s="1209">
        <v>24.71</v>
      </c>
      <c r="H59" s="1209">
        <v>23.61</v>
      </c>
      <c r="I59" s="1210">
        <v>21.2</v>
      </c>
      <c r="J59" s="127"/>
      <c r="K59" s="75"/>
      <c r="L59" s="75"/>
      <c r="M59" s="75"/>
      <c r="N59" s="75"/>
      <c r="O59" s="75"/>
    </row>
    <row r="60" spans="1:15" s="79" customFormat="1">
      <c r="A60" s="1110">
        <v>43760</v>
      </c>
      <c r="B60" s="1107">
        <v>26.25</v>
      </c>
      <c r="C60" s="1108">
        <v>25.6</v>
      </c>
      <c r="D60" s="1108">
        <v>24.48</v>
      </c>
      <c r="E60" s="1109">
        <v>22.06</v>
      </c>
      <c r="F60" s="1107">
        <v>25.21</v>
      </c>
      <c r="G60" s="1108">
        <v>24.71</v>
      </c>
      <c r="H60" s="1108">
        <v>23.6</v>
      </c>
      <c r="I60" s="1109">
        <v>21.2</v>
      </c>
      <c r="J60" s="127"/>
    </row>
    <row r="61" spans="1:15" s="79" customFormat="1" ht="13.5" thickBot="1">
      <c r="A61" s="1207">
        <v>43766</v>
      </c>
      <c r="B61" s="1211">
        <v>26.24</v>
      </c>
      <c r="C61" s="1209">
        <v>25.6</v>
      </c>
      <c r="D61" s="1209">
        <v>24.48</v>
      </c>
      <c r="E61" s="1210">
        <v>22.06</v>
      </c>
      <c r="F61" s="1211">
        <v>25.21</v>
      </c>
      <c r="G61" s="1209">
        <v>24.71</v>
      </c>
      <c r="H61" s="1209">
        <v>23.6</v>
      </c>
      <c r="I61" s="1210">
        <v>21.2</v>
      </c>
      <c r="J61" s="127"/>
    </row>
    <row r="62" spans="1:15" s="79" customFormat="1" ht="13.5" thickBot="1">
      <c r="A62" s="1212" t="s">
        <v>7</v>
      </c>
      <c r="B62" s="1213">
        <f t="shared" ref="B62:I62" si="9">AVERAGE(B58:B61)</f>
        <v>26.254999999999999</v>
      </c>
      <c r="C62" s="1213">
        <f t="shared" si="9"/>
        <v>25.612499999999997</v>
      </c>
      <c r="D62" s="1213">
        <f t="shared" si="9"/>
        <v>24.4925</v>
      </c>
      <c r="E62" s="1213">
        <f t="shared" si="9"/>
        <v>22.0625</v>
      </c>
      <c r="F62" s="1213">
        <f t="shared" si="9"/>
        <v>25.21</v>
      </c>
      <c r="G62" s="1213">
        <f t="shared" si="9"/>
        <v>24.715000000000003</v>
      </c>
      <c r="H62" s="1213">
        <f t="shared" si="9"/>
        <v>23.607500000000002</v>
      </c>
      <c r="I62" s="1214">
        <f t="shared" si="9"/>
        <v>21.202500000000001</v>
      </c>
      <c r="J62" s="563"/>
      <c r="N62" s="79">
        <v>1</v>
      </c>
    </row>
    <row r="63" spans="1:15" s="79" customFormat="1">
      <c r="A63" s="10">
        <v>43773</v>
      </c>
      <c r="B63" s="1107">
        <v>26.24</v>
      </c>
      <c r="C63" s="1108">
        <v>25.61</v>
      </c>
      <c r="D63" s="1108">
        <v>24.49</v>
      </c>
      <c r="E63" s="1109">
        <v>21.89</v>
      </c>
      <c r="F63" s="1107">
        <v>25.21</v>
      </c>
      <c r="G63" s="1108">
        <v>24.7</v>
      </c>
      <c r="H63" s="1108">
        <v>23.59</v>
      </c>
      <c r="I63" s="1109">
        <v>21.01</v>
      </c>
      <c r="J63" s="127"/>
    </row>
    <row r="64" spans="1:15" s="79" customFormat="1">
      <c r="A64" s="1207">
        <v>43780</v>
      </c>
      <c r="B64" s="1211">
        <v>26.24</v>
      </c>
      <c r="C64" s="1209">
        <v>25.6</v>
      </c>
      <c r="D64" s="1209">
        <v>24.47</v>
      </c>
      <c r="E64" s="1210">
        <v>21.87</v>
      </c>
      <c r="F64" s="1211">
        <v>25.21</v>
      </c>
      <c r="G64" s="1209">
        <v>24.7</v>
      </c>
      <c r="H64" s="1209">
        <v>23.59</v>
      </c>
      <c r="I64" s="1210">
        <v>21</v>
      </c>
      <c r="J64" s="127"/>
    </row>
    <row r="65" spans="1:10" s="79" customFormat="1">
      <c r="A65" s="1110">
        <v>43787</v>
      </c>
      <c r="B65" s="1107">
        <v>26.24</v>
      </c>
      <c r="C65" s="1108">
        <v>25.59</v>
      </c>
      <c r="D65" s="1108">
        <v>24.46</v>
      </c>
      <c r="E65" s="1109">
        <v>21.87</v>
      </c>
      <c r="F65" s="1107">
        <v>25.21</v>
      </c>
      <c r="G65" s="1108">
        <v>24.7</v>
      </c>
      <c r="H65" s="1108">
        <v>23.6</v>
      </c>
      <c r="I65" s="1109">
        <v>20.99</v>
      </c>
      <c r="J65" s="127"/>
    </row>
    <row r="66" spans="1:10" s="79" customFormat="1" ht="13.5" thickBot="1">
      <c r="A66" s="1207">
        <v>43794</v>
      </c>
      <c r="B66" s="1211">
        <v>25.94</v>
      </c>
      <c r="C66" s="1209">
        <v>25.35</v>
      </c>
      <c r="D66" s="1209">
        <v>24.32</v>
      </c>
      <c r="E66" s="1210">
        <v>21.55</v>
      </c>
      <c r="F66" s="1211">
        <v>25</v>
      </c>
      <c r="G66" s="1209">
        <v>24.52</v>
      </c>
      <c r="H66" s="1209">
        <v>23.5</v>
      </c>
      <c r="I66" s="1210">
        <v>20.73</v>
      </c>
      <c r="J66" s="127"/>
    </row>
    <row r="67" spans="1:10" s="79" customFormat="1" ht="13.5" thickBot="1">
      <c r="A67" s="1212" t="s">
        <v>7</v>
      </c>
      <c r="B67" s="1213">
        <f t="shared" ref="B67:I67" si="10">AVERAGE(B63:B66)</f>
        <v>26.164999999999999</v>
      </c>
      <c r="C67" s="1213">
        <f t="shared" si="10"/>
        <v>25.537500000000001</v>
      </c>
      <c r="D67" s="1213">
        <f t="shared" si="10"/>
        <v>24.434999999999995</v>
      </c>
      <c r="E67" s="1213">
        <f t="shared" si="10"/>
        <v>21.795000000000002</v>
      </c>
      <c r="F67" s="1213">
        <f t="shared" si="10"/>
        <v>25.157499999999999</v>
      </c>
      <c r="G67" s="1213">
        <f>AVERAGE(G63:G66)</f>
        <v>24.654999999999998</v>
      </c>
      <c r="H67" s="1213">
        <f t="shared" si="10"/>
        <v>23.57</v>
      </c>
      <c r="I67" s="1214">
        <f t="shared" si="10"/>
        <v>20.932500000000001</v>
      </c>
      <c r="J67" s="127"/>
    </row>
    <row r="68" spans="1:10" s="79" customFormat="1" ht="12.75" customHeight="1">
      <c r="A68" s="1110">
        <v>43801</v>
      </c>
      <c r="B68" s="1107">
        <v>25.93</v>
      </c>
      <c r="C68" s="1108">
        <v>25.36</v>
      </c>
      <c r="D68" s="1108">
        <v>24.33</v>
      </c>
      <c r="E68" s="1109">
        <v>21.54</v>
      </c>
      <c r="F68" s="1111">
        <v>25</v>
      </c>
      <c r="G68" s="1112">
        <v>24.52</v>
      </c>
      <c r="H68" s="1112">
        <v>23.5</v>
      </c>
      <c r="I68" s="1113">
        <v>20.71</v>
      </c>
      <c r="J68" s="127"/>
    </row>
    <row r="69" spans="1:10" s="79" customFormat="1" ht="12.75" customHeight="1">
      <c r="A69" s="1215">
        <v>43808</v>
      </c>
      <c r="B69" s="1211">
        <v>25.51</v>
      </c>
      <c r="C69" s="1209">
        <v>25.04</v>
      </c>
      <c r="D69" s="1209">
        <v>24.02</v>
      </c>
      <c r="E69" s="1210">
        <v>21.54</v>
      </c>
      <c r="F69" s="1208">
        <v>24.52</v>
      </c>
      <c r="G69" s="1209">
        <v>24.17</v>
      </c>
      <c r="H69" s="1209">
        <v>23.16</v>
      </c>
      <c r="I69" s="1210">
        <v>20.72</v>
      </c>
      <c r="J69" s="127"/>
    </row>
    <row r="70" spans="1:10" s="79" customFormat="1" ht="12.75" customHeight="1">
      <c r="A70" s="1110">
        <v>43815</v>
      </c>
      <c r="B70" s="1107">
        <v>25.44</v>
      </c>
      <c r="C70" s="1108">
        <v>24.89</v>
      </c>
      <c r="D70" s="1108">
        <v>23.88</v>
      </c>
      <c r="E70" s="1109">
        <v>21.55</v>
      </c>
      <c r="F70" s="1114">
        <v>24.5</v>
      </c>
      <c r="G70" s="1108">
        <v>24.03</v>
      </c>
      <c r="H70" s="1108">
        <v>23.02</v>
      </c>
      <c r="I70" s="1109">
        <v>20.72</v>
      </c>
      <c r="J70" s="127"/>
    </row>
    <row r="71" spans="1:10" s="79" customFormat="1" ht="12.75" customHeight="1">
      <c r="A71" s="1215">
        <v>43822</v>
      </c>
      <c r="B71" s="1211">
        <v>26.23</v>
      </c>
      <c r="C71" s="1209">
        <v>25.62</v>
      </c>
      <c r="D71" s="1209">
        <v>24.6</v>
      </c>
      <c r="E71" s="1210">
        <v>22.28</v>
      </c>
      <c r="F71" s="1208">
        <v>25.3</v>
      </c>
      <c r="G71" s="1209">
        <v>24.8</v>
      </c>
      <c r="H71" s="1209">
        <v>23.79</v>
      </c>
      <c r="I71" s="1210">
        <v>21.49</v>
      </c>
      <c r="J71" s="127"/>
    </row>
    <row r="72" spans="1:10" ht="13.5" thickBot="1">
      <c r="A72" s="1110">
        <v>43829</v>
      </c>
      <c r="B72" s="1107">
        <v>26.71</v>
      </c>
      <c r="C72" s="1108">
        <v>26.03</v>
      </c>
      <c r="D72" s="1108">
        <v>25.01</v>
      </c>
      <c r="E72" s="1109">
        <v>22.69</v>
      </c>
      <c r="F72" s="1107">
        <v>25.81</v>
      </c>
      <c r="G72" s="1108">
        <v>25.2</v>
      </c>
      <c r="H72" s="1108">
        <v>24.21</v>
      </c>
      <c r="I72" s="1109">
        <v>21.8</v>
      </c>
      <c r="J72" s="127"/>
    </row>
    <row r="73" spans="1:10" ht="13.5" thickBot="1">
      <c r="A73" s="1212" t="s">
        <v>7</v>
      </c>
      <c r="B73" s="1213">
        <f t="shared" ref="B73:I73" si="11">AVERAGE(B68:B72)</f>
        <v>25.963999999999999</v>
      </c>
      <c r="C73" s="1213">
        <f t="shared" si="11"/>
        <v>25.387999999999998</v>
      </c>
      <c r="D73" s="1213">
        <f t="shared" si="11"/>
        <v>24.367999999999999</v>
      </c>
      <c r="E73" s="1213">
        <f t="shared" si="11"/>
        <v>21.919999999999998</v>
      </c>
      <c r="F73" s="1213">
        <f t="shared" si="11"/>
        <v>25.026</v>
      </c>
      <c r="G73" s="1213">
        <f t="shared" si="11"/>
        <v>24.544</v>
      </c>
      <c r="H73" s="1213">
        <f t="shared" si="11"/>
        <v>23.536000000000001</v>
      </c>
      <c r="I73" s="1214">
        <f t="shared" si="11"/>
        <v>21.088000000000001</v>
      </c>
      <c r="J73" s="127"/>
    </row>
    <row r="74" spans="1:10" ht="13.5" thickBot="1">
      <c r="A74" s="651"/>
      <c r="B74" s="651"/>
      <c r="C74" s="651"/>
      <c r="D74" s="651"/>
      <c r="E74" s="651"/>
      <c r="F74" s="651"/>
      <c r="G74" s="651"/>
      <c r="H74" s="651"/>
      <c r="I74" s="651"/>
      <c r="J74" s="127"/>
    </row>
    <row r="75" spans="1:10" ht="15.75" thickBot="1">
      <c r="A75" s="651"/>
      <c r="B75" s="849"/>
      <c r="C75" s="651"/>
      <c r="D75" s="651"/>
      <c r="E75" s="651"/>
      <c r="F75" s="651"/>
      <c r="G75" s="651"/>
      <c r="H75" s="651"/>
      <c r="I75" s="651"/>
      <c r="J75" s="127"/>
    </row>
    <row r="76" spans="1:10">
      <c r="A76" s="127"/>
      <c r="B76" s="127"/>
      <c r="C76" s="127"/>
      <c r="D76" s="127"/>
      <c r="E76" s="127"/>
      <c r="F76" s="127"/>
      <c r="G76" s="127"/>
      <c r="H76" s="127"/>
      <c r="I76" s="127"/>
      <c r="J76" s="127"/>
    </row>
    <row r="77" spans="1:10">
      <c r="A77" s="127"/>
      <c r="B77" s="127"/>
      <c r="C77" s="127"/>
      <c r="D77" s="127"/>
      <c r="E77" s="127"/>
      <c r="F77" s="127"/>
      <c r="G77" s="127"/>
      <c r="H77" s="127"/>
      <c r="I77" s="127"/>
      <c r="J77" s="127"/>
    </row>
    <row r="78" spans="1:10">
      <c r="A78" s="127"/>
      <c r="B78" s="127"/>
      <c r="C78" s="127"/>
      <c r="D78" s="127"/>
      <c r="E78" s="127"/>
      <c r="F78" s="127"/>
      <c r="G78" s="127"/>
      <c r="H78" s="127"/>
      <c r="I78" s="127"/>
      <c r="J78" s="127"/>
    </row>
    <row r="79" spans="1:10">
      <c r="A79" s="127"/>
      <c r="B79" s="127"/>
      <c r="C79" s="127"/>
      <c r="D79" s="127"/>
      <c r="E79" s="127"/>
      <c r="F79" s="127"/>
      <c r="G79" s="127"/>
      <c r="H79" s="127"/>
      <c r="I79" s="127"/>
      <c r="J79" s="127"/>
    </row>
    <row r="80" spans="1:10">
      <c r="A80" s="127"/>
      <c r="B80" s="127"/>
      <c r="C80" s="127"/>
      <c r="D80" s="127"/>
      <c r="E80" s="127"/>
      <c r="F80" s="127"/>
      <c r="G80" s="127"/>
      <c r="H80" s="127"/>
      <c r="I80" s="127"/>
      <c r="J80" s="127"/>
    </row>
    <row r="81" spans="1:10">
      <c r="A81" s="127"/>
      <c r="B81" s="127"/>
      <c r="C81" s="127"/>
      <c r="D81" s="127"/>
      <c r="E81" s="127"/>
      <c r="F81" s="127"/>
      <c r="G81" s="127"/>
      <c r="H81" s="127"/>
      <c r="I81" s="127"/>
      <c r="J81" s="127"/>
    </row>
    <row r="82" spans="1:10">
      <c r="A82" s="127"/>
      <c r="B82" s="127"/>
      <c r="C82" s="127"/>
      <c r="D82" s="127"/>
      <c r="E82" s="127"/>
      <c r="F82" s="127"/>
      <c r="G82" s="127"/>
      <c r="H82" s="127"/>
      <c r="I82" s="127"/>
      <c r="J82" s="127"/>
    </row>
    <row r="83" spans="1:10">
      <c r="A83" s="127"/>
      <c r="B83" s="127"/>
      <c r="C83" s="127"/>
      <c r="D83" s="127"/>
      <c r="E83" s="127"/>
      <c r="F83" s="127"/>
      <c r="G83" s="127"/>
      <c r="H83" s="127"/>
      <c r="I83" s="127"/>
      <c r="J83" s="127"/>
    </row>
    <row r="84" spans="1:10">
      <c r="A84" s="127"/>
      <c r="B84" s="127"/>
      <c r="C84" s="127"/>
      <c r="D84" s="127"/>
      <c r="E84" s="127"/>
      <c r="F84" s="127"/>
      <c r="G84" s="127"/>
      <c r="H84" s="127"/>
      <c r="I84" s="127"/>
      <c r="J84" s="127"/>
    </row>
    <row r="85" spans="1:10">
      <c r="A85" s="127"/>
      <c r="B85" s="127"/>
      <c r="C85" s="127"/>
      <c r="D85" s="127"/>
      <c r="E85" s="127"/>
      <c r="F85" s="127"/>
      <c r="G85" s="127"/>
      <c r="H85" s="127"/>
      <c r="I85" s="127"/>
      <c r="J85" s="127"/>
    </row>
    <row r="86" spans="1:10">
      <c r="A86" s="127"/>
      <c r="B86" s="127"/>
      <c r="C86" s="127"/>
      <c r="D86" s="127"/>
      <c r="E86" s="127"/>
      <c r="F86" s="127"/>
      <c r="G86" s="127"/>
      <c r="H86" s="127"/>
      <c r="I86" s="127"/>
      <c r="J86" s="127"/>
    </row>
    <row r="87" spans="1:10">
      <c r="A87" s="127"/>
      <c r="B87" s="127"/>
      <c r="C87" s="127"/>
      <c r="D87" s="127"/>
      <c r="E87" s="127"/>
      <c r="F87" s="127"/>
      <c r="G87" s="127"/>
      <c r="H87" s="127"/>
      <c r="I87" s="127"/>
      <c r="J87" s="127"/>
    </row>
    <row r="88" spans="1:10">
      <c r="A88" s="127"/>
      <c r="B88" s="127"/>
      <c r="C88" s="127"/>
      <c r="D88" s="127"/>
      <c r="E88" s="127"/>
      <c r="F88" s="127"/>
      <c r="G88" s="127"/>
      <c r="H88" s="127"/>
      <c r="I88" s="127"/>
      <c r="J88" s="127"/>
    </row>
    <row r="89" spans="1:10">
      <c r="A89" s="127"/>
      <c r="B89" s="127"/>
      <c r="C89" s="127"/>
      <c r="D89" s="127"/>
      <c r="E89" s="127"/>
      <c r="F89" s="127"/>
      <c r="G89" s="127"/>
      <c r="H89" s="127"/>
      <c r="I89" s="127"/>
      <c r="J89" s="127"/>
    </row>
    <row r="90" spans="1:10">
      <c r="A90" s="127"/>
      <c r="B90" s="127"/>
      <c r="C90" s="127"/>
      <c r="D90" s="127"/>
      <c r="E90" s="127"/>
      <c r="F90" s="127"/>
      <c r="G90" s="127"/>
      <c r="H90" s="127"/>
      <c r="I90" s="127"/>
      <c r="J90" s="127"/>
    </row>
    <row r="91" spans="1:10">
      <c r="A91" s="127"/>
      <c r="B91" s="127"/>
      <c r="C91" s="127"/>
      <c r="D91" s="127"/>
      <c r="E91" s="127"/>
      <c r="F91" s="127"/>
      <c r="G91" s="127"/>
      <c r="H91" s="127"/>
      <c r="I91" s="127"/>
      <c r="J91" s="127"/>
    </row>
    <row r="92" spans="1:10">
      <c r="A92" s="127"/>
      <c r="B92" s="127"/>
      <c r="C92" s="127"/>
      <c r="D92" s="127"/>
      <c r="E92" s="127"/>
      <c r="F92" s="127"/>
      <c r="G92" s="127"/>
      <c r="H92" s="127"/>
      <c r="I92" s="127"/>
      <c r="J92" s="127"/>
    </row>
    <row r="93" spans="1:10">
      <c r="A93" s="127"/>
      <c r="B93" s="127"/>
      <c r="C93" s="127"/>
      <c r="D93" s="127"/>
      <c r="E93" s="127"/>
      <c r="F93" s="127"/>
      <c r="G93" s="127"/>
      <c r="H93" s="127"/>
      <c r="I93" s="127"/>
      <c r="J93" s="127"/>
    </row>
    <row r="94" spans="1:10">
      <c r="A94" s="127"/>
      <c r="B94" s="127"/>
      <c r="C94" s="127"/>
      <c r="D94" s="127"/>
      <c r="E94" s="127"/>
      <c r="F94" s="127"/>
      <c r="G94" s="127"/>
      <c r="H94" s="127"/>
      <c r="I94" s="127"/>
      <c r="J94" s="127"/>
    </row>
    <row r="95" spans="1:10">
      <c r="A95" s="127"/>
      <c r="B95" s="127"/>
      <c r="C95" s="127"/>
      <c r="D95" s="127"/>
      <c r="E95" s="127"/>
      <c r="F95" s="127"/>
      <c r="G95" s="127"/>
      <c r="H95" s="127"/>
      <c r="I95" s="127"/>
      <c r="J95" s="127"/>
    </row>
    <row r="96" spans="1:10">
      <c r="A96" s="127"/>
      <c r="B96" s="127"/>
      <c r="C96" s="127"/>
      <c r="D96" s="127"/>
      <c r="E96" s="127"/>
      <c r="F96" s="127"/>
      <c r="G96" s="127"/>
      <c r="H96" s="127"/>
      <c r="I96" s="127"/>
      <c r="J96" s="127"/>
    </row>
    <row r="97" spans="1:10">
      <c r="A97" s="127"/>
      <c r="B97" s="127"/>
      <c r="C97" s="127"/>
      <c r="D97" s="127"/>
      <c r="E97" s="127"/>
      <c r="F97" s="127"/>
      <c r="G97" s="127"/>
      <c r="H97" s="127"/>
      <c r="I97" s="127"/>
      <c r="J97" s="127"/>
    </row>
    <row r="98" spans="1:10">
      <c r="A98" s="127"/>
      <c r="B98" s="127"/>
      <c r="C98" s="127"/>
      <c r="D98" s="127"/>
      <c r="E98" s="127"/>
      <c r="F98" s="127"/>
      <c r="G98" s="127"/>
      <c r="H98" s="127"/>
      <c r="I98" s="127"/>
      <c r="J98" s="127"/>
    </row>
    <row r="99" spans="1:10">
      <c r="A99" s="127"/>
      <c r="B99" s="127"/>
      <c r="C99" s="127"/>
      <c r="D99" s="127"/>
      <c r="E99" s="127"/>
      <c r="F99" s="127"/>
      <c r="G99" s="127"/>
      <c r="H99" s="127"/>
      <c r="I99" s="127"/>
      <c r="J99" s="127"/>
    </row>
    <row r="100" spans="1:10">
      <c r="A100" s="127"/>
      <c r="B100" s="127"/>
      <c r="C100" s="127"/>
      <c r="D100" s="127"/>
      <c r="E100" s="127"/>
      <c r="F100" s="127"/>
      <c r="G100" s="127"/>
      <c r="H100" s="127"/>
      <c r="I100" s="127"/>
      <c r="J100" s="127"/>
    </row>
    <row r="101" spans="1:10">
      <c r="A101" s="127"/>
      <c r="B101" s="127"/>
      <c r="C101" s="127"/>
      <c r="D101" s="127"/>
      <c r="E101" s="127"/>
      <c r="F101" s="127"/>
      <c r="G101" s="127"/>
      <c r="H101" s="127"/>
      <c r="I101" s="127"/>
      <c r="J101" s="127"/>
    </row>
    <row r="102" spans="1:10">
      <c r="A102" s="127"/>
      <c r="B102" s="127"/>
      <c r="C102" s="127"/>
      <c r="D102" s="127"/>
      <c r="E102" s="127"/>
      <c r="F102" s="127"/>
      <c r="G102" s="127"/>
      <c r="H102" s="127"/>
      <c r="I102" s="127"/>
      <c r="J102" s="127"/>
    </row>
    <row r="103" spans="1:10">
      <c r="A103" s="127"/>
      <c r="B103" s="127"/>
      <c r="C103" s="127"/>
      <c r="D103" s="127"/>
      <c r="E103" s="127"/>
      <c r="F103" s="127"/>
      <c r="G103" s="127"/>
      <c r="H103" s="127"/>
      <c r="I103" s="127"/>
      <c r="J103" s="127"/>
    </row>
    <row r="104" spans="1:10">
      <c r="A104" s="127"/>
      <c r="B104" s="127"/>
      <c r="C104" s="127"/>
      <c r="D104" s="127"/>
      <c r="E104" s="127"/>
      <c r="F104" s="127"/>
      <c r="G104" s="127"/>
      <c r="H104" s="127"/>
      <c r="I104" s="127"/>
      <c r="J104" s="127"/>
    </row>
    <row r="105" spans="1:10">
      <c r="A105" s="127"/>
      <c r="B105" s="127"/>
      <c r="C105" s="127"/>
      <c r="D105" s="127"/>
      <c r="E105" s="127"/>
      <c r="F105" s="127"/>
      <c r="G105" s="127"/>
      <c r="H105" s="127"/>
      <c r="I105" s="127"/>
      <c r="J105" s="127"/>
    </row>
    <row r="106" spans="1:10">
      <c r="A106" s="127"/>
      <c r="B106" s="127"/>
      <c r="C106" s="127"/>
      <c r="D106" s="127"/>
      <c r="E106" s="127"/>
      <c r="F106" s="127"/>
      <c r="G106" s="127"/>
      <c r="H106" s="127"/>
      <c r="I106" s="127"/>
      <c r="J106" s="127"/>
    </row>
    <row r="107" spans="1:10">
      <c r="A107" s="127"/>
      <c r="B107" s="127"/>
      <c r="C107" s="127"/>
      <c r="D107" s="127"/>
      <c r="E107" s="127"/>
      <c r="F107" s="127"/>
      <c r="G107" s="127"/>
      <c r="H107" s="127"/>
      <c r="I107" s="127"/>
      <c r="J107" s="127"/>
    </row>
    <row r="108" spans="1:10">
      <c r="A108" s="127"/>
      <c r="B108" s="127"/>
      <c r="C108" s="127"/>
      <c r="D108" s="127"/>
      <c r="E108" s="127"/>
      <c r="F108" s="127"/>
      <c r="G108" s="127"/>
      <c r="H108" s="127"/>
      <c r="I108" s="127"/>
      <c r="J108" s="127"/>
    </row>
    <row r="109" spans="1:10">
      <c r="A109" s="127"/>
      <c r="B109" s="127"/>
      <c r="C109" s="127"/>
      <c r="D109" s="127"/>
      <c r="E109" s="127"/>
      <c r="F109" s="127"/>
      <c r="G109" s="127"/>
      <c r="H109" s="127"/>
      <c r="I109" s="127"/>
      <c r="J109" s="127"/>
    </row>
    <row r="110" spans="1:10">
      <c r="A110" s="127"/>
      <c r="B110" s="127"/>
      <c r="C110" s="127"/>
      <c r="D110" s="127"/>
      <c r="E110" s="127"/>
      <c r="F110" s="127"/>
      <c r="G110" s="127"/>
      <c r="H110" s="127"/>
      <c r="I110" s="127"/>
      <c r="J110" s="127"/>
    </row>
  </sheetData>
  <mergeCells count="8">
    <mergeCell ref="B7:E7"/>
    <mergeCell ref="F7:I7"/>
    <mergeCell ref="A1:I1"/>
    <mergeCell ref="A2:I2"/>
    <mergeCell ref="A3:I3"/>
    <mergeCell ref="A4:I4"/>
    <mergeCell ref="A5:I5"/>
    <mergeCell ref="A6:I6"/>
  </mergeCells>
  <pageMargins left="1.4566929133858268" right="0.43307086614173229" top="0.98425196850393704" bottom="0.98425196850393704" header="0" footer="0"/>
  <pageSetup scale="65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A1:O109"/>
  <sheetViews>
    <sheetView view="pageBreakPreview" topLeftCell="A4" zoomScale="115" zoomScaleNormal="75" zoomScaleSheetLayoutView="115" workbookViewId="0">
      <selection activeCell="E25" sqref="E25"/>
    </sheetView>
  </sheetViews>
  <sheetFormatPr baseColWidth="10" defaultColWidth="11.42578125" defaultRowHeight="12.75"/>
  <cols>
    <col min="1" max="1" width="16.28515625" customWidth="1"/>
    <col min="2" max="2" width="11.7109375" customWidth="1"/>
    <col min="4" max="4" width="11.28515625" customWidth="1"/>
    <col min="6" max="6" width="12.140625" customWidth="1"/>
    <col min="10" max="10" width="4" customWidth="1"/>
    <col min="12" max="13" width="12.5703125" bestFit="1" customWidth="1"/>
  </cols>
  <sheetData>
    <row r="1" spans="1:11" ht="20.25">
      <c r="A1" s="1575" t="s">
        <v>495</v>
      </c>
      <c r="B1" s="1576"/>
      <c r="C1" s="1576" t="s">
        <v>495</v>
      </c>
      <c r="D1" s="1576"/>
      <c r="E1" s="1576"/>
      <c r="F1" s="1576"/>
      <c r="G1" s="1576"/>
      <c r="H1" s="1576"/>
      <c r="I1" s="1577"/>
      <c r="J1" s="63"/>
    </row>
    <row r="2" spans="1:11" ht="20.25" customHeight="1">
      <c r="A2" s="1581" t="s">
        <v>569</v>
      </c>
      <c r="B2" s="1582"/>
      <c r="C2" s="1582"/>
      <c r="D2" s="1582"/>
      <c r="E2" s="1582"/>
      <c r="F2" s="1582"/>
      <c r="G2" s="1582"/>
      <c r="H2" s="1582"/>
      <c r="I2" s="1583"/>
      <c r="J2" s="63"/>
    </row>
    <row r="3" spans="1:11">
      <c r="A3" s="1549"/>
      <c r="B3" s="1550"/>
      <c r="C3" s="1550"/>
      <c r="D3" s="1550"/>
      <c r="E3" s="1550"/>
      <c r="F3" s="1550"/>
      <c r="G3" s="1550"/>
      <c r="H3" s="1550"/>
      <c r="I3" s="1551"/>
      <c r="J3" s="63"/>
    </row>
    <row r="4" spans="1:11">
      <c r="A4" s="1549" t="s">
        <v>22</v>
      </c>
      <c r="B4" s="1550"/>
      <c r="C4" s="1550"/>
      <c r="D4" s="1550"/>
      <c r="E4" s="1550"/>
      <c r="F4" s="1550"/>
      <c r="G4" s="1550"/>
      <c r="H4" s="1550"/>
      <c r="I4" s="1551"/>
      <c r="J4" s="63"/>
    </row>
    <row r="5" spans="1:11">
      <c r="A5" s="1549" t="s">
        <v>23</v>
      </c>
      <c r="B5" s="1550"/>
      <c r="C5" s="1550"/>
      <c r="D5" s="1550"/>
      <c r="E5" s="1550"/>
      <c r="F5" s="1550"/>
      <c r="G5" s="1550"/>
      <c r="H5" s="1550"/>
      <c r="I5" s="1551"/>
      <c r="J5" s="63"/>
    </row>
    <row r="6" spans="1:11" ht="18.75" customHeight="1" thickBot="1">
      <c r="A6" s="1578" t="s">
        <v>0</v>
      </c>
      <c r="B6" s="1579"/>
      <c r="C6" s="1579"/>
      <c r="D6" s="1579"/>
      <c r="E6" s="1579"/>
      <c r="F6" s="1579"/>
      <c r="G6" s="1579"/>
      <c r="H6" s="1579"/>
      <c r="I6" s="1580"/>
      <c r="J6" s="63"/>
    </row>
    <row r="7" spans="1:11" ht="24.75" customHeight="1" thickBot="1">
      <c r="A7" s="1199" t="s">
        <v>1</v>
      </c>
      <c r="B7" s="1561" t="s">
        <v>2</v>
      </c>
      <c r="C7" s="1584"/>
      <c r="D7" s="1584"/>
      <c r="E7" s="1585"/>
      <c r="F7" s="1564" t="s">
        <v>3</v>
      </c>
      <c r="G7" s="1565"/>
      <c r="H7" s="1565"/>
      <c r="I7" s="1566"/>
      <c r="J7" s="63"/>
    </row>
    <row r="8" spans="1:11" ht="21" customHeight="1" thickBot="1">
      <c r="A8" s="1200" t="s">
        <v>21</v>
      </c>
      <c r="B8" s="1201" t="s">
        <v>533</v>
      </c>
      <c r="C8" s="1201" t="s">
        <v>4</v>
      </c>
      <c r="D8" s="1202" t="s">
        <v>5</v>
      </c>
      <c r="E8" s="1203" t="s">
        <v>6</v>
      </c>
      <c r="F8" s="1204" t="s">
        <v>533</v>
      </c>
      <c r="G8" s="1204" t="s">
        <v>4</v>
      </c>
      <c r="H8" s="1205" t="s">
        <v>5</v>
      </c>
      <c r="I8" s="1206" t="s">
        <v>6</v>
      </c>
      <c r="J8" s="63"/>
    </row>
    <row r="9" spans="1:11">
      <c r="A9" s="74">
        <v>43836</v>
      </c>
      <c r="B9" s="1032">
        <v>26.73</v>
      </c>
      <c r="C9" s="1033">
        <v>26.12</v>
      </c>
      <c r="D9" s="1033">
        <v>25.11</v>
      </c>
      <c r="E9" s="1034">
        <v>22.7</v>
      </c>
      <c r="F9" s="1036">
        <v>25.8</v>
      </c>
      <c r="G9" s="1036">
        <v>25.28</v>
      </c>
      <c r="H9" s="1035">
        <v>24.27</v>
      </c>
      <c r="I9" s="1037">
        <v>21.87</v>
      </c>
      <c r="J9" s="79"/>
    </row>
    <row r="10" spans="1:11">
      <c r="A10" s="1207">
        <v>43843</v>
      </c>
      <c r="B10" s="1208">
        <v>26.25</v>
      </c>
      <c r="C10" s="1209">
        <v>25.73</v>
      </c>
      <c r="D10" s="1209">
        <v>24.71</v>
      </c>
      <c r="E10" s="1210">
        <v>22.4</v>
      </c>
      <c r="F10" s="1211">
        <v>25.3</v>
      </c>
      <c r="G10" s="1209">
        <v>24.85</v>
      </c>
      <c r="H10" s="1209">
        <v>23.85</v>
      </c>
      <c r="I10" s="1210">
        <v>21.54</v>
      </c>
      <c r="J10" s="79"/>
    </row>
    <row r="11" spans="1:11">
      <c r="A11" s="10">
        <v>43850</v>
      </c>
      <c r="B11" s="1038">
        <v>25.97</v>
      </c>
      <c r="C11" s="1039">
        <v>25.4</v>
      </c>
      <c r="D11" s="1039">
        <v>24.38</v>
      </c>
      <c r="E11" s="1037">
        <v>21.73</v>
      </c>
      <c r="F11" s="702">
        <v>25.03</v>
      </c>
      <c r="G11" s="1039">
        <v>24.55</v>
      </c>
      <c r="H11" s="1039">
        <v>23.54</v>
      </c>
      <c r="I11" s="1037">
        <v>20.86</v>
      </c>
      <c r="J11" s="79"/>
    </row>
    <row r="12" spans="1:11" ht="13.5" thickBot="1">
      <c r="A12" s="1207">
        <v>43857</v>
      </c>
      <c r="B12" s="1208">
        <v>25.73</v>
      </c>
      <c r="C12" s="1209">
        <v>25.16</v>
      </c>
      <c r="D12" s="1209">
        <v>24.14</v>
      </c>
      <c r="E12" s="1210">
        <v>20.91</v>
      </c>
      <c r="F12" s="1211">
        <v>24.81</v>
      </c>
      <c r="G12" s="1209">
        <v>24.32</v>
      </c>
      <c r="H12" s="1209">
        <v>23.3</v>
      </c>
      <c r="I12" s="1210">
        <v>20.07</v>
      </c>
      <c r="J12" s="79"/>
    </row>
    <row r="13" spans="1:11" ht="13.5" thickBot="1">
      <c r="A13" s="1212" t="s">
        <v>7</v>
      </c>
      <c r="B13" s="1213">
        <f t="shared" ref="B13:G13" si="0">AVERAGE(B9:B12)</f>
        <v>26.17</v>
      </c>
      <c r="C13" s="1213">
        <f t="shared" si="0"/>
        <v>25.602499999999999</v>
      </c>
      <c r="D13" s="1213">
        <f t="shared" si="0"/>
        <v>24.585000000000001</v>
      </c>
      <c r="E13" s="1213">
        <f t="shared" si="0"/>
        <v>21.934999999999999</v>
      </c>
      <c r="F13" s="1213">
        <f t="shared" si="0"/>
        <v>25.234999999999999</v>
      </c>
      <c r="G13" s="1213">
        <f t="shared" si="0"/>
        <v>24.75</v>
      </c>
      <c r="H13" s="1213">
        <f>AVERAGE(H9:H12)</f>
        <v>23.74</v>
      </c>
      <c r="I13" s="1214">
        <f>AVERAGE(I9:I12)</f>
        <v>21.085000000000001</v>
      </c>
      <c r="J13" s="79"/>
      <c r="K13" s="767" t="s">
        <v>148</v>
      </c>
    </row>
    <row r="14" spans="1:11">
      <c r="A14" s="10">
        <v>43864</v>
      </c>
      <c r="B14" s="115">
        <v>25.05</v>
      </c>
      <c r="C14" s="56">
        <v>24.51</v>
      </c>
      <c r="D14" s="56">
        <v>23.49</v>
      </c>
      <c r="E14" s="62">
        <v>19.95</v>
      </c>
      <c r="F14" s="115">
        <v>24.13</v>
      </c>
      <c r="G14" s="56">
        <v>23.67</v>
      </c>
      <c r="H14" s="56">
        <v>22.66</v>
      </c>
      <c r="I14" s="62">
        <v>19.09</v>
      </c>
      <c r="J14" s="79"/>
    </row>
    <row r="15" spans="1:11">
      <c r="A15" s="1207">
        <v>43871</v>
      </c>
      <c r="B15" s="1211">
        <v>24.99</v>
      </c>
      <c r="C15" s="1209">
        <v>24.39</v>
      </c>
      <c r="D15" s="1209">
        <v>23.36</v>
      </c>
      <c r="E15" s="1210">
        <v>19.62</v>
      </c>
      <c r="F15" s="1211">
        <v>24.1</v>
      </c>
      <c r="G15" s="1209">
        <v>23.58</v>
      </c>
      <c r="H15" s="1209">
        <v>22.58</v>
      </c>
      <c r="I15" s="1210">
        <v>18.8</v>
      </c>
      <c r="J15" s="79"/>
    </row>
    <row r="16" spans="1:11">
      <c r="A16" s="567">
        <v>43878</v>
      </c>
      <c r="B16" s="115">
        <v>24.76</v>
      </c>
      <c r="C16" s="56">
        <v>24.2</v>
      </c>
      <c r="D16" s="56">
        <v>23.17</v>
      </c>
      <c r="E16" s="62">
        <v>19.100000000000001</v>
      </c>
      <c r="F16" s="115">
        <v>23.79</v>
      </c>
      <c r="G16" s="56">
        <v>23.32</v>
      </c>
      <c r="H16" s="56">
        <v>22.3</v>
      </c>
      <c r="I16" s="62">
        <v>18.309999999999999</v>
      </c>
      <c r="J16" s="79"/>
    </row>
    <row r="17" spans="1:15" ht="13.5" thickBot="1">
      <c r="A17" s="1207">
        <v>43885</v>
      </c>
      <c r="B17" s="1211">
        <v>25.66</v>
      </c>
      <c r="C17" s="1209">
        <v>24.92</v>
      </c>
      <c r="D17" s="1209">
        <v>23.9</v>
      </c>
      <c r="E17" s="1210">
        <v>19.61</v>
      </c>
      <c r="F17" s="1211">
        <v>24.7</v>
      </c>
      <c r="G17" s="1209">
        <v>24.1</v>
      </c>
      <c r="H17" s="1209">
        <v>23.07</v>
      </c>
      <c r="I17" s="1210">
        <v>18.77</v>
      </c>
      <c r="J17" s="79"/>
    </row>
    <row r="18" spans="1:15" ht="13.5" thickBot="1">
      <c r="A18" s="1212" t="s">
        <v>7</v>
      </c>
      <c r="B18" s="1213">
        <f t="shared" ref="B18:I18" si="1">AVERAGE(B14:B17)</f>
        <v>25.114999999999998</v>
      </c>
      <c r="C18" s="1213">
        <f t="shared" si="1"/>
        <v>24.505000000000003</v>
      </c>
      <c r="D18" s="1213">
        <f t="shared" si="1"/>
        <v>23.479999999999997</v>
      </c>
      <c r="E18" s="1213">
        <f t="shared" si="1"/>
        <v>19.57</v>
      </c>
      <c r="F18" s="1213">
        <f t="shared" si="1"/>
        <v>24.180000000000003</v>
      </c>
      <c r="G18" s="1213">
        <f>AVERAGE(G14:G17)</f>
        <v>23.667499999999997</v>
      </c>
      <c r="H18" s="1213">
        <f t="shared" si="1"/>
        <v>22.652499999999996</v>
      </c>
      <c r="I18" s="1213">
        <f t="shared" si="1"/>
        <v>18.7425</v>
      </c>
      <c r="J18" s="79"/>
    </row>
    <row r="19" spans="1:15">
      <c r="A19" s="1110">
        <v>43892</v>
      </c>
      <c r="B19" s="1107">
        <v>25.4</v>
      </c>
      <c r="C19" s="1108">
        <v>24.87</v>
      </c>
      <c r="D19" s="1108">
        <v>23.85</v>
      </c>
      <c r="E19" s="1109">
        <v>19.25</v>
      </c>
      <c r="F19" s="1111">
        <v>24.41</v>
      </c>
      <c r="G19" s="1112">
        <v>23.99</v>
      </c>
      <c r="H19" s="1112">
        <v>22.98</v>
      </c>
      <c r="I19" s="1113">
        <v>18.38</v>
      </c>
      <c r="J19" s="79"/>
    </row>
    <row r="20" spans="1:15">
      <c r="A20" s="1215">
        <v>43899</v>
      </c>
      <c r="B20" s="1211">
        <v>25.36</v>
      </c>
      <c r="C20" s="1209">
        <v>24.77</v>
      </c>
      <c r="D20" s="1209">
        <v>23.75</v>
      </c>
      <c r="E20" s="1210">
        <v>19.190000000000001</v>
      </c>
      <c r="F20" s="1208">
        <v>24.4</v>
      </c>
      <c r="G20" s="1209">
        <v>23.89</v>
      </c>
      <c r="H20" s="1209">
        <v>22.89</v>
      </c>
      <c r="I20" s="1210">
        <v>18.309999999999999</v>
      </c>
      <c r="J20" s="79"/>
    </row>
    <row r="21" spans="1:15">
      <c r="A21" s="1110">
        <v>43906</v>
      </c>
      <c r="B21" s="1107">
        <v>24.89</v>
      </c>
      <c r="C21" s="1108">
        <v>24.32</v>
      </c>
      <c r="D21" s="1108">
        <v>23.3</v>
      </c>
      <c r="E21" s="1109">
        <v>18.53</v>
      </c>
      <c r="F21" s="1114">
        <v>23.9</v>
      </c>
      <c r="G21" s="1108">
        <v>23.4</v>
      </c>
      <c r="H21" s="1108">
        <v>22.4</v>
      </c>
      <c r="I21" s="1109">
        <v>17.63</v>
      </c>
      <c r="J21" s="79"/>
    </row>
    <row r="22" spans="1:15">
      <c r="A22" s="1215">
        <v>43913</v>
      </c>
      <c r="B22" s="1211">
        <v>23.06</v>
      </c>
      <c r="C22" s="1209">
        <v>22.5</v>
      </c>
      <c r="D22" s="1209">
        <v>21.48</v>
      </c>
      <c r="E22" s="1210">
        <v>16.760000000000002</v>
      </c>
      <c r="F22" s="1208">
        <v>21.9</v>
      </c>
      <c r="G22" s="1209">
        <v>21.39</v>
      </c>
      <c r="H22" s="1209">
        <v>20.38</v>
      </c>
      <c r="I22" s="1210">
        <v>15.62</v>
      </c>
      <c r="J22" s="79"/>
    </row>
    <row r="23" spans="1:15" ht="13.5" thickBot="1">
      <c r="A23" s="1110">
        <v>43920</v>
      </c>
      <c r="B23" s="1107">
        <v>22.02</v>
      </c>
      <c r="C23" s="1108">
        <v>21.52</v>
      </c>
      <c r="D23" s="1108">
        <v>20.51</v>
      </c>
      <c r="E23" s="1109">
        <v>16.66</v>
      </c>
      <c r="F23" s="1107">
        <v>20.96</v>
      </c>
      <c r="G23" s="1108">
        <v>20.45</v>
      </c>
      <c r="H23" s="1108">
        <v>19.47</v>
      </c>
      <c r="I23" s="1109">
        <v>15.6</v>
      </c>
      <c r="J23" s="79"/>
    </row>
    <row r="24" spans="1:15" ht="13.5" thickBot="1">
      <c r="A24" s="1212" t="s">
        <v>7</v>
      </c>
      <c r="B24" s="1213">
        <f t="shared" ref="B24:I24" si="2">AVERAGE(B19:B23)</f>
        <v>24.146000000000001</v>
      </c>
      <c r="C24" s="1213">
        <f t="shared" si="2"/>
        <v>23.596</v>
      </c>
      <c r="D24" s="1213">
        <f t="shared" si="2"/>
        <v>22.578000000000003</v>
      </c>
      <c r="E24" s="1213">
        <f t="shared" si="2"/>
        <v>18.077999999999999</v>
      </c>
      <c r="F24" s="1213">
        <f t="shared" si="2"/>
        <v>23.114000000000004</v>
      </c>
      <c r="G24" s="1213">
        <f t="shared" si="2"/>
        <v>22.624000000000002</v>
      </c>
      <c r="H24" s="1213">
        <f t="shared" si="2"/>
        <v>21.624000000000002</v>
      </c>
      <c r="I24" s="1213">
        <f t="shared" si="2"/>
        <v>17.107999999999997</v>
      </c>
      <c r="J24" s="79"/>
    </row>
    <row r="25" spans="1:15">
      <c r="A25" s="1207">
        <v>43927</v>
      </c>
      <c r="B25" s="1408">
        <v>20.11</v>
      </c>
      <c r="C25" s="1409">
        <v>19.809999999999999</v>
      </c>
      <c r="D25" s="1409">
        <v>18.8</v>
      </c>
      <c r="E25" s="1410">
        <v>16.36</v>
      </c>
      <c r="F25" s="1411">
        <v>19.04</v>
      </c>
      <c r="G25" s="1411">
        <v>18.8</v>
      </c>
      <c r="H25" s="1411">
        <v>17.79</v>
      </c>
      <c r="I25" s="1411">
        <v>15.41</v>
      </c>
      <c r="J25" s="79"/>
    </row>
    <row r="26" spans="1:15">
      <c r="A26" s="10">
        <v>43934</v>
      </c>
      <c r="B26" s="1114">
        <v>20.03</v>
      </c>
      <c r="C26" s="1108">
        <v>19.48</v>
      </c>
      <c r="D26" s="1108">
        <v>18.46</v>
      </c>
      <c r="E26" s="1109">
        <v>16.3</v>
      </c>
      <c r="F26" s="1107">
        <v>18.88</v>
      </c>
      <c r="G26" s="1108">
        <v>18.39</v>
      </c>
      <c r="H26" s="1108">
        <v>17.37</v>
      </c>
      <c r="I26" s="1109">
        <v>15.29</v>
      </c>
      <c r="J26" s="79"/>
    </row>
    <row r="27" spans="1:15">
      <c r="A27" s="1207">
        <v>43941</v>
      </c>
      <c r="B27" s="1208">
        <v>19.059999999999999</v>
      </c>
      <c r="C27" s="1209">
        <v>18.53</v>
      </c>
      <c r="D27" s="1209">
        <v>17.53</v>
      </c>
      <c r="E27" s="1210">
        <v>15.79</v>
      </c>
      <c r="F27" s="1211">
        <v>17.89</v>
      </c>
      <c r="G27" s="1209">
        <v>17.46</v>
      </c>
      <c r="H27" s="1209">
        <v>16.45</v>
      </c>
      <c r="I27" s="1210">
        <v>14.74</v>
      </c>
      <c r="J27" s="79"/>
    </row>
    <row r="28" spans="1:15" ht="13.5" thickBot="1">
      <c r="A28" s="1110">
        <v>43948</v>
      </c>
      <c r="B28" s="1115">
        <v>18.57</v>
      </c>
      <c r="C28" s="1117">
        <v>18.05</v>
      </c>
      <c r="D28" s="1117">
        <v>17.03</v>
      </c>
      <c r="E28" s="1118">
        <v>15.36</v>
      </c>
      <c r="F28" s="1107">
        <v>17.39</v>
      </c>
      <c r="G28" s="1108">
        <v>16.89</v>
      </c>
      <c r="H28" s="1108">
        <v>15.88</v>
      </c>
      <c r="I28" s="1109">
        <v>14.19</v>
      </c>
      <c r="J28" s="79"/>
    </row>
    <row r="29" spans="1:15" ht="13.5" thickBot="1">
      <c r="A29" s="1212" t="s">
        <v>7</v>
      </c>
      <c r="B29" s="1213">
        <f t="shared" ref="B29:I29" si="3">AVERAGE(B25:B28)</f>
        <v>19.442500000000003</v>
      </c>
      <c r="C29" s="1213">
        <f>AVERAGE(C25:C28)</f>
        <v>18.967500000000001</v>
      </c>
      <c r="D29" s="1213">
        <f>AVERAGE(D25:D28)</f>
        <v>17.955000000000002</v>
      </c>
      <c r="E29" s="1213">
        <f t="shared" si="3"/>
        <v>15.952499999999999</v>
      </c>
      <c r="F29" s="1213">
        <f t="shared" si="3"/>
        <v>18.3</v>
      </c>
      <c r="G29" s="1213">
        <f t="shared" si="3"/>
        <v>17.884999999999998</v>
      </c>
      <c r="H29" s="1213">
        <f t="shared" si="3"/>
        <v>16.872499999999999</v>
      </c>
      <c r="I29" s="1213">
        <f t="shared" si="3"/>
        <v>14.907499999999999</v>
      </c>
      <c r="J29" s="79"/>
    </row>
    <row r="30" spans="1:15">
      <c r="A30" s="10">
        <v>43955</v>
      </c>
      <c r="B30" s="1107">
        <v>18.54</v>
      </c>
      <c r="C30" s="1108">
        <v>17.95</v>
      </c>
      <c r="D30" s="1108">
        <v>16.88</v>
      </c>
      <c r="E30" s="1109">
        <v>14.87</v>
      </c>
      <c r="F30" s="1107">
        <v>17.39</v>
      </c>
      <c r="G30" s="1108">
        <v>16.86</v>
      </c>
      <c r="H30" s="1108">
        <v>15.86</v>
      </c>
      <c r="I30" s="1109">
        <v>13.73</v>
      </c>
      <c r="J30" s="79"/>
    </row>
    <row r="31" spans="1:15">
      <c r="A31" s="1215">
        <v>43962</v>
      </c>
      <c r="B31" s="1211">
        <v>18.53</v>
      </c>
      <c r="C31" s="1209">
        <v>17.91</v>
      </c>
      <c r="D31" s="1209">
        <v>16.89</v>
      </c>
      <c r="E31" s="1210">
        <v>14.384</v>
      </c>
      <c r="F31" s="1211">
        <v>17.399999999999999</v>
      </c>
      <c r="G31" s="1209">
        <v>16.84</v>
      </c>
      <c r="H31" s="1209">
        <v>15.82</v>
      </c>
      <c r="I31" s="1210">
        <v>13.7</v>
      </c>
      <c r="J31" s="79"/>
      <c r="M31" s="190"/>
      <c r="N31" s="190"/>
      <c r="O31" s="190"/>
    </row>
    <row r="32" spans="1:15">
      <c r="A32" s="1110">
        <v>43969</v>
      </c>
      <c r="B32" s="1107">
        <v>19.82</v>
      </c>
      <c r="C32" s="1108">
        <v>19.12</v>
      </c>
      <c r="D32" s="1108">
        <v>18.09</v>
      </c>
      <c r="E32" s="1109">
        <v>15.26</v>
      </c>
      <c r="F32" s="1107">
        <v>18.59</v>
      </c>
      <c r="G32" s="1108">
        <v>17.98</v>
      </c>
      <c r="H32" s="1108">
        <v>16.97</v>
      </c>
      <c r="I32" s="1109">
        <v>14.24</v>
      </c>
      <c r="J32" s="79"/>
      <c r="L32" s="190"/>
      <c r="M32" s="190"/>
    </row>
    <row r="33" spans="1:14" ht="13.5" thickBot="1">
      <c r="A33" s="1207" t="s">
        <v>635</v>
      </c>
      <c r="B33" s="1211">
        <v>20.56</v>
      </c>
      <c r="C33" s="1209">
        <v>19.989999999999998</v>
      </c>
      <c r="D33" s="1209">
        <v>18.97</v>
      </c>
      <c r="E33" s="1210">
        <v>15.72</v>
      </c>
      <c r="F33" s="1211">
        <v>19.48</v>
      </c>
      <c r="G33" s="1209">
        <v>18.98</v>
      </c>
      <c r="H33" s="1209">
        <v>17.97</v>
      </c>
      <c r="I33" s="1210">
        <v>14.7</v>
      </c>
      <c r="J33" s="79"/>
      <c r="L33" s="190"/>
      <c r="M33" s="190"/>
    </row>
    <row r="34" spans="1:14" ht="13.5" thickBot="1">
      <c r="A34" s="1212" t="s">
        <v>7</v>
      </c>
      <c r="B34" s="1213">
        <f t="shared" ref="B34:I34" si="4">AVERAGE(B30:B33)</f>
        <v>19.362500000000001</v>
      </c>
      <c r="C34" s="1213">
        <f t="shared" si="4"/>
        <v>18.7425</v>
      </c>
      <c r="D34" s="1213">
        <f t="shared" si="4"/>
        <v>17.7075</v>
      </c>
      <c r="E34" s="1213">
        <f t="shared" si="4"/>
        <v>15.058499999999999</v>
      </c>
      <c r="F34" s="1213">
        <f t="shared" si="4"/>
        <v>18.215</v>
      </c>
      <c r="G34" s="1213">
        <f t="shared" si="4"/>
        <v>17.665000000000003</v>
      </c>
      <c r="H34" s="1213">
        <f t="shared" si="4"/>
        <v>16.655000000000001</v>
      </c>
      <c r="I34" s="1213">
        <f t="shared" si="4"/>
        <v>14.092500000000001</v>
      </c>
      <c r="J34" s="79"/>
      <c r="L34" s="190"/>
      <c r="M34" s="190"/>
    </row>
    <row r="35" spans="1:14">
      <c r="A35" s="1110">
        <v>43983</v>
      </c>
      <c r="B35" s="1107">
        <v>20.55</v>
      </c>
      <c r="C35" s="1108">
        <v>20.010000000000002</v>
      </c>
      <c r="D35" s="1108">
        <v>18.98</v>
      </c>
      <c r="E35" s="1109">
        <v>15.72</v>
      </c>
      <c r="F35" s="1111">
        <v>19.48</v>
      </c>
      <c r="G35" s="1112">
        <v>18.98</v>
      </c>
      <c r="H35" s="1112">
        <v>17.97</v>
      </c>
      <c r="I35" s="1113">
        <v>14.7</v>
      </c>
      <c r="J35" s="79"/>
      <c r="L35" s="190"/>
      <c r="M35" s="190"/>
    </row>
    <row r="36" spans="1:14">
      <c r="A36" s="1215">
        <v>43990</v>
      </c>
      <c r="B36" s="1211">
        <v>20.85</v>
      </c>
      <c r="C36" s="1209">
        <v>20.53</v>
      </c>
      <c r="D36" s="1209">
        <v>19.649999999999999</v>
      </c>
      <c r="E36" s="1210">
        <v>15.91</v>
      </c>
      <c r="F36" s="1208">
        <v>19.760000000000002</v>
      </c>
      <c r="G36" s="1209">
        <v>19.52</v>
      </c>
      <c r="H36" s="1209">
        <v>18.62</v>
      </c>
      <c r="I36" s="1210">
        <v>14.82</v>
      </c>
      <c r="J36" s="79"/>
      <c r="L36" s="190"/>
      <c r="M36" s="190"/>
    </row>
    <row r="37" spans="1:14">
      <c r="A37" s="1110">
        <v>43997</v>
      </c>
      <c r="B37" s="1107">
        <v>21.49</v>
      </c>
      <c r="C37" s="1108">
        <v>20.99</v>
      </c>
      <c r="D37" s="1108">
        <v>20.13</v>
      </c>
      <c r="E37" s="1109">
        <v>16.260000000000002</v>
      </c>
      <c r="F37" s="1114">
        <v>20.43</v>
      </c>
      <c r="G37" s="1108">
        <v>19.95</v>
      </c>
      <c r="H37" s="1108">
        <v>19.149999999999999</v>
      </c>
      <c r="I37" s="1109">
        <v>15.18</v>
      </c>
      <c r="J37" s="79"/>
      <c r="L37" s="190"/>
      <c r="M37" s="190"/>
    </row>
    <row r="38" spans="1:14">
      <c r="A38" s="1215">
        <v>44004</v>
      </c>
      <c r="B38" s="1211">
        <v>22.29</v>
      </c>
      <c r="C38" s="1209">
        <v>21.72</v>
      </c>
      <c r="D38" s="1209">
        <v>20.91</v>
      </c>
      <c r="E38" s="1210">
        <v>16.82</v>
      </c>
      <c r="F38" s="1208">
        <v>21.18</v>
      </c>
      <c r="G38" s="1209">
        <v>20.69</v>
      </c>
      <c r="H38" s="1209">
        <v>19.88</v>
      </c>
      <c r="I38" s="1210">
        <v>15.8</v>
      </c>
      <c r="J38" s="79"/>
    </row>
    <row r="39" spans="1:14" ht="13.5" thickBot="1">
      <c r="A39" s="1110">
        <v>44011</v>
      </c>
      <c r="B39" s="1107">
        <v>22.67</v>
      </c>
      <c r="C39" s="1108">
        <v>22.16</v>
      </c>
      <c r="D39" s="1108">
        <v>21.35</v>
      </c>
      <c r="E39" s="1109">
        <v>17.25</v>
      </c>
      <c r="F39" s="1107">
        <v>21.56</v>
      </c>
      <c r="G39" s="1108">
        <v>21.08</v>
      </c>
      <c r="H39" s="1108">
        <v>20.28</v>
      </c>
      <c r="I39" s="1109">
        <v>16.190000000000001</v>
      </c>
      <c r="J39" s="63"/>
      <c r="L39" s="190"/>
      <c r="M39" s="190"/>
      <c r="N39" s="190"/>
    </row>
    <row r="40" spans="1:14" ht="13.5" thickBot="1">
      <c r="A40" s="1212" t="s">
        <v>7</v>
      </c>
      <c r="B40" s="1213">
        <f t="shared" ref="B40:I40" si="5">AVERAGE(B35:B39)</f>
        <v>21.57</v>
      </c>
      <c r="C40" s="1213">
        <f t="shared" si="5"/>
        <v>21.082000000000001</v>
      </c>
      <c r="D40" s="1213">
        <f t="shared" si="5"/>
        <v>20.203999999999997</v>
      </c>
      <c r="E40" s="1213">
        <f t="shared" si="5"/>
        <v>16.392000000000003</v>
      </c>
      <c r="F40" s="1213">
        <f t="shared" si="5"/>
        <v>20.481999999999999</v>
      </c>
      <c r="G40" s="1213">
        <f t="shared" si="5"/>
        <v>20.044</v>
      </c>
      <c r="H40" s="1213">
        <f t="shared" si="5"/>
        <v>19.18</v>
      </c>
      <c r="I40" s="1214">
        <f t="shared" si="5"/>
        <v>15.337999999999999</v>
      </c>
      <c r="J40" s="63"/>
      <c r="L40" s="190"/>
      <c r="M40" s="190"/>
    </row>
    <row r="41" spans="1:14">
      <c r="A41" s="10">
        <v>44018</v>
      </c>
      <c r="B41" s="1107">
        <v>23.15</v>
      </c>
      <c r="C41" s="1108">
        <v>22.42</v>
      </c>
      <c r="D41" s="1108">
        <v>21.61</v>
      </c>
      <c r="E41" s="1109">
        <v>17.23</v>
      </c>
      <c r="F41" s="1107">
        <v>22.01</v>
      </c>
      <c r="G41" s="1108">
        <v>21.37</v>
      </c>
      <c r="H41" s="1108">
        <v>20.57</v>
      </c>
      <c r="I41" s="1109">
        <v>16.2</v>
      </c>
      <c r="J41" s="63"/>
      <c r="L41" s="190"/>
      <c r="M41" s="190"/>
    </row>
    <row r="42" spans="1:14">
      <c r="A42" s="1207">
        <v>44025</v>
      </c>
      <c r="B42" s="1211">
        <v>23.15</v>
      </c>
      <c r="C42" s="1209">
        <v>22.53</v>
      </c>
      <c r="D42" s="1209">
        <v>21.72</v>
      </c>
      <c r="E42" s="1210">
        <v>17.27</v>
      </c>
      <c r="F42" s="1211">
        <v>22.01</v>
      </c>
      <c r="G42" s="1209">
        <v>21.48</v>
      </c>
      <c r="H42" s="1209">
        <v>20.68</v>
      </c>
      <c r="I42" s="1210">
        <v>16.2</v>
      </c>
      <c r="J42" s="63"/>
      <c r="L42" s="190"/>
      <c r="M42" s="190"/>
    </row>
    <row r="43" spans="1:14">
      <c r="A43" s="1110">
        <v>44032</v>
      </c>
      <c r="B43" s="1107">
        <v>23.07</v>
      </c>
      <c r="C43" s="1108">
        <v>22.58</v>
      </c>
      <c r="D43" s="1108">
        <v>21.77</v>
      </c>
      <c r="E43" s="1109">
        <v>17.27</v>
      </c>
      <c r="F43" s="1107">
        <v>21.99</v>
      </c>
      <c r="G43" s="1108">
        <v>21.49</v>
      </c>
      <c r="H43" s="1108">
        <v>20.69</v>
      </c>
      <c r="I43" s="1109">
        <v>16.2</v>
      </c>
      <c r="J43" s="63"/>
    </row>
    <row r="44" spans="1:14" ht="13.5" customHeight="1" thickBot="1">
      <c r="A44" s="1207">
        <v>44039</v>
      </c>
      <c r="B44" s="1211">
        <v>23.34</v>
      </c>
      <c r="C44" s="1209">
        <v>22.69</v>
      </c>
      <c r="D44" s="1209">
        <v>21.89</v>
      </c>
      <c r="E44" s="1210">
        <v>17.760000000000002</v>
      </c>
      <c r="F44" s="1211">
        <v>22.23</v>
      </c>
      <c r="G44" s="1209">
        <v>21.65</v>
      </c>
      <c r="H44" s="1209">
        <v>20.83</v>
      </c>
      <c r="I44" s="1210">
        <v>16.77</v>
      </c>
      <c r="J44" s="63"/>
    </row>
    <row r="45" spans="1:14" ht="13.5" thickBot="1">
      <c r="A45" s="1212" t="s">
        <v>7</v>
      </c>
      <c r="B45" s="1213">
        <f t="shared" ref="B45:I45" si="6">AVERAGE(B41:B44)</f>
        <v>23.177500000000002</v>
      </c>
      <c r="C45" s="1213">
        <f t="shared" si="6"/>
        <v>22.555</v>
      </c>
      <c r="D45" s="1213">
        <f t="shared" si="6"/>
        <v>21.747499999999999</v>
      </c>
      <c r="E45" s="1213">
        <f t="shared" si="6"/>
        <v>17.3825</v>
      </c>
      <c r="F45" s="1213">
        <f t="shared" si="6"/>
        <v>22.060000000000002</v>
      </c>
      <c r="G45" s="1213">
        <f t="shared" si="6"/>
        <v>21.497500000000002</v>
      </c>
      <c r="H45" s="1213">
        <f t="shared" si="6"/>
        <v>20.692499999999999</v>
      </c>
      <c r="I45" s="1214">
        <f t="shared" si="6"/>
        <v>16.342499999999998</v>
      </c>
      <c r="J45" s="63"/>
    </row>
    <row r="46" spans="1:14">
      <c r="A46" s="1110">
        <v>44046</v>
      </c>
      <c r="B46" s="1107">
        <v>22.7</v>
      </c>
      <c r="C46" s="1108">
        <v>22.39</v>
      </c>
      <c r="D46" s="1108">
        <v>21.58</v>
      </c>
      <c r="E46" s="1109">
        <v>17.66</v>
      </c>
      <c r="F46" s="1111">
        <v>21.72</v>
      </c>
      <c r="G46" s="1112">
        <v>21.46</v>
      </c>
      <c r="H46" s="1112">
        <v>20.66</v>
      </c>
      <c r="I46" s="1113">
        <v>16.739999999999998</v>
      </c>
      <c r="J46" s="63"/>
    </row>
    <row r="47" spans="1:14">
      <c r="A47" s="1215">
        <v>44053</v>
      </c>
      <c r="B47" s="1211">
        <v>22.82</v>
      </c>
      <c r="C47" s="1209">
        <v>22.2</v>
      </c>
      <c r="D47" s="1209">
        <v>21.39</v>
      </c>
      <c r="E47" s="1210">
        <v>17.739999999999998</v>
      </c>
      <c r="F47" s="1208">
        <v>21.71</v>
      </c>
      <c r="G47" s="1209">
        <v>21.21</v>
      </c>
      <c r="H47" s="1209">
        <v>20.399999999999999</v>
      </c>
      <c r="I47" s="1210">
        <v>16.77</v>
      </c>
      <c r="J47" s="63"/>
    </row>
    <row r="48" spans="1:14">
      <c r="A48" s="1110">
        <v>44060</v>
      </c>
      <c r="B48" s="1107">
        <v>22.59</v>
      </c>
      <c r="C48" s="1108">
        <v>21.98</v>
      </c>
      <c r="D48" s="1108">
        <v>21.17</v>
      </c>
      <c r="E48" s="1109">
        <v>17.559999999999999</v>
      </c>
      <c r="F48" s="1114">
        <v>21.48</v>
      </c>
      <c r="G48" s="1108">
        <v>20.98</v>
      </c>
      <c r="H48" s="1108">
        <v>20.18</v>
      </c>
      <c r="I48" s="1109">
        <v>16.59</v>
      </c>
      <c r="J48" s="63"/>
    </row>
    <row r="49" spans="1:15">
      <c r="A49" s="1215">
        <v>44067</v>
      </c>
      <c r="B49" s="1211">
        <v>22.63</v>
      </c>
      <c r="C49" s="1209">
        <v>22.02</v>
      </c>
      <c r="D49" s="1209">
        <v>21.21</v>
      </c>
      <c r="E49" s="1210">
        <v>17.61</v>
      </c>
      <c r="F49" s="1208">
        <v>21.49</v>
      </c>
      <c r="G49" s="1209">
        <v>20.98</v>
      </c>
      <c r="H49" s="1209">
        <v>20.18</v>
      </c>
      <c r="I49" s="1210">
        <v>16.59</v>
      </c>
      <c r="J49" s="63"/>
    </row>
    <row r="50" spans="1:15" ht="13.5" thickBot="1">
      <c r="A50" s="1110">
        <v>44074</v>
      </c>
      <c r="B50" s="1107">
        <v>22.98</v>
      </c>
      <c r="C50" s="1108">
        <v>22.47</v>
      </c>
      <c r="D50" s="1108">
        <v>21.66</v>
      </c>
      <c r="E50" s="1109">
        <v>17.46</v>
      </c>
      <c r="F50" s="1107">
        <v>21.89</v>
      </c>
      <c r="G50" s="1108">
        <v>21.4</v>
      </c>
      <c r="H50" s="1108">
        <v>20.6</v>
      </c>
      <c r="I50" s="1109">
        <v>16.420000000000002</v>
      </c>
      <c r="J50" s="63"/>
    </row>
    <row r="51" spans="1:15" ht="13.5" thickBot="1">
      <c r="A51" s="1212" t="s">
        <v>7</v>
      </c>
      <c r="B51" s="1213">
        <f t="shared" ref="B51:I51" si="7">AVERAGE(B46:B50)</f>
        <v>22.744</v>
      </c>
      <c r="C51" s="1213">
        <f t="shared" si="7"/>
        <v>22.212</v>
      </c>
      <c r="D51" s="1213">
        <f t="shared" si="7"/>
        <v>21.401999999999997</v>
      </c>
      <c r="E51" s="1213">
        <f t="shared" si="7"/>
        <v>17.606000000000002</v>
      </c>
      <c r="F51" s="1213">
        <f t="shared" si="7"/>
        <v>21.657999999999998</v>
      </c>
      <c r="G51" s="1213">
        <f t="shared" si="7"/>
        <v>21.206</v>
      </c>
      <c r="H51" s="1213">
        <f t="shared" si="7"/>
        <v>20.404000000000003</v>
      </c>
      <c r="I51" s="1214">
        <f t="shared" si="7"/>
        <v>16.622</v>
      </c>
      <c r="J51" s="63"/>
    </row>
    <row r="52" spans="1:15">
      <c r="A52" s="10">
        <v>44081</v>
      </c>
      <c r="B52" s="1107">
        <v>23.11</v>
      </c>
      <c r="C52" s="1108">
        <v>22.59</v>
      </c>
      <c r="D52" s="1108">
        <v>21.77</v>
      </c>
      <c r="E52" s="1109">
        <v>17.260000000000002</v>
      </c>
      <c r="F52" s="1107">
        <v>21.96</v>
      </c>
      <c r="G52" s="1108">
        <v>21.53</v>
      </c>
      <c r="H52" s="1108">
        <v>20.73</v>
      </c>
      <c r="I52" s="1109">
        <v>16.190000000000001</v>
      </c>
      <c r="J52" s="63"/>
    </row>
    <row r="53" spans="1:15">
      <c r="A53" s="1207">
        <v>44088</v>
      </c>
      <c r="B53" s="1211">
        <v>22.63</v>
      </c>
      <c r="C53" s="1209">
        <v>22.04</v>
      </c>
      <c r="D53" s="1209">
        <v>21.23</v>
      </c>
      <c r="E53" s="1210">
        <v>16.55</v>
      </c>
      <c r="F53" s="1211">
        <v>21.48</v>
      </c>
      <c r="G53" s="1209">
        <v>21.02</v>
      </c>
      <c r="H53" s="1209">
        <v>20.21</v>
      </c>
      <c r="I53" s="1210">
        <v>15.55</v>
      </c>
      <c r="J53" s="63"/>
      <c r="K53" s="75"/>
      <c r="L53" s="75"/>
      <c r="M53" s="75"/>
      <c r="N53" s="75"/>
      <c r="O53" s="75"/>
    </row>
    <row r="54" spans="1:15">
      <c r="A54" s="1110">
        <v>44095</v>
      </c>
      <c r="B54" s="1107">
        <v>22.41</v>
      </c>
      <c r="C54" s="1108">
        <v>21.97</v>
      </c>
      <c r="D54" s="1108">
        <v>21.13</v>
      </c>
      <c r="E54" s="1109">
        <v>16.16</v>
      </c>
      <c r="F54" s="1107">
        <v>21.35</v>
      </c>
      <c r="G54" s="1108">
        <v>20.89</v>
      </c>
      <c r="H54" s="1108">
        <v>20.100000000000001</v>
      </c>
      <c r="I54" s="1109">
        <v>15.06</v>
      </c>
      <c r="J54" s="63"/>
      <c r="K54" s="75"/>
      <c r="L54" s="56"/>
      <c r="M54" s="56"/>
      <c r="N54" s="56"/>
      <c r="O54" s="56"/>
    </row>
    <row r="55" spans="1:15" ht="13.5" thickBot="1">
      <c r="A55" s="1207">
        <v>44102</v>
      </c>
      <c r="B55" s="1211">
        <v>22.39</v>
      </c>
      <c r="C55" s="1209">
        <v>21.94</v>
      </c>
      <c r="D55" s="1209">
        <v>21.13</v>
      </c>
      <c r="E55" s="1210">
        <v>16.07</v>
      </c>
      <c r="F55" s="1211">
        <v>21.36</v>
      </c>
      <c r="G55" s="1209">
        <v>20.87</v>
      </c>
      <c r="H55" s="1209">
        <v>20.09</v>
      </c>
      <c r="I55" s="1210">
        <v>14.99</v>
      </c>
      <c r="J55" s="63"/>
      <c r="K55" s="75"/>
      <c r="L55" s="75"/>
      <c r="M55" s="75"/>
      <c r="N55" s="75"/>
      <c r="O55" s="75"/>
    </row>
    <row r="56" spans="1:15" ht="13.5" thickBot="1">
      <c r="A56" s="1212" t="s">
        <v>7</v>
      </c>
      <c r="B56" s="1213">
        <f t="shared" ref="B56:I56" si="8">AVERAGE(B52:B55)</f>
        <v>22.634999999999998</v>
      </c>
      <c r="C56" s="1213">
        <f t="shared" si="8"/>
        <v>22.134999999999998</v>
      </c>
      <c r="D56" s="1213">
        <f t="shared" si="8"/>
        <v>21.314999999999998</v>
      </c>
      <c r="E56" s="1213">
        <f t="shared" si="8"/>
        <v>16.509999999999998</v>
      </c>
      <c r="F56" s="1213">
        <f t="shared" si="8"/>
        <v>21.537499999999998</v>
      </c>
      <c r="G56" s="1213">
        <f t="shared" si="8"/>
        <v>21.077500000000001</v>
      </c>
      <c r="H56" s="1213">
        <f t="shared" si="8"/>
        <v>20.282499999999999</v>
      </c>
      <c r="I56" s="1214">
        <f t="shared" si="8"/>
        <v>15.447500000000002</v>
      </c>
      <c r="J56" s="63"/>
      <c r="K56" s="75"/>
      <c r="L56" s="75"/>
      <c r="M56" s="75"/>
      <c r="N56" s="75"/>
      <c r="O56" s="75"/>
    </row>
    <row r="57" spans="1:15">
      <c r="A57" s="10">
        <v>44109</v>
      </c>
      <c r="B57" s="1107">
        <v>23.06</v>
      </c>
      <c r="C57" s="1108">
        <v>22.59</v>
      </c>
      <c r="D57" s="1108">
        <v>21.79</v>
      </c>
      <c r="E57" s="1109">
        <v>16.23</v>
      </c>
      <c r="F57" s="1107">
        <v>21.9</v>
      </c>
      <c r="G57" s="1108">
        <v>21.41</v>
      </c>
      <c r="H57" s="1108">
        <v>20.61</v>
      </c>
      <c r="I57" s="1109">
        <v>15.01</v>
      </c>
      <c r="J57" s="127"/>
      <c r="K57" s="56"/>
      <c r="L57" s="56"/>
      <c r="M57" s="56"/>
      <c r="N57" s="56"/>
      <c r="O57" s="75"/>
    </row>
    <row r="58" spans="1:15">
      <c r="A58" s="1207">
        <v>44116</v>
      </c>
      <c r="B58" s="1211">
        <v>23.04</v>
      </c>
      <c r="C58" s="1209">
        <v>22.46</v>
      </c>
      <c r="D58" s="1209">
        <v>21.65</v>
      </c>
      <c r="E58" s="1210">
        <v>16.079999999999998</v>
      </c>
      <c r="F58" s="1211">
        <v>21.9</v>
      </c>
      <c r="G58" s="1209">
        <v>21.41</v>
      </c>
      <c r="H58" s="1209">
        <v>20.61</v>
      </c>
      <c r="I58" s="1210">
        <v>15.03</v>
      </c>
      <c r="J58" s="127"/>
      <c r="K58" s="75"/>
      <c r="L58" s="75"/>
      <c r="M58" s="75"/>
      <c r="N58" s="75"/>
      <c r="O58" s="75"/>
    </row>
    <row r="59" spans="1:15" s="79" customFormat="1">
      <c r="A59" s="1110">
        <v>44123</v>
      </c>
      <c r="B59" s="1107">
        <v>22.7</v>
      </c>
      <c r="C59" s="1108">
        <v>22.31</v>
      </c>
      <c r="D59" s="1108">
        <v>21.5</v>
      </c>
      <c r="E59" s="1109">
        <v>16.100000000000001</v>
      </c>
      <c r="F59" s="1107">
        <v>21.53</v>
      </c>
      <c r="G59" s="1108">
        <v>21.2</v>
      </c>
      <c r="H59" s="1108">
        <v>20.41</v>
      </c>
      <c r="I59" s="1109">
        <v>14.99</v>
      </c>
      <c r="J59" s="127"/>
    </row>
    <row r="60" spans="1:15" s="79" customFormat="1" ht="13.5" thickBot="1">
      <c r="A60" s="1207">
        <v>44130</v>
      </c>
      <c r="B60" s="1211">
        <v>22.22</v>
      </c>
      <c r="C60" s="1209">
        <v>21.83</v>
      </c>
      <c r="D60" s="1209">
        <v>21.04</v>
      </c>
      <c r="E60" s="1210">
        <v>16.2</v>
      </c>
      <c r="F60" s="1211">
        <v>21</v>
      </c>
      <c r="G60" s="1209">
        <v>20.58</v>
      </c>
      <c r="H60" s="1209">
        <v>19.78</v>
      </c>
      <c r="I60" s="1210">
        <v>15</v>
      </c>
      <c r="J60" s="127"/>
    </row>
    <row r="61" spans="1:15" s="79" customFormat="1" ht="13.5" thickBot="1">
      <c r="A61" s="1212" t="s">
        <v>7</v>
      </c>
      <c r="B61" s="1213">
        <f t="shared" ref="B61:I61" si="9">AVERAGE(B57:B60)</f>
        <v>22.754999999999999</v>
      </c>
      <c r="C61" s="1213">
        <f t="shared" si="9"/>
        <v>22.297499999999999</v>
      </c>
      <c r="D61" s="1213">
        <f t="shared" si="9"/>
        <v>21.494999999999997</v>
      </c>
      <c r="E61" s="1213">
        <f t="shared" si="9"/>
        <v>16.1525</v>
      </c>
      <c r="F61" s="1213">
        <f t="shared" si="9"/>
        <v>21.5825</v>
      </c>
      <c r="G61" s="1213">
        <f t="shared" si="9"/>
        <v>21.15</v>
      </c>
      <c r="H61" s="1213">
        <f t="shared" si="9"/>
        <v>20.352499999999999</v>
      </c>
      <c r="I61" s="1214">
        <f t="shared" si="9"/>
        <v>15.0075</v>
      </c>
      <c r="J61" s="563"/>
      <c r="N61" s="79">
        <v>1</v>
      </c>
    </row>
    <row r="62" spans="1:15" s="79" customFormat="1">
      <c r="A62" s="1110">
        <v>44138</v>
      </c>
      <c r="B62" s="1107">
        <v>21.89</v>
      </c>
      <c r="C62" s="1108">
        <v>21.36</v>
      </c>
      <c r="D62" s="1108">
        <v>20.55</v>
      </c>
      <c r="E62" s="1109">
        <v>15.91</v>
      </c>
      <c r="F62" s="1111">
        <v>20.7</v>
      </c>
      <c r="G62" s="1112">
        <v>20.239999999999998</v>
      </c>
      <c r="H62" s="1112">
        <v>19.43</v>
      </c>
      <c r="I62" s="1113">
        <v>14.8</v>
      </c>
      <c r="J62" s="127"/>
    </row>
    <row r="63" spans="1:15" s="79" customFormat="1">
      <c r="A63" s="1215">
        <v>44144</v>
      </c>
      <c r="B63" s="1211">
        <v>21.41</v>
      </c>
      <c r="C63" s="1209">
        <v>20.8</v>
      </c>
      <c r="D63" s="1209">
        <v>19.989999999999998</v>
      </c>
      <c r="E63" s="1210">
        <v>15.84</v>
      </c>
      <c r="F63" s="1208">
        <v>20.239999999999998</v>
      </c>
      <c r="G63" s="1209">
        <v>19.739999999999998</v>
      </c>
      <c r="H63" s="1209">
        <v>18.940000000000001</v>
      </c>
      <c r="I63" s="1210">
        <v>14.79</v>
      </c>
      <c r="J63" s="127"/>
    </row>
    <row r="64" spans="1:15" s="79" customFormat="1">
      <c r="A64" s="1110">
        <v>44151</v>
      </c>
      <c r="B64" s="1107">
        <v>21.3</v>
      </c>
      <c r="C64" s="1108">
        <v>20.74</v>
      </c>
      <c r="D64" s="1108">
        <v>19.940000000000001</v>
      </c>
      <c r="E64" s="1109">
        <v>15.78</v>
      </c>
      <c r="F64" s="1114">
        <v>20.22</v>
      </c>
      <c r="G64" s="1108">
        <v>19.72</v>
      </c>
      <c r="H64" s="1108">
        <v>18.920000000000002</v>
      </c>
      <c r="I64" s="1109">
        <v>14.8</v>
      </c>
      <c r="J64" s="127"/>
    </row>
    <row r="65" spans="1:10" s="79" customFormat="1" ht="13.5" customHeight="1">
      <c r="A65" s="1215">
        <v>44158</v>
      </c>
      <c r="B65" s="1211">
        <v>21.81</v>
      </c>
      <c r="C65" s="1209">
        <v>21.25</v>
      </c>
      <c r="D65" s="1209">
        <v>20.45</v>
      </c>
      <c r="E65" s="1210">
        <v>16.190000000000001</v>
      </c>
      <c r="F65" s="1208">
        <v>20.67</v>
      </c>
      <c r="G65" s="1209">
        <v>20.18</v>
      </c>
      <c r="H65" s="1209">
        <v>19.38</v>
      </c>
      <c r="I65" s="1210">
        <v>15.21</v>
      </c>
      <c r="J65" s="127"/>
    </row>
    <row r="66" spans="1:10" s="79" customFormat="1" ht="13.5" thickBot="1">
      <c r="A66" s="1110">
        <v>44165</v>
      </c>
      <c r="B66" s="1107">
        <v>22.38</v>
      </c>
      <c r="C66" s="1108">
        <v>21.91</v>
      </c>
      <c r="D66" s="1108">
        <v>21.09</v>
      </c>
      <c r="E66" s="1109">
        <v>17.02</v>
      </c>
      <c r="F66" s="1107">
        <v>21.18</v>
      </c>
      <c r="G66" s="1108">
        <v>20.68</v>
      </c>
      <c r="H66" s="1108">
        <v>19.88</v>
      </c>
      <c r="I66" s="1109">
        <v>15.76</v>
      </c>
      <c r="J66" s="127"/>
    </row>
    <row r="67" spans="1:10" s="79" customFormat="1" ht="13.5" thickBot="1">
      <c r="A67" s="1212" t="s">
        <v>7</v>
      </c>
      <c r="B67" s="1213">
        <f t="shared" ref="B67:I67" si="10">AVERAGE(B62:B66)</f>
        <v>21.757999999999999</v>
      </c>
      <c r="C67" s="1213">
        <f t="shared" si="10"/>
        <v>21.211999999999996</v>
      </c>
      <c r="D67" s="1213">
        <f t="shared" si="10"/>
        <v>20.404000000000003</v>
      </c>
      <c r="E67" s="1213">
        <f t="shared" si="10"/>
        <v>16.148</v>
      </c>
      <c r="F67" s="1213">
        <f t="shared" si="10"/>
        <v>20.601999999999997</v>
      </c>
      <c r="G67" s="1213">
        <f t="shared" si="10"/>
        <v>20.112000000000002</v>
      </c>
      <c r="H67" s="1213">
        <f t="shared" si="10"/>
        <v>19.309999999999999</v>
      </c>
      <c r="I67" s="1214">
        <f t="shared" si="10"/>
        <v>15.071999999999999</v>
      </c>
      <c r="J67" s="127"/>
    </row>
    <row r="68" spans="1:10" s="79" customFormat="1" ht="12.75" customHeight="1">
      <c r="A68" s="10">
        <v>44172</v>
      </c>
      <c r="B68" s="1107">
        <v>23.2</v>
      </c>
      <c r="C68" s="1108">
        <v>22.44</v>
      </c>
      <c r="D68" s="1108">
        <v>21.63</v>
      </c>
      <c r="E68" s="1109">
        <v>17.690000000000001</v>
      </c>
      <c r="F68" s="1107">
        <v>21.7</v>
      </c>
      <c r="G68" s="1108">
        <v>21.2</v>
      </c>
      <c r="H68" s="1108">
        <v>20.399999999999999</v>
      </c>
      <c r="I68" s="1109">
        <v>16.48</v>
      </c>
      <c r="J68" s="127"/>
    </row>
    <row r="69" spans="1:10" s="79" customFormat="1" ht="12.75" customHeight="1">
      <c r="A69" s="1207">
        <v>44179</v>
      </c>
      <c r="B69" s="1211">
        <v>23.09</v>
      </c>
      <c r="C69" s="1209">
        <v>22.5</v>
      </c>
      <c r="D69" s="1209">
        <v>21.71</v>
      </c>
      <c r="E69" s="1210">
        <v>18.27</v>
      </c>
      <c r="F69" s="1211">
        <v>21.9</v>
      </c>
      <c r="G69" s="1209">
        <v>21.4</v>
      </c>
      <c r="H69" s="1209">
        <v>20.6</v>
      </c>
      <c r="I69" s="1210">
        <v>17.190000000000001</v>
      </c>
      <c r="J69" s="127"/>
    </row>
    <row r="70" spans="1:10" s="79" customFormat="1" ht="12.75" customHeight="1">
      <c r="A70" s="1110">
        <v>44186</v>
      </c>
      <c r="B70" s="1107">
        <v>23.58</v>
      </c>
      <c r="C70" s="1108">
        <v>23.04</v>
      </c>
      <c r="D70" s="1108">
        <v>22.18</v>
      </c>
      <c r="E70" s="1109">
        <v>18.760000000000002</v>
      </c>
      <c r="F70" s="1107">
        <v>22.4</v>
      </c>
      <c r="G70" s="1108">
        <v>21.91</v>
      </c>
      <c r="H70" s="1108">
        <v>21.11</v>
      </c>
      <c r="I70" s="1109">
        <v>17.62</v>
      </c>
      <c r="J70" s="127"/>
    </row>
    <row r="71" spans="1:10" s="79" customFormat="1" ht="12.75" customHeight="1" thickBot="1">
      <c r="A71" s="1207">
        <v>44193</v>
      </c>
      <c r="B71" s="1211">
        <v>23.56</v>
      </c>
      <c r="C71" s="1209">
        <v>23.05</v>
      </c>
      <c r="D71" s="1209">
        <v>22.22</v>
      </c>
      <c r="E71" s="1210">
        <v>18.760000000000002</v>
      </c>
      <c r="F71" s="1211">
        <v>22.41</v>
      </c>
      <c r="G71" s="1209">
        <v>21.91</v>
      </c>
      <c r="H71" s="1209">
        <v>21.11</v>
      </c>
      <c r="I71" s="1210">
        <v>17.61</v>
      </c>
      <c r="J71" s="127"/>
    </row>
    <row r="72" spans="1:10" ht="13.5" thickBot="1">
      <c r="A72" s="1212" t="s">
        <v>7</v>
      </c>
      <c r="B72" s="1213">
        <f t="shared" ref="B72:I72" si="11">AVERAGE(B68:B71)</f>
        <v>23.357500000000002</v>
      </c>
      <c r="C72" s="1213">
        <f t="shared" si="11"/>
        <v>22.757499999999997</v>
      </c>
      <c r="D72" s="1213">
        <f t="shared" si="11"/>
        <v>21.935000000000002</v>
      </c>
      <c r="E72" s="1213">
        <f t="shared" si="11"/>
        <v>18.37</v>
      </c>
      <c r="F72" s="1213">
        <f t="shared" si="11"/>
        <v>22.102499999999999</v>
      </c>
      <c r="G72" s="1213">
        <f t="shared" si="11"/>
        <v>21.604999999999997</v>
      </c>
      <c r="H72" s="1213">
        <f t="shared" si="11"/>
        <v>20.805</v>
      </c>
      <c r="I72" s="1214">
        <f t="shared" si="11"/>
        <v>17.225000000000001</v>
      </c>
      <c r="J72" s="127"/>
    </row>
    <row r="73" spans="1:10" ht="13.5" thickBot="1">
      <c r="A73" s="651"/>
      <c r="B73" s="651"/>
      <c r="C73" s="651"/>
      <c r="D73" s="651"/>
      <c r="E73" s="651"/>
      <c r="F73" s="651"/>
      <c r="G73" s="651"/>
      <c r="H73" s="651"/>
      <c r="I73" s="651"/>
      <c r="J73" s="127"/>
    </row>
    <row r="74" spans="1:10" ht="15.75" thickBot="1">
      <c r="A74" s="651"/>
      <c r="B74" s="849"/>
      <c r="C74" s="651"/>
      <c r="D74" s="651"/>
      <c r="E74" s="651"/>
      <c r="F74" s="651"/>
      <c r="G74" s="651"/>
      <c r="H74" s="651"/>
      <c r="I74" s="651"/>
      <c r="J74" s="127"/>
    </row>
    <row r="75" spans="1:10">
      <c r="A75" s="127"/>
      <c r="B75" s="127"/>
      <c r="C75" s="127"/>
      <c r="D75" s="127"/>
      <c r="E75" s="127"/>
      <c r="F75" s="127"/>
      <c r="G75" s="127"/>
      <c r="H75" s="127"/>
      <c r="I75" s="127"/>
      <c r="J75" s="127"/>
    </row>
    <row r="76" spans="1:10">
      <c r="A76" s="127"/>
      <c r="B76" s="127"/>
      <c r="C76" s="127"/>
      <c r="D76" s="127"/>
      <c r="E76" s="127"/>
      <c r="F76" s="127"/>
      <c r="G76" s="127"/>
      <c r="H76" s="127"/>
      <c r="I76" s="127"/>
      <c r="J76" s="127"/>
    </row>
    <row r="77" spans="1:10">
      <c r="A77" s="127"/>
      <c r="B77" s="127"/>
      <c r="C77" s="127"/>
      <c r="D77" s="127"/>
      <c r="E77" s="127"/>
      <c r="F77" s="127"/>
      <c r="G77" s="127"/>
      <c r="H77" s="127"/>
      <c r="I77" s="127"/>
      <c r="J77" s="127"/>
    </row>
    <row r="78" spans="1:10">
      <c r="A78" s="127"/>
      <c r="B78" s="127"/>
      <c r="C78" s="127"/>
      <c r="D78" s="127"/>
      <c r="E78" s="127"/>
      <c r="F78" s="127"/>
      <c r="G78" s="127"/>
      <c r="H78" s="127"/>
      <c r="I78" s="127"/>
      <c r="J78" s="127"/>
    </row>
    <row r="79" spans="1:10">
      <c r="A79" s="127"/>
      <c r="B79" s="127"/>
      <c r="C79" s="127"/>
      <c r="D79" s="127"/>
      <c r="E79" s="127"/>
      <c r="F79" s="127"/>
      <c r="G79" s="127"/>
      <c r="H79" s="127"/>
      <c r="I79" s="127"/>
      <c r="J79" s="127"/>
    </row>
    <row r="80" spans="1:10">
      <c r="A80" s="127"/>
      <c r="B80" s="127"/>
      <c r="C80" s="127"/>
      <c r="D80" s="127"/>
      <c r="E80" s="127"/>
      <c r="F80" s="127"/>
      <c r="G80" s="127"/>
      <c r="H80" s="127"/>
      <c r="I80" s="127"/>
      <c r="J80" s="127"/>
    </row>
    <row r="81" spans="1:10">
      <c r="A81" s="127"/>
      <c r="B81" s="127"/>
      <c r="C81" s="127"/>
      <c r="D81" s="127"/>
      <c r="E81" s="127"/>
      <c r="F81" s="127"/>
      <c r="G81" s="127"/>
      <c r="H81" s="127"/>
      <c r="I81" s="127"/>
      <c r="J81" s="127"/>
    </row>
    <row r="82" spans="1:10">
      <c r="A82" s="127"/>
      <c r="B82" s="127"/>
      <c r="C82" s="127"/>
      <c r="D82" s="127"/>
      <c r="E82" s="127"/>
      <c r="F82" s="127"/>
      <c r="G82" s="127"/>
      <c r="H82" s="127"/>
      <c r="I82" s="127"/>
      <c r="J82" s="127"/>
    </row>
    <row r="83" spans="1:10">
      <c r="A83" s="127"/>
      <c r="B83" s="127"/>
      <c r="C83" s="127"/>
      <c r="D83" s="127"/>
      <c r="E83" s="127"/>
      <c r="F83" s="127"/>
      <c r="G83" s="127"/>
      <c r="H83" s="127"/>
      <c r="I83" s="127"/>
      <c r="J83" s="127"/>
    </row>
    <row r="84" spans="1:10">
      <c r="A84" s="127"/>
      <c r="B84" s="127"/>
      <c r="C84" s="127"/>
      <c r="D84" s="127"/>
      <c r="E84" s="127"/>
      <c r="F84" s="127"/>
      <c r="G84" s="127"/>
      <c r="H84" s="127"/>
      <c r="I84" s="127"/>
      <c r="J84" s="127"/>
    </row>
    <row r="85" spans="1:10">
      <c r="A85" s="127"/>
      <c r="B85" s="127"/>
      <c r="C85" s="127"/>
      <c r="D85" s="127"/>
      <c r="E85" s="127"/>
      <c r="F85" s="127"/>
      <c r="G85" s="127"/>
      <c r="H85" s="127"/>
      <c r="I85" s="127"/>
      <c r="J85" s="127"/>
    </row>
    <row r="86" spans="1:10">
      <c r="A86" s="127"/>
      <c r="B86" s="127"/>
      <c r="C86" s="127"/>
      <c r="D86" s="127"/>
      <c r="E86" s="127"/>
      <c r="F86" s="127"/>
      <c r="G86" s="127"/>
      <c r="H86" s="127"/>
      <c r="I86" s="127"/>
      <c r="J86" s="127"/>
    </row>
    <row r="87" spans="1:10">
      <c r="A87" s="127"/>
      <c r="B87" s="127"/>
      <c r="C87" s="127"/>
      <c r="D87" s="127"/>
      <c r="E87" s="127"/>
      <c r="F87" s="127"/>
      <c r="G87" s="127"/>
      <c r="H87" s="127"/>
      <c r="I87" s="127"/>
      <c r="J87" s="127"/>
    </row>
    <row r="88" spans="1:10">
      <c r="A88" s="127"/>
      <c r="B88" s="127"/>
      <c r="C88" s="127"/>
      <c r="D88" s="127"/>
      <c r="E88" s="127"/>
      <c r="F88" s="127"/>
      <c r="G88" s="127"/>
      <c r="H88" s="127"/>
      <c r="I88" s="127"/>
      <c r="J88" s="127"/>
    </row>
    <row r="89" spans="1:10">
      <c r="A89" s="127"/>
      <c r="B89" s="127"/>
      <c r="C89" s="127"/>
      <c r="D89" s="127"/>
      <c r="E89" s="127"/>
      <c r="F89" s="127"/>
      <c r="G89" s="127"/>
      <c r="H89" s="127"/>
      <c r="I89" s="127"/>
      <c r="J89" s="127"/>
    </row>
    <row r="90" spans="1:10">
      <c r="A90" s="127"/>
      <c r="B90" s="127"/>
      <c r="C90" s="127"/>
      <c r="D90" s="127"/>
      <c r="E90" s="127"/>
      <c r="F90" s="127"/>
      <c r="G90" s="127"/>
      <c r="H90" s="127"/>
      <c r="I90" s="127"/>
      <c r="J90" s="127"/>
    </row>
    <row r="91" spans="1:10">
      <c r="A91" s="127"/>
      <c r="B91" s="127"/>
      <c r="C91" s="127"/>
      <c r="D91" s="127"/>
      <c r="E91" s="127"/>
      <c r="F91" s="127"/>
      <c r="G91" s="127"/>
      <c r="H91" s="127"/>
      <c r="I91" s="127"/>
      <c r="J91" s="127"/>
    </row>
    <row r="92" spans="1:10">
      <c r="A92" s="127"/>
      <c r="B92" s="127"/>
      <c r="C92" s="127"/>
      <c r="D92" s="127"/>
      <c r="E92" s="127"/>
      <c r="F92" s="127"/>
      <c r="G92" s="127"/>
      <c r="H92" s="127"/>
      <c r="I92" s="127"/>
      <c r="J92" s="127"/>
    </row>
    <row r="93" spans="1:10">
      <c r="A93" s="127"/>
      <c r="B93" s="127"/>
      <c r="C93" s="127"/>
      <c r="D93" s="127"/>
      <c r="E93" s="127"/>
      <c r="F93" s="127"/>
      <c r="G93" s="127"/>
      <c r="H93" s="127"/>
      <c r="I93" s="127"/>
      <c r="J93" s="127"/>
    </row>
    <row r="94" spans="1:10">
      <c r="A94" s="127"/>
      <c r="B94" s="127"/>
      <c r="C94" s="127"/>
      <c r="D94" s="127"/>
      <c r="E94" s="127"/>
      <c r="F94" s="127"/>
      <c r="G94" s="127"/>
      <c r="H94" s="127"/>
      <c r="I94" s="127"/>
      <c r="J94" s="127"/>
    </row>
    <row r="95" spans="1:10">
      <c r="A95" s="127"/>
      <c r="B95" s="127"/>
      <c r="C95" s="127"/>
      <c r="D95" s="127"/>
      <c r="E95" s="127"/>
      <c r="F95" s="127"/>
      <c r="G95" s="127"/>
      <c r="H95" s="127"/>
      <c r="I95" s="127"/>
      <c r="J95" s="127"/>
    </row>
    <row r="96" spans="1:10">
      <c r="A96" s="127"/>
      <c r="B96" s="127"/>
      <c r="C96" s="127"/>
      <c r="D96" s="127"/>
      <c r="E96" s="127"/>
      <c r="F96" s="127"/>
      <c r="G96" s="127"/>
      <c r="H96" s="127"/>
      <c r="I96" s="127"/>
      <c r="J96" s="127"/>
    </row>
    <row r="97" spans="1:10">
      <c r="A97" s="127"/>
      <c r="B97" s="127"/>
      <c r="C97" s="127"/>
      <c r="D97" s="127"/>
      <c r="E97" s="127"/>
      <c r="F97" s="127"/>
      <c r="G97" s="127"/>
      <c r="H97" s="127"/>
      <c r="I97" s="127"/>
      <c r="J97" s="127"/>
    </row>
    <row r="98" spans="1:10">
      <c r="A98" s="127"/>
      <c r="B98" s="127"/>
      <c r="C98" s="127"/>
      <c r="D98" s="127"/>
      <c r="E98" s="127"/>
      <c r="F98" s="127"/>
      <c r="G98" s="127"/>
      <c r="H98" s="127"/>
      <c r="I98" s="127"/>
      <c r="J98" s="127"/>
    </row>
    <row r="99" spans="1:10">
      <c r="A99" s="127"/>
      <c r="B99" s="127"/>
      <c r="C99" s="127"/>
      <c r="D99" s="127"/>
      <c r="E99" s="127"/>
      <c r="F99" s="127"/>
      <c r="G99" s="127"/>
      <c r="H99" s="127"/>
      <c r="I99" s="127"/>
      <c r="J99" s="127"/>
    </row>
    <row r="100" spans="1:10">
      <c r="A100" s="127"/>
      <c r="B100" s="127"/>
      <c r="C100" s="127"/>
      <c r="D100" s="127"/>
      <c r="E100" s="127"/>
      <c r="F100" s="127"/>
      <c r="G100" s="127"/>
      <c r="H100" s="127"/>
      <c r="I100" s="127"/>
      <c r="J100" s="127"/>
    </row>
    <row r="101" spans="1:10">
      <c r="A101" s="127"/>
      <c r="B101" s="127"/>
      <c r="C101" s="127"/>
      <c r="D101" s="127"/>
      <c r="E101" s="127"/>
      <c r="F101" s="127"/>
      <c r="G101" s="127"/>
      <c r="H101" s="127"/>
      <c r="I101" s="127"/>
      <c r="J101" s="127"/>
    </row>
    <row r="102" spans="1:10">
      <c r="A102" s="127"/>
      <c r="B102" s="127"/>
      <c r="C102" s="127"/>
      <c r="D102" s="127"/>
      <c r="E102" s="127"/>
      <c r="F102" s="127"/>
      <c r="G102" s="127"/>
      <c r="H102" s="127"/>
      <c r="I102" s="127"/>
      <c r="J102" s="127"/>
    </row>
    <row r="103" spans="1:10">
      <c r="A103" s="127"/>
      <c r="B103" s="127"/>
      <c r="C103" s="127"/>
      <c r="D103" s="127"/>
      <c r="E103" s="127"/>
      <c r="F103" s="127"/>
      <c r="G103" s="127"/>
      <c r="H103" s="127"/>
      <c r="I103" s="127"/>
      <c r="J103" s="127"/>
    </row>
    <row r="104" spans="1:10">
      <c r="A104" s="127"/>
      <c r="B104" s="127"/>
      <c r="C104" s="127"/>
      <c r="D104" s="127"/>
      <c r="E104" s="127"/>
      <c r="F104" s="127"/>
      <c r="G104" s="127"/>
      <c r="H104" s="127"/>
      <c r="I104" s="127"/>
      <c r="J104" s="127"/>
    </row>
    <row r="105" spans="1:10">
      <c r="A105" s="127"/>
      <c r="B105" s="127"/>
      <c r="C105" s="127"/>
      <c r="D105" s="127"/>
      <c r="E105" s="127"/>
      <c r="F105" s="127"/>
      <c r="G105" s="127"/>
      <c r="H105" s="127"/>
      <c r="I105" s="127"/>
      <c r="J105" s="127"/>
    </row>
    <row r="106" spans="1:10">
      <c r="A106" s="127"/>
      <c r="B106" s="127"/>
      <c r="C106" s="127"/>
      <c r="D106" s="127"/>
      <c r="E106" s="127"/>
      <c r="F106" s="127"/>
      <c r="G106" s="127"/>
      <c r="H106" s="127"/>
      <c r="I106" s="127"/>
      <c r="J106" s="127"/>
    </row>
    <row r="107" spans="1:10">
      <c r="A107" s="127"/>
      <c r="B107" s="127"/>
      <c r="C107" s="127"/>
      <c r="D107" s="127"/>
      <c r="E107" s="127"/>
      <c r="F107" s="127"/>
      <c r="G107" s="127"/>
      <c r="H107" s="127"/>
      <c r="I107" s="127"/>
      <c r="J107" s="127"/>
    </row>
    <row r="108" spans="1:10">
      <c r="A108" s="127"/>
      <c r="B108" s="127"/>
      <c r="C108" s="127"/>
      <c r="D108" s="127"/>
      <c r="E108" s="127"/>
      <c r="F108" s="127"/>
      <c r="G108" s="127"/>
      <c r="H108" s="127"/>
      <c r="I108" s="127"/>
      <c r="J108" s="127"/>
    </row>
    <row r="109" spans="1:10">
      <c r="A109" s="127"/>
      <c r="B109" s="127"/>
      <c r="C109" s="127"/>
      <c r="D109" s="127"/>
      <c r="E109" s="127"/>
      <c r="F109" s="127"/>
      <c r="G109" s="127"/>
      <c r="H109" s="127"/>
      <c r="I109" s="127"/>
      <c r="J109" s="127"/>
    </row>
  </sheetData>
  <mergeCells count="8">
    <mergeCell ref="B7:E7"/>
    <mergeCell ref="F7:I7"/>
    <mergeCell ref="A1:I1"/>
    <mergeCell ref="A2:I2"/>
    <mergeCell ref="A3:I3"/>
    <mergeCell ref="A4:I4"/>
    <mergeCell ref="A5:I5"/>
    <mergeCell ref="A6:I6"/>
  </mergeCells>
  <pageMargins left="1.4566929133858268" right="0.43307086614173229" top="0.98425196850393704" bottom="0.98425196850393704" header="0" footer="0"/>
  <pageSetup scale="65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/>
  <dimension ref="A1:O110"/>
  <sheetViews>
    <sheetView view="pageBreakPreview" zoomScale="145" zoomScaleNormal="75" zoomScaleSheetLayoutView="145" workbookViewId="0">
      <selection activeCell="E14" sqref="E14"/>
    </sheetView>
  </sheetViews>
  <sheetFormatPr baseColWidth="10" defaultColWidth="11.42578125" defaultRowHeight="12.75"/>
  <cols>
    <col min="1" max="1" width="16.28515625" customWidth="1"/>
    <col min="2" max="2" width="11.7109375" customWidth="1"/>
    <col min="4" max="4" width="11.28515625" customWidth="1"/>
    <col min="6" max="6" width="12.140625" customWidth="1"/>
    <col min="10" max="10" width="4" customWidth="1"/>
    <col min="12" max="13" width="12.5703125" bestFit="1" customWidth="1"/>
  </cols>
  <sheetData>
    <row r="1" spans="1:11" ht="20.25">
      <c r="A1" s="1575" t="s">
        <v>495</v>
      </c>
      <c r="B1" s="1576"/>
      <c r="C1" s="1576" t="s">
        <v>495</v>
      </c>
      <c r="D1" s="1576"/>
      <c r="E1" s="1576"/>
      <c r="F1" s="1576"/>
      <c r="G1" s="1576"/>
      <c r="H1" s="1576"/>
      <c r="I1" s="1577"/>
      <c r="J1" s="63"/>
    </row>
    <row r="2" spans="1:11" ht="20.25" customHeight="1">
      <c r="A2" s="1581" t="s">
        <v>569</v>
      </c>
      <c r="B2" s="1582"/>
      <c r="C2" s="1582"/>
      <c r="D2" s="1582"/>
      <c r="E2" s="1582"/>
      <c r="F2" s="1582"/>
      <c r="G2" s="1582"/>
      <c r="H2" s="1582"/>
      <c r="I2" s="1583"/>
      <c r="J2" s="63"/>
    </row>
    <row r="3" spans="1:11">
      <c r="A3" s="1549"/>
      <c r="B3" s="1550"/>
      <c r="C3" s="1550"/>
      <c r="D3" s="1550"/>
      <c r="E3" s="1550"/>
      <c r="F3" s="1550"/>
      <c r="G3" s="1550"/>
      <c r="H3" s="1550"/>
      <c r="I3" s="1551"/>
      <c r="J3" s="63"/>
    </row>
    <row r="4" spans="1:11">
      <c r="A4" s="1549" t="s">
        <v>22</v>
      </c>
      <c r="B4" s="1550"/>
      <c r="C4" s="1550"/>
      <c r="D4" s="1550"/>
      <c r="E4" s="1550"/>
      <c r="F4" s="1550"/>
      <c r="G4" s="1550"/>
      <c r="H4" s="1550"/>
      <c r="I4" s="1551"/>
      <c r="J4" s="63"/>
    </row>
    <row r="5" spans="1:11">
      <c r="A5" s="1549" t="s">
        <v>23</v>
      </c>
      <c r="B5" s="1550"/>
      <c r="C5" s="1550"/>
      <c r="D5" s="1550"/>
      <c r="E5" s="1550"/>
      <c r="F5" s="1550"/>
      <c r="G5" s="1550"/>
      <c r="H5" s="1550"/>
      <c r="I5" s="1551"/>
      <c r="J5" s="63"/>
    </row>
    <row r="6" spans="1:11" ht="18.75" customHeight="1" thickBot="1">
      <c r="A6" s="1578" t="s">
        <v>0</v>
      </c>
      <c r="B6" s="1579"/>
      <c r="C6" s="1579"/>
      <c r="D6" s="1579"/>
      <c r="E6" s="1579"/>
      <c r="F6" s="1579"/>
      <c r="G6" s="1579"/>
      <c r="H6" s="1579"/>
      <c r="I6" s="1580"/>
      <c r="J6" s="63"/>
    </row>
    <row r="7" spans="1:11" ht="24.75" customHeight="1" thickBot="1">
      <c r="A7" s="1199" t="s">
        <v>1</v>
      </c>
      <c r="B7" s="1561" t="s">
        <v>2</v>
      </c>
      <c r="C7" s="1562"/>
      <c r="D7" s="1562"/>
      <c r="E7" s="1563"/>
      <c r="F7" s="1564" t="s">
        <v>3</v>
      </c>
      <c r="G7" s="1565"/>
      <c r="H7" s="1565"/>
      <c r="I7" s="1566"/>
      <c r="J7" s="63"/>
    </row>
    <row r="8" spans="1:11" ht="21" customHeight="1" thickBot="1">
      <c r="A8" s="1200" t="s">
        <v>21</v>
      </c>
      <c r="B8" s="1201" t="s">
        <v>533</v>
      </c>
      <c r="C8" s="1201" t="s">
        <v>4</v>
      </c>
      <c r="D8" s="1202" t="s">
        <v>5</v>
      </c>
      <c r="E8" s="1203" t="s">
        <v>6</v>
      </c>
      <c r="F8" s="1204" t="s">
        <v>533</v>
      </c>
      <c r="G8" s="1204" t="s">
        <v>4</v>
      </c>
      <c r="H8" s="1205" t="s">
        <v>5</v>
      </c>
      <c r="I8" s="1206" t="s">
        <v>6</v>
      </c>
      <c r="J8" s="63"/>
    </row>
    <row r="9" spans="1:11">
      <c r="A9" s="566">
        <v>44200</v>
      </c>
      <c r="B9" s="1032">
        <v>23.35</v>
      </c>
      <c r="C9" s="1033">
        <v>22.97</v>
      </c>
      <c r="D9" s="1033">
        <v>22.14</v>
      </c>
      <c r="E9" s="1034">
        <v>18.670000000000002</v>
      </c>
      <c r="F9" s="1036">
        <v>22.4</v>
      </c>
      <c r="G9" s="1036">
        <v>21.91</v>
      </c>
      <c r="H9" s="1035">
        <v>21.11</v>
      </c>
      <c r="I9" s="1037">
        <v>17.61</v>
      </c>
      <c r="J9" s="79"/>
    </row>
    <row r="10" spans="1:11">
      <c r="A10" s="1207">
        <v>44207</v>
      </c>
      <c r="B10" s="1208">
        <v>24.03</v>
      </c>
      <c r="C10" s="1209">
        <v>23.43</v>
      </c>
      <c r="D10" s="1209">
        <v>22.63</v>
      </c>
      <c r="E10" s="1210">
        <v>18.739999999999998</v>
      </c>
      <c r="F10" s="1211">
        <v>22.87</v>
      </c>
      <c r="G10" s="1209">
        <v>22.39</v>
      </c>
      <c r="H10" s="1209">
        <v>21.59</v>
      </c>
      <c r="I10" s="1210">
        <v>17.690000000000001</v>
      </c>
      <c r="J10" s="79"/>
    </row>
    <row r="11" spans="1:11">
      <c r="A11" s="10">
        <v>44214</v>
      </c>
      <c r="B11" s="1038">
        <v>24.81</v>
      </c>
      <c r="C11" s="1039">
        <v>24.34</v>
      </c>
      <c r="D11" s="1039">
        <v>23.54</v>
      </c>
      <c r="E11" s="1037">
        <v>19.420000000000002</v>
      </c>
      <c r="F11" s="702">
        <v>23.7</v>
      </c>
      <c r="G11" s="1039">
        <v>23.21</v>
      </c>
      <c r="H11" s="1039">
        <v>22.41</v>
      </c>
      <c r="I11" s="1037">
        <v>18.3</v>
      </c>
      <c r="J11" s="79"/>
    </row>
    <row r="12" spans="1:11" ht="13.5" thickBot="1">
      <c r="A12" s="1207">
        <v>44221</v>
      </c>
      <c r="B12" s="1208">
        <v>25.16</v>
      </c>
      <c r="C12" s="1209">
        <v>24.52</v>
      </c>
      <c r="D12" s="1209">
        <v>23.71</v>
      </c>
      <c r="E12" s="1210">
        <v>19.55</v>
      </c>
      <c r="F12" s="1211">
        <v>24.07</v>
      </c>
      <c r="G12" s="1209">
        <v>23.44</v>
      </c>
      <c r="H12" s="1209">
        <v>22.64</v>
      </c>
      <c r="I12" s="1210">
        <v>18.47</v>
      </c>
      <c r="J12" s="79"/>
    </row>
    <row r="13" spans="1:11" ht="13.5" thickBot="1">
      <c r="A13" s="1212" t="s">
        <v>7</v>
      </c>
      <c r="B13" s="1213">
        <f t="shared" ref="B13:I13" si="0">AVERAGE(B9:B12)</f>
        <v>24.337499999999999</v>
      </c>
      <c r="C13" s="1213">
        <f t="shared" si="0"/>
        <v>23.814999999999998</v>
      </c>
      <c r="D13" s="1213">
        <f t="shared" si="0"/>
        <v>23.005000000000003</v>
      </c>
      <c r="E13" s="1213">
        <f t="shared" si="0"/>
        <v>19.094999999999999</v>
      </c>
      <c r="F13" s="1213">
        <f t="shared" si="0"/>
        <v>23.259999999999998</v>
      </c>
      <c r="G13" s="1213">
        <f t="shared" si="0"/>
        <v>22.737499999999997</v>
      </c>
      <c r="H13" s="1213">
        <f t="shared" si="0"/>
        <v>21.9375</v>
      </c>
      <c r="I13" s="1214">
        <f t="shared" si="0"/>
        <v>18.017499999999998</v>
      </c>
      <c r="J13" s="79"/>
      <c r="K13" s="767" t="s">
        <v>148</v>
      </c>
    </row>
    <row r="14" spans="1:11">
      <c r="A14" s="566">
        <v>44228</v>
      </c>
      <c r="B14" s="1032">
        <v>25.19</v>
      </c>
      <c r="C14" s="1033">
        <v>24.68</v>
      </c>
      <c r="D14" s="1033">
        <v>23.87</v>
      </c>
      <c r="E14" s="1034">
        <v>19.68</v>
      </c>
      <c r="F14" s="1036">
        <v>24.07</v>
      </c>
      <c r="G14" s="1036">
        <v>23.57</v>
      </c>
      <c r="H14" s="1035">
        <v>22.77</v>
      </c>
      <c r="I14" s="1037">
        <v>18.57</v>
      </c>
      <c r="J14" s="79"/>
    </row>
    <row r="15" spans="1:11">
      <c r="A15" s="1207">
        <v>44235</v>
      </c>
      <c r="B15" s="1208">
        <v>25.62</v>
      </c>
      <c r="C15" s="1209">
        <v>25.11</v>
      </c>
      <c r="D15" s="1209">
        <v>24.29</v>
      </c>
      <c r="E15" s="1210">
        <v>20.059999999999999</v>
      </c>
      <c r="F15" s="1211">
        <v>24.49</v>
      </c>
      <c r="G15" s="1209">
        <v>23.98</v>
      </c>
      <c r="H15" s="1209">
        <v>23.18</v>
      </c>
      <c r="I15" s="1210">
        <v>18.98</v>
      </c>
      <c r="J15" s="79"/>
    </row>
    <row r="16" spans="1:11">
      <c r="A16" s="10">
        <v>44242</v>
      </c>
      <c r="B16" s="1038">
        <v>26</v>
      </c>
      <c r="C16" s="1039">
        <v>25.45</v>
      </c>
      <c r="D16" s="1039">
        <v>24.64</v>
      </c>
      <c r="E16" s="1037">
        <v>20.8</v>
      </c>
      <c r="F16" s="702">
        <v>24.89</v>
      </c>
      <c r="G16" s="1039">
        <v>24.39</v>
      </c>
      <c r="H16" s="1039">
        <v>23.59</v>
      </c>
      <c r="I16" s="1037">
        <v>19.79</v>
      </c>
      <c r="J16" s="79"/>
    </row>
    <row r="17" spans="1:10" ht="13.5" thickBot="1">
      <c r="A17" s="1207">
        <v>44249</v>
      </c>
      <c r="B17" s="1208">
        <v>27.47</v>
      </c>
      <c r="C17" s="1209">
        <v>26.2</v>
      </c>
      <c r="D17" s="1209">
        <v>25.4</v>
      </c>
      <c r="E17" s="1210">
        <v>21.59</v>
      </c>
      <c r="F17" s="1211">
        <v>26.32</v>
      </c>
      <c r="G17" s="1209">
        <v>25.1</v>
      </c>
      <c r="H17" s="1209">
        <v>24.3</v>
      </c>
      <c r="I17" s="1210">
        <v>20.5</v>
      </c>
      <c r="J17" s="79"/>
    </row>
    <row r="18" spans="1:10" ht="13.5" thickBot="1">
      <c r="A18" s="1212" t="s">
        <v>7</v>
      </c>
      <c r="B18" s="1213">
        <f t="shared" ref="B18:I18" si="1">AVERAGE(B14:B17)</f>
        <v>26.07</v>
      </c>
      <c r="C18" s="1213">
        <f t="shared" si="1"/>
        <v>25.36</v>
      </c>
      <c r="D18" s="1213">
        <f t="shared" si="1"/>
        <v>24.549999999999997</v>
      </c>
      <c r="E18" s="1213">
        <f t="shared" si="1"/>
        <v>20.532499999999999</v>
      </c>
      <c r="F18" s="1213">
        <f t="shared" si="1"/>
        <v>24.942500000000003</v>
      </c>
      <c r="G18" s="1213">
        <f t="shared" si="1"/>
        <v>24.259999999999998</v>
      </c>
      <c r="H18" s="1213">
        <f t="shared" si="1"/>
        <v>23.46</v>
      </c>
      <c r="I18" s="1214">
        <f t="shared" si="1"/>
        <v>19.46</v>
      </c>
      <c r="J18" s="79"/>
    </row>
    <row r="19" spans="1:10">
      <c r="A19" s="1110">
        <v>44256</v>
      </c>
      <c r="B19" s="1107">
        <v>27.48</v>
      </c>
      <c r="C19" s="1108">
        <v>26.97</v>
      </c>
      <c r="D19" s="1108">
        <v>26.17</v>
      </c>
      <c r="E19" s="1109">
        <v>21.96</v>
      </c>
      <c r="F19" s="1111">
        <v>26.33</v>
      </c>
      <c r="G19" s="1112">
        <v>25.85</v>
      </c>
      <c r="H19" s="1112">
        <v>25.05</v>
      </c>
      <c r="I19" s="1113">
        <v>20.86</v>
      </c>
      <c r="J19" s="79"/>
    </row>
    <row r="20" spans="1:10">
      <c r="A20" s="1207">
        <v>44263</v>
      </c>
      <c r="B20" s="1211">
        <v>28.28</v>
      </c>
      <c r="C20" s="1209">
        <v>27.69</v>
      </c>
      <c r="D20" s="1209">
        <v>26.88</v>
      </c>
      <c r="E20" s="1210">
        <v>22.37</v>
      </c>
      <c r="F20" s="1208">
        <v>27.1</v>
      </c>
      <c r="G20" s="1209">
        <v>26.6</v>
      </c>
      <c r="H20" s="1209">
        <v>25.81</v>
      </c>
      <c r="I20" s="1210">
        <v>21.31</v>
      </c>
      <c r="J20" s="79"/>
    </row>
    <row r="21" spans="1:10">
      <c r="A21" s="10">
        <v>44270</v>
      </c>
      <c r="B21" s="1107">
        <v>28.93</v>
      </c>
      <c r="C21" s="1108">
        <v>28.36</v>
      </c>
      <c r="D21" s="1108">
        <v>27.56</v>
      </c>
      <c r="E21" s="1109">
        <v>22.79</v>
      </c>
      <c r="F21" s="1114">
        <v>27.79</v>
      </c>
      <c r="G21" s="1108">
        <v>27.27</v>
      </c>
      <c r="H21" s="1108">
        <v>26.47</v>
      </c>
      <c r="I21" s="1109">
        <v>21.68</v>
      </c>
      <c r="J21" s="79"/>
    </row>
    <row r="22" spans="1:10">
      <c r="A22" s="1215">
        <v>44277</v>
      </c>
      <c r="B22" s="1211">
        <v>28.56</v>
      </c>
      <c r="C22" s="1209">
        <v>28.03</v>
      </c>
      <c r="D22" s="1209">
        <v>27.23</v>
      </c>
      <c r="E22" s="1210">
        <v>22.4</v>
      </c>
      <c r="F22" s="1208">
        <v>27.37</v>
      </c>
      <c r="G22" s="1209">
        <v>27.02</v>
      </c>
      <c r="H22" s="1209">
        <v>26.22</v>
      </c>
      <c r="I22" s="1210">
        <v>21.41</v>
      </c>
      <c r="J22" s="79"/>
    </row>
    <row r="23" spans="1:10" ht="13.5" thickBot="1">
      <c r="A23" s="1110">
        <v>44284</v>
      </c>
      <c r="B23" s="1107">
        <v>27.93</v>
      </c>
      <c r="C23" s="1108">
        <v>27.43</v>
      </c>
      <c r="D23" s="1108">
        <v>26.63</v>
      </c>
      <c r="E23" s="1109">
        <v>21.82</v>
      </c>
      <c r="F23" s="1115">
        <v>26.82</v>
      </c>
      <c r="G23" s="1117">
        <v>26.35</v>
      </c>
      <c r="H23" s="1117">
        <v>25.56</v>
      </c>
      <c r="I23" s="1118">
        <v>20.8</v>
      </c>
      <c r="J23" s="79"/>
    </row>
    <row r="24" spans="1:10" ht="13.5" thickBot="1">
      <c r="A24" s="1212" t="s">
        <v>7</v>
      </c>
      <c r="B24" s="1251">
        <f t="shared" ref="B24:I24" si="2">AVERAGE(B19:B23)</f>
        <v>28.236000000000001</v>
      </c>
      <c r="C24" s="1251">
        <f t="shared" si="2"/>
        <v>27.695999999999998</v>
      </c>
      <c r="D24" s="1251">
        <f t="shared" si="2"/>
        <v>26.893999999999998</v>
      </c>
      <c r="E24" s="1251">
        <f t="shared" si="2"/>
        <v>22.268000000000001</v>
      </c>
      <c r="F24" s="1251">
        <f t="shared" si="2"/>
        <v>27.082000000000001</v>
      </c>
      <c r="G24" s="1251">
        <f t="shared" si="2"/>
        <v>26.618000000000002</v>
      </c>
      <c r="H24" s="1251">
        <f t="shared" si="2"/>
        <v>25.821999999999996</v>
      </c>
      <c r="I24" s="1252">
        <f t="shared" si="2"/>
        <v>21.212</v>
      </c>
      <c r="J24" s="79"/>
    </row>
    <row r="25" spans="1:10" ht="13.5" thickBot="1">
      <c r="A25" s="1258">
        <v>44291</v>
      </c>
      <c r="B25" s="1408">
        <v>27.9</v>
      </c>
      <c r="C25" s="1409">
        <v>27.44</v>
      </c>
      <c r="D25" s="1409">
        <v>26.64</v>
      </c>
      <c r="E25" s="1410">
        <v>21.73</v>
      </c>
      <c r="F25" s="1412">
        <v>26.82</v>
      </c>
      <c r="G25" s="1412">
        <v>26.45</v>
      </c>
      <c r="H25" s="1412">
        <v>25.66</v>
      </c>
      <c r="I25" s="1412">
        <v>20.71</v>
      </c>
      <c r="J25" s="79"/>
    </row>
    <row r="26" spans="1:10">
      <c r="A26" s="1255">
        <v>44298</v>
      </c>
      <c r="B26" s="1263">
        <v>28.66</v>
      </c>
      <c r="C26" s="1035">
        <v>28.12</v>
      </c>
      <c r="D26" s="1035">
        <v>27.33</v>
      </c>
      <c r="E26" s="1414">
        <v>21.59</v>
      </c>
      <c r="F26" s="1036">
        <v>27.48</v>
      </c>
      <c r="G26" s="1036">
        <v>26.97</v>
      </c>
      <c r="H26" s="1035">
        <v>26.17</v>
      </c>
      <c r="I26" s="1039">
        <v>20.43</v>
      </c>
      <c r="J26" s="79"/>
    </row>
    <row r="27" spans="1:10">
      <c r="A27" s="1258">
        <v>44305</v>
      </c>
      <c r="B27" s="1208">
        <v>28.67</v>
      </c>
      <c r="C27" s="1209">
        <v>28.17</v>
      </c>
      <c r="D27" s="1209">
        <v>27.37</v>
      </c>
      <c r="E27" s="1210">
        <v>21.74</v>
      </c>
      <c r="F27" s="1211">
        <v>27.35</v>
      </c>
      <c r="G27" s="1209">
        <v>27</v>
      </c>
      <c r="H27" s="1209">
        <v>26.2</v>
      </c>
      <c r="I27" s="1209">
        <v>20.59</v>
      </c>
      <c r="J27" s="79"/>
    </row>
    <row r="28" spans="1:10">
      <c r="A28" s="103">
        <v>44312</v>
      </c>
      <c r="B28" s="1038">
        <v>28.9</v>
      </c>
      <c r="C28" s="1039">
        <v>28.37</v>
      </c>
      <c r="D28" s="1039">
        <v>27.54</v>
      </c>
      <c r="E28" s="1037">
        <v>22.01</v>
      </c>
      <c r="F28" s="702">
        <v>27.78</v>
      </c>
      <c r="G28" s="1039">
        <v>27.27</v>
      </c>
      <c r="H28" s="1039">
        <v>26.49</v>
      </c>
      <c r="I28" s="1039">
        <v>20.87</v>
      </c>
      <c r="J28" s="79"/>
    </row>
    <row r="29" spans="1:10" ht="13.5" thickBot="1">
      <c r="A29" s="1258" t="s">
        <v>7</v>
      </c>
      <c r="B29" s="1265">
        <f t="shared" ref="B29:I29" si="3">AVERAGE(B25:B28)</f>
        <v>28.532499999999999</v>
      </c>
      <c r="C29" s="1260">
        <f>AVERAGE(C25:C28)</f>
        <v>28.025000000000002</v>
      </c>
      <c r="D29" s="1260">
        <f>AVERAGE(D25:D28)</f>
        <v>27.22</v>
      </c>
      <c r="E29" s="1413">
        <f t="shared" si="3"/>
        <v>21.767500000000002</v>
      </c>
      <c r="F29" s="1211">
        <f t="shared" si="3"/>
        <v>27.357500000000002</v>
      </c>
      <c r="G29" s="1211">
        <f t="shared" si="3"/>
        <v>26.922499999999999</v>
      </c>
      <c r="H29" s="1211">
        <f t="shared" si="3"/>
        <v>26.13</v>
      </c>
      <c r="I29" s="1211">
        <f t="shared" si="3"/>
        <v>20.650000000000002</v>
      </c>
      <c r="J29" s="79"/>
    </row>
    <row r="30" spans="1:10" ht="13.5" thickBot="1">
      <c r="A30" s="1212">
        <v>44319</v>
      </c>
      <c r="B30" s="1223">
        <v>28.95</v>
      </c>
      <c r="C30" s="1223">
        <v>28.36</v>
      </c>
      <c r="D30" s="1223">
        <v>27.54</v>
      </c>
      <c r="E30" s="1223">
        <v>22.18</v>
      </c>
      <c r="F30" s="1223">
        <v>27.78</v>
      </c>
      <c r="G30" s="1223">
        <v>27.29</v>
      </c>
      <c r="H30" s="1223">
        <v>26.49</v>
      </c>
      <c r="I30" s="1254">
        <v>21.12</v>
      </c>
      <c r="J30" s="79"/>
    </row>
    <row r="31" spans="1:10">
      <c r="A31" s="1110">
        <v>44326</v>
      </c>
      <c r="B31" s="1107">
        <v>29.47</v>
      </c>
      <c r="C31" s="1108">
        <v>28.86</v>
      </c>
      <c r="D31" s="1108">
        <v>28.04</v>
      </c>
      <c r="E31" s="1109">
        <v>22.68</v>
      </c>
      <c r="F31" s="1111">
        <v>28.35</v>
      </c>
      <c r="G31" s="1112">
        <v>27.89</v>
      </c>
      <c r="H31" s="1112">
        <v>27.09</v>
      </c>
      <c r="I31" s="1113">
        <v>21.79</v>
      </c>
      <c r="J31" s="79"/>
    </row>
    <row r="32" spans="1:10">
      <c r="A32" s="1215">
        <v>44333</v>
      </c>
      <c r="B32" s="1211">
        <v>29.46</v>
      </c>
      <c r="C32" s="1209">
        <v>28.85</v>
      </c>
      <c r="D32" s="1209">
        <v>28.02</v>
      </c>
      <c r="E32" s="1210">
        <v>22.68</v>
      </c>
      <c r="F32" s="1208">
        <v>28.38</v>
      </c>
      <c r="G32" s="1209">
        <v>27.9</v>
      </c>
      <c r="H32" s="1209">
        <v>27.09</v>
      </c>
      <c r="I32" s="1210">
        <v>21.79</v>
      </c>
      <c r="J32" s="79"/>
    </row>
    <row r="33" spans="1:15">
      <c r="A33" s="1110">
        <v>44340</v>
      </c>
      <c r="B33" s="1107">
        <v>29.43</v>
      </c>
      <c r="C33" s="1108">
        <v>28.84</v>
      </c>
      <c r="D33" s="1108">
        <v>28.03</v>
      </c>
      <c r="E33" s="1109">
        <v>22.68</v>
      </c>
      <c r="F33" s="1114">
        <v>28.38</v>
      </c>
      <c r="G33" s="1108">
        <v>27.88</v>
      </c>
      <c r="H33" s="1108">
        <v>27.08</v>
      </c>
      <c r="I33" s="1109">
        <v>21.78</v>
      </c>
      <c r="J33" s="79"/>
      <c r="M33" s="190"/>
      <c r="N33" s="190"/>
      <c r="O33" s="190"/>
    </row>
    <row r="34" spans="1:15">
      <c r="A34" s="1215">
        <v>44347</v>
      </c>
      <c r="B34" s="1211">
        <v>29.67</v>
      </c>
      <c r="C34" s="1209">
        <v>29.08</v>
      </c>
      <c r="D34" s="1209">
        <v>28.26</v>
      </c>
      <c r="E34" s="1210">
        <v>23.35</v>
      </c>
      <c r="F34" s="1208">
        <v>28.5</v>
      </c>
      <c r="G34" s="1209">
        <v>28.01</v>
      </c>
      <c r="H34" s="1209">
        <v>27.22</v>
      </c>
      <c r="I34" s="1210">
        <v>22.29</v>
      </c>
      <c r="J34" s="79"/>
      <c r="L34" s="190"/>
      <c r="M34" s="190"/>
    </row>
    <row r="35" spans="1:15" ht="13.5" thickBot="1">
      <c r="A35" s="1110" t="s">
        <v>7</v>
      </c>
      <c r="B35" s="1107">
        <f t="shared" ref="B35:I35" si="4">AVERAGE(B30:B34)</f>
        <v>29.396000000000004</v>
      </c>
      <c r="C35" s="1108">
        <f t="shared" si="4"/>
        <v>28.798000000000002</v>
      </c>
      <c r="D35" s="1108">
        <f t="shared" si="4"/>
        <v>27.977999999999998</v>
      </c>
      <c r="E35" s="1109">
        <f t="shared" si="4"/>
        <v>22.713999999999999</v>
      </c>
      <c r="F35" s="1107">
        <f t="shared" si="4"/>
        <v>28.277999999999999</v>
      </c>
      <c r="G35" s="1108">
        <f t="shared" si="4"/>
        <v>27.794</v>
      </c>
      <c r="H35" s="1108">
        <f t="shared" si="4"/>
        <v>26.994</v>
      </c>
      <c r="I35" s="1109">
        <f t="shared" si="4"/>
        <v>21.753999999999998</v>
      </c>
      <c r="J35" s="79"/>
      <c r="L35" s="190"/>
      <c r="M35" s="190"/>
    </row>
    <row r="36" spans="1:15" ht="13.5" thickBot="1">
      <c r="A36" s="1212">
        <v>44354</v>
      </c>
      <c r="B36" s="1213">
        <v>29.65</v>
      </c>
      <c r="C36" s="1213">
        <v>29.04</v>
      </c>
      <c r="D36" s="1213">
        <v>28.21</v>
      </c>
      <c r="E36" s="1213">
        <v>23.61</v>
      </c>
      <c r="F36" s="1213">
        <v>28.5</v>
      </c>
      <c r="G36" s="1213">
        <v>27.99</v>
      </c>
      <c r="H36" s="1213">
        <v>27.2</v>
      </c>
      <c r="I36" s="1214">
        <v>22.58</v>
      </c>
      <c r="J36" s="79"/>
      <c r="L36" s="190"/>
      <c r="M36" s="190"/>
    </row>
    <row r="37" spans="1:15">
      <c r="A37" s="566">
        <v>44361</v>
      </c>
      <c r="B37" s="1032">
        <v>29.8</v>
      </c>
      <c r="C37" s="1033">
        <v>29.16</v>
      </c>
      <c r="D37" s="1033">
        <v>28.37</v>
      </c>
      <c r="E37" s="1216">
        <v>23.73</v>
      </c>
      <c r="F37" s="1036">
        <v>28.68</v>
      </c>
      <c r="G37" s="1036">
        <v>28.19</v>
      </c>
      <c r="H37" s="1035">
        <v>27.4</v>
      </c>
      <c r="I37" s="1037">
        <v>22.77</v>
      </c>
      <c r="J37" s="79"/>
      <c r="L37" s="190"/>
      <c r="M37" s="190"/>
    </row>
    <row r="38" spans="1:15">
      <c r="A38" s="1207">
        <v>44368</v>
      </c>
      <c r="B38" s="1208">
        <v>29.13</v>
      </c>
      <c r="C38" s="1209">
        <v>28.64</v>
      </c>
      <c r="D38" s="1209">
        <v>27.79</v>
      </c>
      <c r="E38" s="1210">
        <v>22.81</v>
      </c>
      <c r="F38" s="1211">
        <v>28.1</v>
      </c>
      <c r="G38" s="1209">
        <v>27.68</v>
      </c>
      <c r="H38" s="1209">
        <v>26.86</v>
      </c>
      <c r="I38" s="1210">
        <v>21.88</v>
      </c>
      <c r="J38" s="79"/>
      <c r="L38" s="190"/>
      <c r="M38" s="190"/>
    </row>
    <row r="39" spans="1:15">
      <c r="A39" s="10">
        <v>44376</v>
      </c>
      <c r="B39" s="1038">
        <v>28.67</v>
      </c>
      <c r="C39" s="1039">
        <v>28.54</v>
      </c>
      <c r="D39" s="1039">
        <v>27.74</v>
      </c>
      <c r="E39" s="1037">
        <v>22.77</v>
      </c>
      <c r="F39" s="702">
        <v>27.57</v>
      </c>
      <c r="G39" s="1039">
        <v>27.6</v>
      </c>
      <c r="H39" s="1039">
        <v>26.8</v>
      </c>
      <c r="I39" s="1037">
        <v>21.81</v>
      </c>
      <c r="J39" s="79"/>
      <c r="L39" s="190"/>
      <c r="M39" s="190"/>
    </row>
    <row r="40" spans="1:15" ht="13.5" thickBot="1">
      <c r="A40" s="1207" t="s">
        <v>7</v>
      </c>
      <c r="B40" s="1208">
        <f t="shared" ref="B40:I40" si="5">AVERAGE(B36:B39)</f>
        <v>29.3125</v>
      </c>
      <c r="C40" s="1209">
        <f t="shared" si="5"/>
        <v>28.844999999999999</v>
      </c>
      <c r="D40" s="1209">
        <f t="shared" si="5"/>
        <v>28.0275</v>
      </c>
      <c r="E40" s="1210">
        <f t="shared" si="5"/>
        <v>23.23</v>
      </c>
      <c r="F40" s="1211">
        <f t="shared" si="5"/>
        <v>28.212499999999999</v>
      </c>
      <c r="G40" s="1209">
        <f t="shared" si="5"/>
        <v>27.865000000000002</v>
      </c>
      <c r="H40" s="1209">
        <f t="shared" si="5"/>
        <v>27.064999999999998</v>
      </c>
      <c r="I40" s="1210">
        <f t="shared" si="5"/>
        <v>22.259999999999998</v>
      </c>
      <c r="J40" s="79"/>
    </row>
    <row r="41" spans="1:15" ht="13.5" thickBot="1">
      <c r="A41" s="1212">
        <v>44382</v>
      </c>
      <c r="B41" s="1213">
        <v>30.34</v>
      </c>
      <c r="C41" s="1213">
        <v>29.73</v>
      </c>
      <c r="D41" s="1213">
        <v>28.92</v>
      </c>
      <c r="E41" s="1213">
        <v>23.92</v>
      </c>
      <c r="F41" s="1213">
        <v>29.27</v>
      </c>
      <c r="G41" s="1213">
        <v>28.78</v>
      </c>
      <c r="H41" s="1213">
        <v>27.98</v>
      </c>
      <c r="I41" s="1214">
        <v>22.97</v>
      </c>
      <c r="J41" s="63"/>
      <c r="L41" s="190"/>
      <c r="M41" s="190"/>
    </row>
    <row r="42" spans="1:15">
      <c r="A42" s="566">
        <v>44389</v>
      </c>
      <c r="B42" s="1032">
        <v>30.16</v>
      </c>
      <c r="C42" s="1033">
        <v>29.56</v>
      </c>
      <c r="D42" s="1033">
        <v>28.76</v>
      </c>
      <c r="E42" s="1216">
        <v>23.73</v>
      </c>
      <c r="F42" s="1036">
        <v>29.02</v>
      </c>
      <c r="G42" s="1036">
        <v>28.64</v>
      </c>
      <c r="H42" s="1035">
        <v>27.84</v>
      </c>
      <c r="I42" s="1037">
        <v>22.82</v>
      </c>
      <c r="J42" s="63"/>
      <c r="L42" s="190"/>
      <c r="M42" s="190"/>
    </row>
    <row r="43" spans="1:15">
      <c r="A43" s="1207">
        <v>44396</v>
      </c>
      <c r="B43" s="1208">
        <v>29.95</v>
      </c>
      <c r="C43" s="1209">
        <v>29.5</v>
      </c>
      <c r="D43" s="1209">
        <v>28.7</v>
      </c>
      <c r="E43" s="1210">
        <v>23.71</v>
      </c>
      <c r="F43" s="1211">
        <v>28.75</v>
      </c>
      <c r="G43" s="1209">
        <v>28.34</v>
      </c>
      <c r="H43" s="1209">
        <v>27.54</v>
      </c>
      <c r="I43" s="1210">
        <v>22.55</v>
      </c>
      <c r="J43" s="63"/>
      <c r="L43" s="190"/>
      <c r="M43" s="190"/>
    </row>
    <row r="44" spans="1:15">
      <c r="A44" s="10">
        <v>44403</v>
      </c>
      <c r="B44" s="1038">
        <v>29.69</v>
      </c>
      <c r="C44" s="1039">
        <v>29.17</v>
      </c>
      <c r="D44" s="1039">
        <v>28.36</v>
      </c>
      <c r="E44" s="1037">
        <v>23.18</v>
      </c>
      <c r="F44" s="702">
        <v>28.63</v>
      </c>
      <c r="G44" s="1039">
        <v>28.09</v>
      </c>
      <c r="H44" s="1039">
        <v>27.29</v>
      </c>
      <c r="I44" s="1037">
        <v>22.1</v>
      </c>
      <c r="J44" s="63"/>
    </row>
    <row r="45" spans="1:15" ht="13.5" customHeight="1" thickBot="1">
      <c r="A45" s="1207" t="s">
        <v>7</v>
      </c>
      <c r="B45" s="1208">
        <f t="shared" ref="B45:I45" si="6">AVERAGE(B41:B44)</f>
        <v>30.035</v>
      </c>
      <c r="C45" s="1209">
        <f t="shared" si="6"/>
        <v>29.49</v>
      </c>
      <c r="D45" s="1209">
        <f t="shared" si="6"/>
        <v>28.685000000000002</v>
      </c>
      <c r="E45" s="1210">
        <f t="shared" si="6"/>
        <v>23.635000000000005</v>
      </c>
      <c r="F45" s="1211">
        <f t="shared" si="6"/>
        <v>28.917499999999997</v>
      </c>
      <c r="G45" s="1209">
        <f t="shared" si="6"/>
        <v>28.462500000000002</v>
      </c>
      <c r="H45" s="1209">
        <f t="shared" si="6"/>
        <v>27.662500000000001</v>
      </c>
      <c r="I45" s="1210">
        <f t="shared" si="6"/>
        <v>22.61</v>
      </c>
      <c r="J45" s="63"/>
    </row>
    <row r="46" spans="1:15" ht="13.5" thickBot="1">
      <c r="A46" s="1212">
        <v>44410</v>
      </c>
      <c r="B46" s="1213">
        <v>30.68</v>
      </c>
      <c r="C46" s="1213">
        <v>30.12</v>
      </c>
      <c r="D46" s="1213">
        <v>29.31</v>
      </c>
      <c r="E46" s="1213">
        <v>24.11</v>
      </c>
      <c r="F46" s="1213">
        <v>29.6</v>
      </c>
      <c r="G46" s="1213">
        <v>29.1</v>
      </c>
      <c r="H46" s="1213">
        <v>28.28</v>
      </c>
      <c r="I46" s="1214">
        <v>23.1</v>
      </c>
      <c r="J46" s="63"/>
    </row>
    <row r="47" spans="1:15">
      <c r="A47" s="1110">
        <v>44417</v>
      </c>
      <c r="B47" s="1107">
        <v>30.72</v>
      </c>
      <c r="C47" s="1108">
        <v>30.13</v>
      </c>
      <c r="D47" s="1108">
        <v>29.32</v>
      </c>
      <c r="E47" s="1109">
        <v>24.12</v>
      </c>
      <c r="F47" s="1111">
        <v>29.58</v>
      </c>
      <c r="G47" s="1112">
        <v>29.09</v>
      </c>
      <c r="H47" s="1112">
        <v>28.27</v>
      </c>
      <c r="I47" s="1113">
        <v>23.09</v>
      </c>
      <c r="J47" s="63"/>
    </row>
    <row r="48" spans="1:15">
      <c r="A48" s="1215">
        <v>44425</v>
      </c>
      <c r="B48" s="1211">
        <v>30.37</v>
      </c>
      <c r="C48" s="1209">
        <v>29.78</v>
      </c>
      <c r="D48" s="1209">
        <v>28.95</v>
      </c>
      <c r="E48" s="1210">
        <v>23.76</v>
      </c>
      <c r="F48" s="1208">
        <v>29.31</v>
      </c>
      <c r="G48" s="1209">
        <v>28.8</v>
      </c>
      <c r="H48" s="1209">
        <v>28</v>
      </c>
      <c r="I48" s="1210">
        <v>22.8</v>
      </c>
      <c r="J48" s="63"/>
    </row>
    <row r="49" spans="1:15">
      <c r="A49" s="1110">
        <v>44431</v>
      </c>
      <c r="B49" s="1107">
        <v>30.34</v>
      </c>
      <c r="C49" s="1108">
        <v>29.75</v>
      </c>
      <c r="D49" s="1108">
        <v>28.94</v>
      </c>
      <c r="E49" s="1109">
        <v>23.73</v>
      </c>
      <c r="F49" s="1114">
        <v>29.31</v>
      </c>
      <c r="G49" s="1108">
        <v>28.79</v>
      </c>
      <c r="H49" s="1108">
        <v>27.99</v>
      </c>
      <c r="I49" s="1109">
        <v>22.79</v>
      </c>
      <c r="J49" s="63"/>
    </row>
    <row r="50" spans="1:15">
      <c r="A50" s="1215">
        <v>44438</v>
      </c>
      <c r="B50" s="1211">
        <v>30.34</v>
      </c>
      <c r="C50" s="1209">
        <v>29.76</v>
      </c>
      <c r="D50" s="1209">
        <v>28.95</v>
      </c>
      <c r="E50" s="1210">
        <v>23.73</v>
      </c>
      <c r="F50" s="1208">
        <v>29.31</v>
      </c>
      <c r="G50" s="1209">
        <v>28.79</v>
      </c>
      <c r="H50" s="1209">
        <v>27.99</v>
      </c>
      <c r="I50" s="1210">
        <v>22.79</v>
      </c>
      <c r="J50" s="63"/>
    </row>
    <row r="51" spans="1:15" ht="13.5" thickBot="1">
      <c r="A51" s="1110" t="s">
        <v>7</v>
      </c>
      <c r="B51" s="1107">
        <f t="shared" ref="B51:I51" si="7">AVERAGE(B46:B50)</f>
        <v>30.49</v>
      </c>
      <c r="C51" s="1108">
        <f t="shared" si="7"/>
        <v>29.907999999999998</v>
      </c>
      <c r="D51" s="1108">
        <f t="shared" si="7"/>
        <v>29.094000000000001</v>
      </c>
      <c r="E51" s="1109">
        <f t="shared" si="7"/>
        <v>23.890000000000004</v>
      </c>
      <c r="F51" s="1107">
        <f t="shared" si="7"/>
        <v>29.421999999999997</v>
      </c>
      <c r="G51" s="1108">
        <f t="shared" si="7"/>
        <v>28.913999999999998</v>
      </c>
      <c r="H51" s="1108">
        <f t="shared" si="7"/>
        <v>28.106000000000002</v>
      </c>
      <c r="I51" s="1109">
        <f t="shared" si="7"/>
        <v>22.913999999999998</v>
      </c>
      <c r="J51" s="63"/>
    </row>
    <row r="52" spans="1:15" ht="13.5" thickBot="1">
      <c r="A52" s="1212">
        <v>44445</v>
      </c>
      <c r="B52" s="1213">
        <v>30.74</v>
      </c>
      <c r="C52" s="1213">
        <v>30.12</v>
      </c>
      <c r="D52" s="1213">
        <v>29.38</v>
      </c>
      <c r="E52" s="1213">
        <v>24.2</v>
      </c>
      <c r="F52" s="1213">
        <v>29.59</v>
      </c>
      <c r="G52" s="1213">
        <v>29.11</v>
      </c>
      <c r="H52" s="1213">
        <v>28.4</v>
      </c>
      <c r="I52" s="1214">
        <v>23.2</v>
      </c>
      <c r="J52" s="63"/>
    </row>
    <row r="53" spans="1:15">
      <c r="A53" s="566">
        <v>44452</v>
      </c>
      <c r="B53" s="1032">
        <v>30.71</v>
      </c>
      <c r="C53" s="1033">
        <v>30.1</v>
      </c>
      <c r="D53" s="1033">
        <v>29.39</v>
      </c>
      <c r="E53" s="1216">
        <v>24.5</v>
      </c>
      <c r="F53" s="1036">
        <v>29.33</v>
      </c>
      <c r="G53" s="1036">
        <v>29.08</v>
      </c>
      <c r="H53" s="1035">
        <v>28.4</v>
      </c>
      <c r="I53" s="1037">
        <v>23.47</v>
      </c>
      <c r="J53" s="63"/>
    </row>
    <row r="54" spans="1:15">
      <c r="A54" s="1207">
        <v>44459</v>
      </c>
      <c r="B54" s="1208">
        <v>30.93</v>
      </c>
      <c r="C54" s="1209">
        <v>30.38</v>
      </c>
      <c r="D54" s="1209">
        <v>29.66</v>
      </c>
      <c r="E54" s="1210">
        <v>24.83</v>
      </c>
      <c r="F54" s="1211">
        <v>29.8</v>
      </c>
      <c r="G54" s="1209">
        <v>29.28</v>
      </c>
      <c r="H54" s="1209">
        <v>28.58</v>
      </c>
      <c r="I54" s="1210">
        <v>23.77</v>
      </c>
      <c r="J54" s="63"/>
      <c r="K54" s="75"/>
      <c r="L54" s="75"/>
      <c r="M54" s="75"/>
      <c r="N54" s="75"/>
      <c r="O54" s="75"/>
    </row>
    <row r="55" spans="1:15">
      <c r="A55" s="10">
        <v>44466</v>
      </c>
      <c r="B55" s="1038">
        <v>30.93</v>
      </c>
      <c r="C55" s="1039">
        <v>30.33</v>
      </c>
      <c r="D55" s="1039">
        <v>29.61</v>
      </c>
      <c r="E55" s="1037">
        <v>24.81</v>
      </c>
      <c r="F55" s="702">
        <v>29.79</v>
      </c>
      <c r="G55" s="1039">
        <v>29.29</v>
      </c>
      <c r="H55" s="1039">
        <v>28.59</v>
      </c>
      <c r="I55" s="1037">
        <v>23.79</v>
      </c>
      <c r="J55" s="63"/>
      <c r="K55" s="75"/>
      <c r="L55" s="1108"/>
      <c r="M55" s="1108"/>
      <c r="N55" s="1108"/>
      <c r="O55" s="1108"/>
    </row>
    <row r="56" spans="1:15" ht="13.5" thickBot="1">
      <c r="A56" s="1207" t="s">
        <v>7</v>
      </c>
      <c r="B56" s="1208">
        <f t="shared" ref="B56:I56" si="8">AVERAGE(B52:B55)</f>
        <v>30.827500000000001</v>
      </c>
      <c r="C56" s="1209">
        <f t="shared" si="8"/>
        <v>30.232499999999998</v>
      </c>
      <c r="D56" s="1209">
        <f t="shared" si="8"/>
        <v>29.509999999999998</v>
      </c>
      <c r="E56" s="1210">
        <f t="shared" si="8"/>
        <v>24.585000000000001</v>
      </c>
      <c r="F56" s="1211">
        <f t="shared" si="8"/>
        <v>29.627499999999998</v>
      </c>
      <c r="G56" s="1209">
        <f t="shared" si="8"/>
        <v>29.189999999999998</v>
      </c>
      <c r="H56" s="1209">
        <f t="shared" si="8"/>
        <v>28.4925</v>
      </c>
      <c r="I56" s="1210">
        <f t="shared" si="8"/>
        <v>23.557499999999997</v>
      </c>
      <c r="J56" s="63"/>
      <c r="K56" s="75"/>
      <c r="L56" s="75"/>
      <c r="M56" s="75"/>
      <c r="N56" s="75"/>
      <c r="O56" s="75"/>
    </row>
    <row r="57" spans="1:15" ht="13.5" thickBot="1">
      <c r="A57" s="1212">
        <v>44473</v>
      </c>
      <c r="B57" s="1213">
        <v>30.65</v>
      </c>
      <c r="C57" s="1213">
        <v>30.03</v>
      </c>
      <c r="D57" s="1213">
        <v>29.3</v>
      </c>
      <c r="E57" s="1213">
        <v>25.47</v>
      </c>
      <c r="F57" s="1213">
        <v>29.49</v>
      </c>
      <c r="G57" s="1213">
        <v>29.01</v>
      </c>
      <c r="H57" s="1213">
        <v>28.3</v>
      </c>
      <c r="I57" s="1214">
        <v>24.48</v>
      </c>
      <c r="J57" s="63"/>
      <c r="K57" s="75"/>
      <c r="L57" s="75"/>
      <c r="M57" s="75"/>
      <c r="N57" s="75"/>
      <c r="O57" s="75"/>
    </row>
    <row r="58" spans="1:15">
      <c r="A58" s="566">
        <v>44480</v>
      </c>
      <c r="B58" s="1032">
        <v>31.57</v>
      </c>
      <c r="C58" s="1033">
        <v>30.98</v>
      </c>
      <c r="D58" s="1033">
        <v>30.29</v>
      </c>
      <c r="E58" s="1216">
        <v>26.48</v>
      </c>
      <c r="F58" s="1036">
        <v>30.49</v>
      </c>
      <c r="G58" s="1036">
        <v>29.98</v>
      </c>
      <c r="H58" s="1035">
        <v>29.28</v>
      </c>
      <c r="I58" s="1037">
        <v>25.41</v>
      </c>
      <c r="J58" s="127"/>
      <c r="K58" s="1108"/>
      <c r="L58" s="1108"/>
      <c r="M58" s="1108"/>
      <c r="N58" s="1108"/>
      <c r="O58" s="75"/>
    </row>
    <row r="59" spans="1:15">
      <c r="A59" s="1207">
        <v>44487</v>
      </c>
      <c r="B59" s="1208">
        <v>31.59</v>
      </c>
      <c r="C59" s="1209">
        <v>30.99</v>
      </c>
      <c r="D59" s="1209">
        <v>30.29</v>
      </c>
      <c r="E59" s="1210">
        <v>26.47</v>
      </c>
      <c r="F59" s="1211">
        <v>30.49</v>
      </c>
      <c r="G59" s="1209">
        <v>29.97</v>
      </c>
      <c r="H59" s="1209">
        <v>29.28</v>
      </c>
      <c r="I59" s="1210">
        <v>25.44</v>
      </c>
      <c r="J59" s="127"/>
      <c r="K59" s="75"/>
      <c r="L59" s="75"/>
      <c r="M59" s="75"/>
      <c r="N59" s="75"/>
      <c r="O59" s="75"/>
    </row>
    <row r="60" spans="1:15" s="79" customFormat="1">
      <c r="A60" s="10">
        <v>44494</v>
      </c>
      <c r="B60" s="1038">
        <v>32.6</v>
      </c>
      <c r="C60" s="1039">
        <v>31.98</v>
      </c>
      <c r="D60" s="1039">
        <v>31.25</v>
      </c>
      <c r="E60" s="1037">
        <v>27.46</v>
      </c>
      <c r="F60" s="702">
        <v>31.49</v>
      </c>
      <c r="G60" s="1039">
        <v>30.98</v>
      </c>
      <c r="H60" s="1039">
        <v>30.28</v>
      </c>
      <c r="I60" s="1037">
        <v>26.49</v>
      </c>
      <c r="J60" s="127"/>
    </row>
    <row r="61" spans="1:15" s="79" customFormat="1" ht="13.5" thickBot="1">
      <c r="A61" s="1207" t="s">
        <v>7</v>
      </c>
      <c r="B61" s="1208">
        <f>AVERAGE(B57:B60)</f>
        <v>31.602499999999999</v>
      </c>
      <c r="C61" s="1209">
        <f t="shared" ref="C61:I61" si="9">AVERAGE(C57:C60)</f>
        <v>30.995000000000001</v>
      </c>
      <c r="D61" s="1209">
        <f t="shared" si="9"/>
        <v>30.282499999999999</v>
      </c>
      <c r="E61" s="1210">
        <f t="shared" si="9"/>
        <v>26.47</v>
      </c>
      <c r="F61" s="1211">
        <f t="shared" si="9"/>
        <v>30.49</v>
      </c>
      <c r="G61" s="1209">
        <f t="shared" si="9"/>
        <v>29.985000000000003</v>
      </c>
      <c r="H61" s="1209">
        <f t="shared" si="9"/>
        <v>29.285</v>
      </c>
      <c r="I61" s="1210">
        <f t="shared" si="9"/>
        <v>25.454999999999998</v>
      </c>
      <c r="J61" s="127"/>
    </row>
    <row r="62" spans="1:15" s="79" customFormat="1" ht="13.5" thickBot="1">
      <c r="A62" s="1212">
        <v>44502</v>
      </c>
      <c r="B62" s="1213">
        <v>32.590000000000003</v>
      </c>
      <c r="C62" s="1213">
        <v>31.96</v>
      </c>
      <c r="D62" s="1213">
        <v>31.24</v>
      </c>
      <c r="E62" s="1213">
        <v>27.45</v>
      </c>
      <c r="F62" s="1213">
        <v>31.49</v>
      </c>
      <c r="G62" s="1213">
        <v>30.98</v>
      </c>
      <c r="H62" s="1213">
        <v>30.28</v>
      </c>
      <c r="I62" s="1214">
        <v>26.48</v>
      </c>
      <c r="J62" s="563"/>
      <c r="N62" s="79">
        <v>1</v>
      </c>
    </row>
    <row r="63" spans="1:15" s="79" customFormat="1">
      <c r="A63" s="1110">
        <v>44508</v>
      </c>
      <c r="B63" s="1107">
        <v>32.65</v>
      </c>
      <c r="C63" s="1108">
        <v>32.08</v>
      </c>
      <c r="D63" s="1108">
        <v>31.37</v>
      </c>
      <c r="E63" s="1109">
        <v>27.56</v>
      </c>
      <c r="F63" s="1111">
        <v>31.5</v>
      </c>
      <c r="G63" s="1112">
        <v>30.99</v>
      </c>
      <c r="H63" s="1112">
        <v>30.3</v>
      </c>
      <c r="I63" s="1113">
        <v>26.49</v>
      </c>
      <c r="J63" s="127"/>
    </row>
    <row r="64" spans="1:15" s="79" customFormat="1">
      <c r="A64" s="1215">
        <v>44515</v>
      </c>
      <c r="B64" s="1211">
        <v>32.159999999999997</v>
      </c>
      <c r="C64" s="1209">
        <v>31.62</v>
      </c>
      <c r="D64" s="1209">
        <v>30.89</v>
      </c>
      <c r="E64" s="1210">
        <v>27.09</v>
      </c>
      <c r="F64" s="1208">
        <v>31.01</v>
      </c>
      <c r="G64" s="1209">
        <v>30.63</v>
      </c>
      <c r="H64" s="1209">
        <v>29.93</v>
      </c>
      <c r="I64" s="1210">
        <v>26.12</v>
      </c>
      <c r="J64" s="127"/>
    </row>
    <row r="65" spans="1:10" s="79" customFormat="1">
      <c r="A65" s="1110">
        <v>44522</v>
      </c>
      <c r="B65" s="1107">
        <v>31.7</v>
      </c>
      <c r="C65" s="1108">
        <v>31.2</v>
      </c>
      <c r="D65" s="1108">
        <v>30.48</v>
      </c>
      <c r="E65" s="1109">
        <v>26.88</v>
      </c>
      <c r="F65" s="1114">
        <v>30.49</v>
      </c>
      <c r="G65" s="1108">
        <v>30.01</v>
      </c>
      <c r="H65" s="1108">
        <v>29.32</v>
      </c>
      <c r="I65" s="1109">
        <v>25.7</v>
      </c>
      <c r="J65" s="127"/>
    </row>
    <row r="66" spans="1:10" s="79" customFormat="1" ht="13.5" customHeight="1">
      <c r="A66" s="1215">
        <v>44529</v>
      </c>
      <c r="B66" s="1211">
        <v>31.45</v>
      </c>
      <c r="C66" s="1209">
        <v>30.87</v>
      </c>
      <c r="D66" s="1209">
        <v>30.13</v>
      </c>
      <c r="E66" s="1210">
        <v>26.38</v>
      </c>
      <c r="F66" s="1208">
        <v>30.24</v>
      </c>
      <c r="G66" s="1209">
        <v>29.78</v>
      </c>
      <c r="H66" s="1209">
        <v>29.07</v>
      </c>
      <c r="I66" s="1210">
        <v>25.33</v>
      </c>
      <c r="J66" s="127"/>
    </row>
    <row r="67" spans="1:10" s="79" customFormat="1" ht="13.5" thickBot="1">
      <c r="A67" s="1110" t="s">
        <v>7</v>
      </c>
      <c r="B67" s="1107">
        <f t="shared" ref="B67:I67" si="10">AVERAGE(B62:B66)</f>
        <v>32.11</v>
      </c>
      <c r="C67" s="1108">
        <f t="shared" si="10"/>
        <v>31.545999999999999</v>
      </c>
      <c r="D67" s="1108">
        <f t="shared" si="10"/>
        <v>30.822000000000003</v>
      </c>
      <c r="E67" s="1109">
        <f t="shared" si="10"/>
        <v>27.071999999999996</v>
      </c>
      <c r="F67" s="1107">
        <f t="shared" si="10"/>
        <v>30.945999999999998</v>
      </c>
      <c r="G67" s="1108">
        <f t="shared" si="10"/>
        <v>30.477999999999998</v>
      </c>
      <c r="H67" s="1108">
        <f t="shared" si="10"/>
        <v>29.779999999999994</v>
      </c>
      <c r="I67" s="1109">
        <f t="shared" si="10"/>
        <v>26.024000000000001</v>
      </c>
      <c r="J67" s="127"/>
    </row>
    <row r="68" spans="1:10" s="79" customFormat="1" ht="13.5" thickBot="1">
      <c r="A68" s="1212">
        <v>44536</v>
      </c>
      <c r="B68" s="1213">
        <v>30.43</v>
      </c>
      <c r="C68" s="1213">
        <v>29.88</v>
      </c>
      <c r="D68" s="1213">
        <v>29.13</v>
      </c>
      <c r="E68" s="1213">
        <v>25.39</v>
      </c>
      <c r="F68" s="1213">
        <v>29.22</v>
      </c>
      <c r="G68" s="1213">
        <v>28.82</v>
      </c>
      <c r="H68" s="1213">
        <v>28.1</v>
      </c>
      <c r="I68" s="1214">
        <v>24.36</v>
      </c>
      <c r="J68" s="127"/>
    </row>
    <row r="69" spans="1:10" s="79" customFormat="1" ht="12.75" customHeight="1">
      <c r="A69" s="566">
        <v>44543</v>
      </c>
      <c r="B69" s="1032">
        <v>30.39</v>
      </c>
      <c r="C69" s="1033">
        <v>29.84</v>
      </c>
      <c r="D69" s="1033">
        <v>29.08</v>
      </c>
      <c r="E69" s="1216">
        <v>25.34</v>
      </c>
      <c r="F69" s="1036">
        <v>29.22</v>
      </c>
      <c r="G69" s="1036">
        <v>28.78</v>
      </c>
      <c r="H69" s="1035">
        <v>28.06</v>
      </c>
      <c r="I69" s="1037">
        <v>24.28</v>
      </c>
      <c r="J69" s="127"/>
    </row>
    <row r="70" spans="1:10" s="79" customFormat="1" ht="12.75" customHeight="1">
      <c r="A70" s="1207">
        <v>44550</v>
      </c>
      <c r="B70" s="1208">
        <v>30.39</v>
      </c>
      <c r="C70" s="1209">
        <v>29.83</v>
      </c>
      <c r="D70" s="1209">
        <v>29.08</v>
      </c>
      <c r="E70" s="1210">
        <v>25.34</v>
      </c>
      <c r="F70" s="1211">
        <v>29.22</v>
      </c>
      <c r="G70" s="1209">
        <v>28.78</v>
      </c>
      <c r="H70" s="1209">
        <v>28.06</v>
      </c>
      <c r="I70" s="1210">
        <v>24.28</v>
      </c>
      <c r="J70" s="127"/>
    </row>
    <row r="71" spans="1:10" s="79" customFormat="1" ht="12.75" customHeight="1">
      <c r="A71" s="10">
        <v>44557</v>
      </c>
      <c r="B71" s="1038">
        <v>30.29</v>
      </c>
      <c r="C71" s="1039">
        <v>29.73</v>
      </c>
      <c r="D71" s="1039">
        <v>28.95</v>
      </c>
      <c r="E71" s="1037">
        <v>25.49</v>
      </c>
      <c r="F71" s="702">
        <v>29.39</v>
      </c>
      <c r="G71" s="1039">
        <v>28.69</v>
      </c>
      <c r="H71" s="1039">
        <v>27.91</v>
      </c>
      <c r="I71" s="1037">
        <v>24.51</v>
      </c>
      <c r="J71" s="127"/>
    </row>
    <row r="72" spans="1:10" s="79" customFormat="1" ht="12.75" customHeight="1" thickBot="1">
      <c r="A72" s="1207" t="s">
        <v>7</v>
      </c>
      <c r="B72" s="1208">
        <f t="shared" ref="B72:I72" si="11">AVERAGE(B68:B71)</f>
        <v>30.375</v>
      </c>
      <c r="C72" s="1209">
        <f t="shared" si="11"/>
        <v>29.82</v>
      </c>
      <c r="D72" s="1209">
        <f t="shared" si="11"/>
        <v>29.06</v>
      </c>
      <c r="E72" s="1210">
        <f t="shared" si="11"/>
        <v>25.39</v>
      </c>
      <c r="F72" s="1211">
        <f t="shared" si="11"/>
        <v>29.262499999999999</v>
      </c>
      <c r="G72" s="1209">
        <f t="shared" si="11"/>
        <v>28.767499999999998</v>
      </c>
      <c r="H72" s="1209">
        <f t="shared" si="11"/>
        <v>28.032499999999999</v>
      </c>
      <c r="I72" s="1210">
        <f t="shared" si="11"/>
        <v>24.357500000000002</v>
      </c>
      <c r="J72" s="127"/>
    </row>
    <row r="73" spans="1:10" ht="13.5" thickBot="1">
      <c r="A73" s="1212" t="s">
        <v>7</v>
      </c>
      <c r="B73" s="1213">
        <f t="shared" ref="B73:I73" si="12">AVERAGE(B69:B72)</f>
        <v>30.361249999999998</v>
      </c>
      <c r="C73" s="1213">
        <f t="shared" si="12"/>
        <v>29.805</v>
      </c>
      <c r="D73" s="1213">
        <f t="shared" si="12"/>
        <v>29.0425</v>
      </c>
      <c r="E73" s="1213">
        <f t="shared" si="12"/>
        <v>25.39</v>
      </c>
      <c r="F73" s="1213">
        <f t="shared" si="12"/>
        <v>29.273125</v>
      </c>
      <c r="G73" s="1213">
        <f t="shared" si="12"/>
        <v>28.754375</v>
      </c>
      <c r="H73" s="1213">
        <f t="shared" si="12"/>
        <v>28.015625</v>
      </c>
      <c r="I73" s="1214">
        <f t="shared" si="12"/>
        <v>24.356875000000002</v>
      </c>
      <c r="J73" s="127"/>
    </row>
    <row r="74" spans="1:10" ht="13.5" thickBot="1">
      <c r="A74" s="651"/>
      <c r="B74" s="651"/>
      <c r="C74" s="651"/>
      <c r="D74" s="651"/>
      <c r="E74" s="651"/>
      <c r="F74" s="651"/>
      <c r="G74" s="651"/>
      <c r="H74" s="651"/>
      <c r="I74" s="651"/>
      <c r="J74" s="127"/>
    </row>
    <row r="75" spans="1:10" ht="15.75" thickBot="1">
      <c r="A75" s="651"/>
      <c r="B75" s="849"/>
      <c r="C75" s="651"/>
      <c r="D75" s="651"/>
      <c r="E75" s="651"/>
      <c r="F75" s="651"/>
      <c r="G75" s="651"/>
      <c r="H75" s="651"/>
      <c r="I75" s="651"/>
      <c r="J75" s="127"/>
    </row>
    <row r="76" spans="1:10">
      <c r="A76" s="127"/>
      <c r="B76" s="127"/>
      <c r="C76" s="127"/>
      <c r="D76" s="127"/>
      <c r="E76" s="127"/>
      <c r="F76" s="127"/>
      <c r="G76" s="127"/>
      <c r="H76" s="127"/>
      <c r="I76" s="127"/>
      <c r="J76" s="127"/>
    </row>
    <row r="77" spans="1:10">
      <c r="A77" s="127"/>
      <c r="B77" s="127"/>
      <c r="C77" s="127"/>
      <c r="D77" s="127"/>
      <c r="E77" s="127"/>
      <c r="F77" s="127"/>
      <c r="G77" s="127"/>
      <c r="H77" s="127"/>
      <c r="I77" s="127"/>
      <c r="J77" s="127"/>
    </row>
    <row r="78" spans="1:10">
      <c r="A78" s="127"/>
      <c r="B78" s="127"/>
      <c r="C78" s="127"/>
      <c r="D78" s="127"/>
      <c r="E78" s="127"/>
      <c r="F78" s="127"/>
      <c r="G78" s="127"/>
      <c r="H78" s="127"/>
      <c r="I78" s="127"/>
      <c r="J78" s="127"/>
    </row>
    <row r="79" spans="1:10">
      <c r="A79" s="127"/>
      <c r="B79" s="127"/>
      <c r="C79" s="127"/>
      <c r="D79" s="127"/>
      <c r="E79" s="127"/>
      <c r="F79" s="127"/>
      <c r="G79" s="127"/>
      <c r="H79" s="127"/>
      <c r="I79" s="127"/>
      <c r="J79" s="127"/>
    </row>
    <row r="80" spans="1:10">
      <c r="A80" s="127"/>
      <c r="B80" s="127"/>
      <c r="C80" s="127"/>
      <c r="D80" s="127"/>
      <c r="E80" s="127"/>
      <c r="F80" s="127"/>
      <c r="G80" s="127"/>
      <c r="H80" s="127"/>
      <c r="I80" s="127"/>
      <c r="J80" s="127"/>
    </row>
    <row r="81" spans="1:10">
      <c r="A81" s="127"/>
      <c r="B81" s="127"/>
      <c r="C81" s="127"/>
      <c r="D81" s="127"/>
      <c r="E81" s="127"/>
      <c r="F81" s="127"/>
      <c r="G81" s="127"/>
      <c r="H81" s="127"/>
      <c r="I81" s="127"/>
      <c r="J81" s="127"/>
    </row>
    <row r="82" spans="1:10">
      <c r="A82" s="127"/>
      <c r="B82" s="127"/>
      <c r="C82" s="127"/>
      <c r="D82" s="127"/>
      <c r="E82" s="127"/>
      <c r="F82" s="127"/>
      <c r="G82" s="127"/>
      <c r="H82" s="127"/>
      <c r="I82" s="127"/>
      <c r="J82" s="127"/>
    </row>
    <row r="83" spans="1:10">
      <c r="A83" s="127"/>
      <c r="B83" s="127"/>
      <c r="C83" s="127"/>
      <c r="D83" s="127"/>
      <c r="E83" s="127"/>
      <c r="F83" s="127"/>
      <c r="G83" s="127"/>
      <c r="H83" s="127"/>
      <c r="I83" s="127"/>
      <c r="J83" s="127"/>
    </row>
    <row r="84" spans="1:10">
      <c r="A84" s="127"/>
      <c r="B84" s="127"/>
      <c r="C84" s="127"/>
      <c r="D84" s="127"/>
      <c r="E84" s="127"/>
      <c r="F84" s="127"/>
      <c r="G84" s="127"/>
      <c r="H84" s="127"/>
      <c r="I84" s="127"/>
      <c r="J84" s="127"/>
    </row>
    <row r="85" spans="1:10">
      <c r="A85" s="127"/>
      <c r="B85" s="127"/>
      <c r="C85" s="127"/>
      <c r="D85" s="127"/>
      <c r="E85" s="127"/>
      <c r="F85" s="127"/>
      <c r="G85" s="127"/>
      <c r="H85" s="127"/>
      <c r="I85" s="127"/>
      <c r="J85" s="127"/>
    </row>
    <row r="86" spans="1:10">
      <c r="A86" s="127"/>
      <c r="B86" s="127"/>
      <c r="C86" s="127"/>
      <c r="D86" s="127"/>
      <c r="E86" s="127"/>
      <c r="F86" s="127"/>
      <c r="G86" s="127"/>
      <c r="H86" s="127"/>
      <c r="I86" s="127"/>
      <c r="J86" s="127"/>
    </row>
    <row r="87" spans="1:10">
      <c r="A87" s="127"/>
      <c r="B87" s="127"/>
      <c r="C87" s="127"/>
      <c r="D87" s="127"/>
      <c r="E87" s="127"/>
      <c r="F87" s="127"/>
      <c r="G87" s="127"/>
      <c r="H87" s="127"/>
      <c r="I87" s="127"/>
      <c r="J87" s="127"/>
    </row>
    <row r="88" spans="1:10">
      <c r="A88" s="127"/>
      <c r="B88" s="127"/>
      <c r="C88" s="127"/>
      <c r="D88" s="127"/>
      <c r="E88" s="127"/>
      <c r="F88" s="127"/>
      <c r="G88" s="127"/>
      <c r="H88" s="127"/>
      <c r="I88" s="127"/>
      <c r="J88" s="127"/>
    </row>
    <row r="89" spans="1:10">
      <c r="A89" s="127"/>
      <c r="B89" s="127"/>
      <c r="C89" s="127"/>
      <c r="D89" s="127"/>
      <c r="E89" s="127"/>
      <c r="F89" s="127"/>
      <c r="G89" s="127"/>
      <c r="H89" s="127"/>
      <c r="I89" s="127"/>
      <c r="J89" s="127"/>
    </row>
    <row r="90" spans="1:10">
      <c r="A90" s="127"/>
      <c r="B90" s="127"/>
      <c r="C90" s="127"/>
      <c r="D90" s="127"/>
      <c r="E90" s="127"/>
      <c r="F90" s="127"/>
      <c r="G90" s="127"/>
      <c r="H90" s="127"/>
      <c r="I90" s="127"/>
      <c r="J90" s="127"/>
    </row>
    <row r="91" spans="1:10">
      <c r="A91" s="127"/>
      <c r="B91" s="127"/>
      <c r="C91" s="127"/>
      <c r="D91" s="127"/>
      <c r="E91" s="127"/>
      <c r="F91" s="127"/>
      <c r="G91" s="127"/>
      <c r="H91" s="127"/>
      <c r="I91" s="127"/>
      <c r="J91" s="127"/>
    </row>
    <row r="92" spans="1:10">
      <c r="A92" s="127"/>
      <c r="B92" s="127"/>
      <c r="C92" s="127"/>
      <c r="D92" s="127"/>
      <c r="E92" s="127"/>
      <c r="F92" s="127"/>
      <c r="G92" s="127"/>
      <c r="H92" s="127"/>
      <c r="I92" s="127"/>
      <c r="J92" s="127"/>
    </row>
    <row r="93" spans="1:10">
      <c r="A93" s="127"/>
      <c r="B93" s="127"/>
      <c r="C93" s="127"/>
      <c r="D93" s="127"/>
      <c r="E93" s="127"/>
      <c r="F93" s="127"/>
      <c r="G93" s="127"/>
      <c r="H93" s="127"/>
      <c r="I93" s="127"/>
      <c r="J93" s="127"/>
    </row>
    <row r="94" spans="1:10">
      <c r="A94" s="127"/>
      <c r="B94" s="127"/>
      <c r="C94" s="127"/>
      <c r="D94" s="127"/>
      <c r="E94" s="127"/>
      <c r="F94" s="127"/>
      <c r="G94" s="127"/>
      <c r="H94" s="127"/>
      <c r="I94" s="127"/>
      <c r="J94" s="127"/>
    </row>
    <row r="95" spans="1:10">
      <c r="A95" s="127"/>
      <c r="B95" s="127"/>
      <c r="C95" s="127"/>
      <c r="D95" s="127"/>
      <c r="E95" s="127"/>
      <c r="F95" s="127"/>
      <c r="G95" s="127"/>
      <c r="H95" s="127"/>
      <c r="I95" s="127"/>
      <c r="J95" s="127"/>
    </row>
    <row r="96" spans="1:10">
      <c r="A96" s="127"/>
      <c r="B96" s="127"/>
      <c r="C96" s="127"/>
      <c r="D96" s="127"/>
      <c r="E96" s="127"/>
      <c r="F96" s="127"/>
      <c r="G96" s="127"/>
      <c r="H96" s="127"/>
      <c r="I96" s="127"/>
      <c r="J96" s="127"/>
    </row>
    <row r="97" spans="1:10">
      <c r="A97" s="127"/>
      <c r="B97" s="127"/>
      <c r="C97" s="127"/>
      <c r="D97" s="127"/>
      <c r="E97" s="127"/>
      <c r="F97" s="127"/>
      <c r="G97" s="127"/>
      <c r="H97" s="127"/>
      <c r="I97" s="127"/>
      <c r="J97" s="127"/>
    </row>
    <row r="98" spans="1:10">
      <c r="A98" s="127"/>
      <c r="B98" s="127"/>
      <c r="C98" s="127"/>
      <c r="D98" s="127"/>
      <c r="E98" s="127"/>
      <c r="F98" s="127"/>
      <c r="G98" s="127"/>
      <c r="H98" s="127"/>
      <c r="I98" s="127"/>
      <c r="J98" s="127"/>
    </row>
    <row r="99" spans="1:10">
      <c r="A99" s="127"/>
      <c r="B99" s="127"/>
      <c r="C99" s="127"/>
      <c r="D99" s="127"/>
      <c r="E99" s="127"/>
      <c r="F99" s="127"/>
      <c r="G99" s="127"/>
      <c r="H99" s="127"/>
      <c r="I99" s="127"/>
      <c r="J99" s="127"/>
    </row>
    <row r="100" spans="1:10">
      <c r="A100" s="127"/>
      <c r="B100" s="127"/>
      <c r="C100" s="127"/>
      <c r="D100" s="127"/>
      <c r="E100" s="127"/>
      <c r="F100" s="127"/>
      <c r="G100" s="127"/>
      <c r="H100" s="127"/>
      <c r="I100" s="127"/>
      <c r="J100" s="127"/>
    </row>
    <row r="101" spans="1:10">
      <c r="A101" s="127"/>
      <c r="B101" s="127"/>
      <c r="C101" s="127"/>
      <c r="D101" s="127"/>
      <c r="E101" s="127"/>
      <c r="F101" s="127"/>
      <c r="G101" s="127"/>
      <c r="H101" s="127"/>
      <c r="I101" s="127"/>
      <c r="J101" s="127"/>
    </row>
    <row r="102" spans="1:10">
      <c r="A102" s="127"/>
      <c r="B102" s="127"/>
      <c r="C102" s="127"/>
      <c r="D102" s="127"/>
      <c r="E102" s="127"/>
      <c r="F102" s="127"/>
      <c r="G102" s="127"/>
      <c r="H102" s="127"/>
      <c r="I102" s="127"/>
      <c r="J102" s="127"/>
    </row>
    <row r="103" spans="1:10">
      <c r="A103" s="127"/>
      <c r="B103" s="127"/>
      <c r="C103" s="127"/>
      <c r="D103" s="127"/>
      <c r="E103" s="127"/>
      <c r="F103" s="127"/>
      <c r="G103" s="127"/>
      <c r="H103" s="127"/>
      <c r="I103" s="127"/>
      <c r="J103" s="127"/>
    </row>
    <row r="104" spans="1:10">
      <c r="A104" s="127"/>
      <c r="B104" s="127"/>
      <c r="C104" s="127"/>
      <c r="D104" s="127"/>
      <c r="E104" s="127"/>
      <c r="F104" s="127"/>
      <c r="G104" s="127"/>
      <c r="H104" s="127"/>
      <c r="I104" s="127"/>
      <c r="J104" s="127"/>
    </row>
    <row r="105" spans="1:10">
      <c r="A105" s="127"/>
      <c r="B105" s="127"/>
      <c r="C105" s="127"/>
      <c r="D105" s="127"/>
      <c r="E105" s="127"/>
      <c r="F105" s="127"/>
      <c r="G105" s="127"/>
      <c r="H105" s="127"/>
      <c r="I105" s="127"/>
      <c r="J105" s="127"/>
    </row>
    <row r="106" spans="1:10">
      <c r="A106" s="127"/>
      <c r="B106" s="127"/>
      <c r="C106" s="127"/>
      <c r="D106" s="127"/>
      <c r="E106" s="127"/>
      <c r="F106" s="127"/>
      <c r="G106" s="127"/>
      <c r="H106" s="127"/>
      <c r="I106" s="127"/>
      <c r="J106" s="127"/>
    </row>
    <row r="107" spans="1:10">
      <c r="A107" s="127"/>
      <c r="B107" s="127"/>
      <c r="C107" s="127"/>
      <c r="D107" s="127"/>
      <c r="E107" s="127"/>
      <c r="F107" s="127"/>
      <c r="G107" s="127"/>
      <c r="H107" s="127"/>
      <c r="I107" s="127"/>
      <c r="J107" s="127"/>
    </row>
    <row r="108" spans="1:10">
      <c r="A108" s="127"/>
      <c r="B108" s="127"/>
      <c r="C108" s="127"/>
      <c r="D108" s="127"/>
      <c r="E108" s="127"/>
      <c r="F108" s="127"/>
      <c r="G108" s="127"/>
      <c r="H108" s="127"/>
      <c r="I108" s="127"/>
      <c r="J108" s="127"/>
    </row>
    <row r="109" spans="1:10">
      <c r="A109" s="127"/>
      <c r="B109" s="127"/>
      <c r="C109" s="127"/>
      <c r="D109" s="127"/>
      <c r="E109" s="127"/>
      <c r="F109" s="127"/>
      <c r="G109" s="127"/>
      <c r="H109" s="127"/>
      <c r="I109" s="127"/>
      <c r="J109" s="127"/>
    </row>
    <row r="110" spans="1:10">
      <c r="A110" s="127"/>
      <c r="B110" s="127"/>
      <c r="C110" s="127"/>
      <c r="D110" s="127"/>
      <c r="E110" s="127"/>
      <c r="F110" s="127"/>
      <c r="G110" s="127"/>
      <c r="H110" s="127"/>
      <c r="I110" s="127"/>
      <c r="J110" s="127"/>
    </row>
  </sheetData>
  <mergeCells count="8">
    <mergeCell ref="B7:E7"/>
    <mergeCell ref="F7:I7"/>
    <mergeCell ref="A1:I1"/>
    <mergeCell ref="A2:I2"/>
    <mergeCell ref="A3:I3"/>
    <mergeCell ref="A4:I4"/>
    <mergeCell ref="A5:I5"/>
    <mergeCell ref="A6:I6"/>
  </mergeCells>
  <pageMargins left="1.4566929133858268" right="0.43307086614173229" top="0.98425196850393704" bottom="0.98425196850393704" header="0" footer="0"/>
  <pageSetup scale="65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1F08B-D96B-44F5-B264-FFCA70A99EE5}">
  <dimension ref="A1:O109"/>
  <sheetViews>
    <sheetView view="pageBreakPreview" zoomScaleNormal="75" zoomScaleSheetLayoutView="100" workbookViewId="0">
      <selection activeCell="D21" sqref="D21"/>
    </sheetView>
  </sheetViews>
  <sheetFormatPr baseColWidth="10" defaultColWidth="11.42578125" defaultRowHeight="12.75"/>
  <cols>
    <col min="1" max="1" width="16.28515625" customWidth="1"/>
    <col min="2" max="2" width="11.7109375" customWidth="1"/>
    <col min="4" max="4" width="11.28515625" customWidth="1"/>
    <col min="6" max="6" width="12.140625" customWidth="1"/>
    <col min="10" max="10" width="4" customWidth="1"/>
    <col min="12" max="13" width="12.5703125" bestFit="1" customWidth="1"/>
  </cols>
  <sheetData>
    <row r="1" spans="1:11" ht="20.25">
      <c r="A1" s="1575" t="s">
        <v>54</v>
      </c>
      <c r="B1" s="1576"/>
      <c r="C1" s="1576" t="s">
        <v>495</v>
      </c>
      <c r="D1" s="1576"/>
      <c r="E1" s="1576"/>
      <c r="F1" s="1576"/>
      <c r="G1" s="1576"/>
      <c r="H1" s="1576"/>
      <c r="I1" s="1577"/>
      <c r="J1" s="63"/>
    </row>
    <row r="2" spans="1:11" ht="20.25" customHeight="1">
      <c r="A2" s="1581" t="s">
        <v>569</v>
      </c>
      <c r="B2" s="1586"/>
      <c r="C2" s="1586"/>
      <c r="D2" s="1586"/>
      <c r="E2" s="1586"/>
      <c r="F2" s="1586"/>
      <c r="G2" s="1586"/>
      <c r="H2" s="1586"/>
      <c r="I2" s="1583"/>
      <c r="J2" s="63"/>
    </row>
    <row r="3" spans="1:11">
      <c r="A3" s="1549"/>
      <c r="B3" s="1587"/>
      <c r="C3" s="1587"/>
      <c r="D3" s="1587"/>
      <c r="E3" s="1587"/>
      <c r="F3" s="1587"/>
      <c r="G3" s="1587"/>
      <c r="H3" s="1587"/>
      <c r="I3" s="1551"/>
      <c r="J3" s="63"/>
    </row>
    <row r="4" spans="1:11">
      <c r="A4" s="1549" t="s">
        <v>22</v>
      </c>
      <c r="B4" s="1587"/>
      <c r="C4" s="1587"/>
      <c r="D4" s="1587"/>
      <c r="E4" s="1587"/>
      <c r="F4" s="1587"/>
      <c r="G4" s="1587"/>
      <c r="H4" s="1587"/>
      <c r="I4" s="1551"/>
      <c r="J4" s="63"/>
    </row>
    <row r="5" spans="1:11">
      <c r="A5" s="1549" t="s">
        <v>23</v>
      </c>
      <c r="B5" s="1587"/>
      <c r="C5" s="1587"/>
      <c r="D5" s="1587"/>
      <c r="E5" s="1587"/>
      <c r="F5" s="1587"/>
      <c r="G5" s="1587"/>
      <c r="H5" s="1587"/>
      <c r="I5" s="1551"/>
      <c r="J5" s="63"/>
    </row>
    <row r="6" spans="1:11" ht="18.75" customHeight="1" thickBot="1">
      <c r="A6" s="1578" t="s">
        <v>0</v>
      </c>
      <c r="B6" s="1588"/>
      <c r="C6" s="1588"/>
      <c r="D6" s="1588"/>
      <c r="E6" s="1588"/>
      <c r="F6" s="1588"/>
      <c r="G6" s="1588"/>
      <c r="H6" s="1588"/>
      <c r="I6" s="1580"/>
      <c r="J6" s="63"/>
    </row>
    <row r="7" spans="1:11" ht="24.75" customHeight="1" thickBot="1">
      <c r="A7" s="1199" t="s">
        <v>1</v>
      </c>
      <c r="B7" s="1561" t="s">
        <v>2</v>
      </c>
      <c r="C7" s="1562"/>
      <c r="D7" s="1562"/>
      <c r="E7" s="1563"/>
      <c r="F7" s="1564" t="s">
        <v>3</v>
      </c>
      <c r="G7" s="1565"/>
      <c r="H7" s="1565"/>
      <c r="I7" s="1566"/>
      <c r="J7" s="63"/>
    </row>
    <row r="8" spans="1:11" ht="21" customHeight="1" thickBot="1">
      <c r="A8" s="1200" t="s">
        <v>21</v>
      </c>
      <c r="B8" s="1201" t="s">
        <v>533</v>
      </c>
      <c r="C8" s="1201" t="s">
        <v>4</v>
      </c>
      <c r="D8" s="1202" t="s">
        <v>5</v>
      </c>
      <c r="E8" s="1203" t="s">
        <v>6</v>
      </c>
      <c r="F8" s="1204" t="s">
        <v>533</v>
      </c>
      <c r="G8" s="1204" t="s">
        <v>4</v>
      </c>
      <c r="H8" s="1205" t="s">
        <v>5</v>
      </c>
      <c r="I8" s="1206" t="s">
        <v>6</v>
      </c>
      <c r="J8" s="63"/>
    </row>
    <row r="9" spans="1:11">
      <c r="A9" s="1110">
        <v>44564</v>
      </c>
      <c r="B9" s="1360">
        <v>30.29</v>
      </c>
      <c r="C9" s="1361">
        <v>29.8</v>
      </c>
      <c r="D9" s="1361">
        <v>29</v>
      </c>
      <c r="E9" s="1109">
        <v>25.58</v>
      </c>
      <c r="F9" s="1111">
        <v>29.39</v>
      </c>
      <c r="G9" s="1112">
        <v>28.79</v>
      </c>
      <c r="H9" s="1112">
        <v>27.99</v>
      </c>
      <c r="I9" s="1113">
        <v>24.6</v>
      </c>
      <c r="J9" s="63"/>
    </row>
    <row r="10" spans="1:11">
      <c r="A10" s="1215">
        <v>44571</v>
      </c>
      <c r="B10" s="1365">
        <v>31.28</v>
      </c>
      <c r="C10" s="1362">
        <v>30.72</v>
      </c>
      <c r="D10" s="1362">
        <v>29.91</v>
      </c>
      <c r="E10" s="1210">
        <v>26.55</v>
      </c>
      <c r="F10" s="1208">
        <v>30.31</v>
      </c>
      <c r="G10" s="1362">
        <v>29.65</v>
      </c>
      <c r="H10" s="1362">
        <v>28.85</v>
      </c>
      <c r="I10" s="1210">
        <v>25.46</v>
      </c>
      <c r="J10" s="63"/>
    </row>
    <row r="11" spans="1:11">
      <c r="A11" s="1110">
        <v>44578</v>
      </c>
      <c r="B11" s="1360">
        <v>32.22</v>
      </c>
      <c r="C11" s="1361">
        <v>31.52</v>
      </c>
      <c r="D11" s="1361">
        <v>30.7</v>
      </c>
      <c r="E11" s="1109">
        <v>27.51</v>
      </c>
      <c r="F11" s="1114">
        <v>31.09</v>
      </c>
      <c r="G11" s="1361">
        <v>30.49</v>
      </c>
      <c r="H11" s="1361">
        <v>29.69</v>
      </c>
      <c r="I11" s="1109">
        <v>26.49</v>
      </c>
      <c r="J11" s="63"/>
    </row>
    <row r="12" spans="1:11">
      <c r="A12" s="1215">
        <v>44585</v>
      </c>
      <c r="B12" s="1365">
        <v>33.229999999999997</v>
      </c>
      <c r="C12" s="1362">
        <v>32.51</v>
      </c>
      <c r="D12" s="1362">
        <v>31.69</v>
      </c>
      <c r="E12" s="1210">
        <v>28.47</v>
      </c>
      <c r="F12" s="1208">
        <v>32.07</v>
      </c>
      <c r="G12" s="1362">
        <v>31.49</v>
      </c>
      <c r="H12" s="1362">
        <v>30.69</v>
      </c>
      <c r="I12" s="1210">
        <v>27.49</v>
      </c>
      <c r="J12" s="63"/>
    </row>
    <row r="13" spans="1:11" ht="13.5" thickBot="1">
      <c r="A13" s="1110">
        <v>44592</v>
      </c>
      <c r="B13" s="1360">
        <v>33.22</v>
      </c>
      <c r="C13" s="1361">
        <v>32.520000000000003</v>
      </c>
      <c r="D13" s="1361">
        <v>31.7</v>
      </c>
      <c r="E13" s="1109">
        <v>28.96</v>
      </c>
      <c r="F13" s="1360">
        <v>32.1</v>
      </c>
      <c r="G13" s="1361">
        <v>31.5</v>
      </c>
      <c r="H13" s="1361">
        <v>30.69</v>
      </c>
      <c r="I13" s="1109">
        <v>27.98</v>
      </c>
      <c r="J13" s="63"/>
    </row>
    <row r="14" spans="1:11" ht="13.5" thickBot="1">
      <c r="A14" s="1212" t="s">
        <v>7</v>
      </c>
      <c r="B14" s="1213">
        <f>AVERAGE(B9:B13)</f>
        <v>32.047999999999995</v>
      </c>
      <c r="C14" s="1213">
        <f t="shared" ref="C14:I14" si="0">AVERAGE(C9:C13)</f>
        <v>31.413999999999998</v>
      </c>
      <c r="D14" s="1213">
        <f t="shared" si="0"/>
        <v>30.6</v>
      </c>
      <c r="E14" s="1213">
        <f t="shared" si="0"/>
        <v>27.413999999999998</v>
      </c>
      <c r="F14" s="1213">
        <f t="shared" si="0"/>
        <v>30.992000000000001</v>
      </c>
      <c r="G14" s="1213">
        <f t="shared" si="0"/>
        <v>30.383999999999997</v>
      </c>
      <c r="H14" s="1213">
        <f t="shared" si="0"/>
        <v>29.582000000000001</v>
      </c>
      <c r="I14" s="1214">
        <f t="shared" si="0"/>
        <v>26.403999999999996</v>
      </c>
      <c r="J14" s="63"/>
      <c r="K14" s="767" t="s">
        <v>148</v>
      </c>
    </row>
    <row r="15" spans="1:11">
      <c r="A15" s="566">
        <v>44599</v>
      </c>
      <c r="B15" s="1032">
        <v>33.880000000000003</v>
      </c>
      <c r="C15" s="1033">
        <v>33.130000000000003</v>
      </c>
      <c r="D15" s="1033">
        <v>32.33</v>
      </c>
      <c r="E15" s="1034">
        <v>29.52</v>
      </c>
      <c r="F15" s="1420">
        <v>32.78</v>
      </c>
      <c r="G15" s="1420">
        <v>32.19</v>
      </c>
      <c r="H15" s="1421">
        <v>31.39</v>
      </c>
      <c r="I15" s="1037">
        <v>28.58</v>
      </c>
      <c r="J15" s="63"/>
    </row>
    <row r="16" spans="1:11">
      <c r="A16" s="1215">
        <v>44606</v>
      </c>
      <c r="B16" s="1208">
        <v>33.69</v>
      </c>
      <c r="C16" s="1362">
        <v>32.909999999999997</v>
      </c>
      <c r="D16" s="1362">
        <v>32.090000000000003</v>
      </c>
      <c r="E16" s="1210">
        <v>29.33</v>
      </c>
      <c r="F16" s="1365">
        <v>32.89</v>
      </c>
      <c r="G16" s="1362">
        <v>32.22</v>
      </c>
      <c r="H16" s="1362">
        <v>31.42</v>
      </c>
      <c r="I16" s="1210">
        <v>28.61</v>
      </c>
      <c r="J16" s="63"/>
    </row>
    <row r="17" spans="1:15">
      <c r="A17" s="1110">
        <v>44613</v>
      </c>
      <c r="B17" s="1038">
        <v>35.130000000000003</v>
      </c>
      <c r="C17" s="1364">
        <v>34.47</v>
      </c>
      <c r="D17" s="1364">
        <v>33.659999999999997</v>
      </c>
      <c r="E17" s="1037">
        <v>30.86</v>
      </c>
      <c r="F17" s="1363">
        <v>33.99</v>
      </c>
      <c r="G17" s="1364">
        <v>33.5</v>
      </c>
      <c r="H17" s="1364">
        <v>32.700000000000003</v>
      </c>
      <c r="I17" s="1037">
        <v>29.88</v>
      </c>
      <c r="J17" s="63"/>
    </row>
    <row r="18" spans="1:15" ht="13.5" thickBot="1">
      <c r="A18" s="1215">
        <v>44620</v>
      </c>
      <c r="B18" s="1208">
        <v>35.51</v>
      </c>
      <c r="C18" s="1362">
        <v>34.86</v>
      </c>
      <c r="D18" s="1362">
        <v>34.229999999999997</v>
      </c>
      <c r="E18" s="1210">
        <v>31.07</v>
      </c>
      <c r="F18" s="1365">
        <v>34.43</v>
      </c>
      <c r="G18" s="1362">
        <v>33.880000000000003</v>
      </c>
      <c r="H18" s="1362">
        <v>33.29</v>
      </c>
      <c r="I18" s="1210">
        <v>30.09</v>
      </c>
      <c r="J18" s="63"/>
    </row>
    <row r="19" spans="1:15" ht="13.5" thickBot="1">
      <c r="A19" s="1250" t="s">
        <v>7</v>
      </c>
      <c r="B19" s="1251">
        <f>AVERAGE(B15:B18)</f>
        <v>34.552499999999995</v>
      </c>
      <c r="C19" s="1251">
        <f t="shared" ref="C19:I19" si="1">AVERAGE(C15:C18)</f>
        <v>33.842500000000001</v>
      </c>
      <c r="D19" s="1251">
        <f t="shared" si="1"/>
        <v>33.077500000000001</v>
      </c>
      <c r="E19" s="1251">
        <f t="shared" si="1"/>
        <v>30.195</v>
      </c>
      <c r="F19" s="1251">
        <f t="shared" si="1"/>
        <v>33.522500000000001</v>
      </c>
      <c r="G19" s="1251">
        <f t="shared" si="1"/>
        <v>32.947499999999998</v>
      </c>
      <c r="H19" s="1251">
        <f t="shared" si="1"/>
        <v>32.200000000000003</v>
      </c>
      <c r="I19" s="1252">
        <f t="shared" si="1"/>
        <v>29.29</v>
      </c>
      <c r="J19" s="63"/>
    </row>
    <row r="20" spans="1:15">
      <c r="A20" s="1255">
        <v>44627</v>
      </c>
      <c r="B20" s="1032">
        <v>39.380000000000003</v>
      </c>
      <c r="C20" s="1033">
        <v>38.85</v>
      </c>
      <c r="D20" s="1033">
        <v>38.24</v>
      </c>
      <c r="E20" s="1034">
        <v>36.93</v>
      </c>
      <c r="F20" s="1256">
        <v>38.47</v>
      </c>
      <c r="G20" s="1256">
        <v>37.979999999999997</v>
      </c>
      <c r="H20" s="1033">
        <v>37.39</v>
      </c>
      <c r="I20" s="1257">
        <v>36.090000000000003</v>
      </c>
      <c r="J20" s="63"/>
    </row>
    <row r="21" spans="1:15">
      <c r="A21" s="1418">
        <v>44630</v>
      </c>
      <c r="B21" s="1208">
        <v>39.46</v>
      </c>
      <c r="C21" s="1362">
        <v>38.9</v>
      </c>
      <c r="D21" s="1362">
        <v>38.29</v>
      </c>
      <c r="E21" s="1210">
        <v>36.590000000000003</v>
      </c>
      <c r="F21" s="1365">
        <v>38.49</v>
      </c>
      <c r="G21" s="1362">
        <v>38</v>
      </c>
      <c r="H21" s="1362">
        <v>37.39</v>
      </c>
      <c r="I21" s="1210">
        <v>35.700000000000003</v>
      </c>
      <c r="J21" s="63"/>
    </row>
    <row r="22" spans="1:15">
      <c r="A22" s="764">
        <v>44643</v>
      </c>
      <c r="B22" s="1263">
        <v>39.43</v>
      </c>
      <c r="C22" s="1421">
        <v>38.92</v>
      </c>
      <c r="D22" s="1421">
        <v>38.31</v>
      </c>
      <c r="E22" s="1264">
        <v>36.409999999999997</v>
      </c>
      <c r="F22" s="1420">
        <v>38.49</v>
      </c>
      <c r="G22" s="1420">
        <v>38.090000000000003</v>
      </c>
      <c r="H22" s="1421">
        <v>37.47</v>
      </c>
      <c r="I22" s="1037">
        <v>35.659999999999997</v>
      </c>
      <c r="J22" s="63"/>
    </row>
    <row r="23" spans="1:15" ht="13.5" thickBot="1">
      <c r="A23" s="1422">
        <v>44650</v>
      </c>
      <c r="B23" s="1265">
        <v>41.03</v>
      </c>
      <c r="C23" s="1261">
        <v>39.799999999999997</v>
      </c>
      <c r="D23" s="1261">
        <v>39.200000000000003</v>
      </c>
      <c r="E23" s="1262">
        <v>38.28</v>
      </c>
      <c r="F23" s="1260">
        <v>39.380000000000003</v>
      </c>
      <c r="G23" s="1261">
        <v>38.909999999999997</v>
      </c>
      <c r="H23" s="1261">
        <v>38.31</v>
      </c>
      <c r="I23" s="1262">
        <v>37.39</v>
      </c>
      <c r="J23" s="63"/>
    </row>
    <row r="24" spans="1:15" ht="13.5" thickBot="1">
      <c r="A24" s="1253" t="s">
        <v>7</v>
      </c>
      <c r="B24" s="1223">
        <f t="shared" ref="B24:I24" si="2">AVERAGE(B20:B23)</f>
        <v>39.825000000000003</v>
      </c>
      <c r="C24" s="1223">
        <f t="shared" si="2"/>
        <v>39.1175</v>
      </c>
      <c r="D24" s="1223">
        <f t="shared" si="2"/>
        <v>38.510000000000005</v>
      </c>
      <c r="E24" s="1223">
        <f t="shared" si="2"/>
        <v>37.052500000000002</v>
      </c>
      <c r="F24" s="1223">
        <f t="shared" si="2"/>
        <v>38.707500000000003</v>
      </c>
      <c r="G24" s="1223">
        <f t="shared" si="2"/>
        <v>38.244999999999997</v>
      </c>
      <c r="H24" s="1223">
        <f t="shared" si="2"/>
        <v>37.64</v>
      </c>
      <c r="I24" s="1254">
        <f t="shared" si="2"/>
        <v>36.21</v>
      </c>
      <c r="J24" s="63"/>
    </row>
    <row r="25" spans="1:15">
      <c r="A25" s="1255">
        <v>44657</v>
      </c>
      <c r="B25" s="1032">
        <v>39.4</v>
      </c>
      <c r="C25" s="1033">
        <v>38.97</v>
      </c>
      <c r="D25" s="1033">
        <v>36.06</v>
      </c>
      <c r="E25" s="1034">
        <v>33.270000000000003</v>
      </c>
      <c r="F25" s="1256">
        <v>38.28</v>
      </c>
      <c r="G25" s="1256">
        <v>37.979999999999997</v>
      </c>
      <c r="H25" s="1033">
        <v>35.090000000000003</v>
      </c>
      <c r="I25" s="1257">
        <v>32.25</v>
      </c>
      <c r="J25" s="63"/>
    </row>
    <row r="26" spans="1:15">
      <c r="A26" s="1418">
        <v>44663</v>
      </c>
      <c r="B26" s="1208">
        <v>38.880000000000003</v>
      </c>
      <c r="C26" s="1362">
        <v>38.4</v>
      </c>
      <c r="D26" s="1362">
        <v>35.28</v>
      </c>
      <c r="E26" s="1210">
        <v>33.020000000000003</v>
      </c>
      <c r="F26" s="1365">
        <v>37.79</v>
      </c>
      <c r="G26" s="1362">
        <v>37.369999999999997</v>
      </c>
      <c r="H26" s="1362">
        <v>34.229999999999997</v>
      </c>
      <c r="I26" s="1210">
        <v>32.08</v>
      </c>
      <c r="J26" s="63"/>
    </row>
    <row r="27" spans="1:15">
      <c r="A27" s="764">
        <v>44670</v>
      </c>
      <c r="B27" s="1263">
        <v>39.28</v>
      </c>
      <c r="C27" s="1421">
        <v>38.61</v>
      </c>
      <c r="D27" s="1421">
        <v>35.56</v>
      </c>
      <c r="E27" s="1264">
        <v>33.51</v>
      </c>
      <c r="F27" s="1420">
        <v>38.25</v>
      </c>
      <c r="G27" s="1420">
        <v>37.659999999999997</v>
      </c>
      <c r="H27" s="1421">
        <v>34.65</v>
      </c>
      <c r="I27" s="1037">
        <v>32.65</v>
      </c>
      <c r="J27" s="63"/>
    </row>
    <row r="28" spans="1:15" ht="13.5" thickBot="1">
      <c r="A28" s="1422">
        <v>44677</v>
      </c>
      <c r="B28" s="1265">
        <v>39.93</v>
      </c>
      <c r="C28" s="1261">
        <v>39.33</v>
      </c>
      <c r="D28" s="1261">
        <v>36.29</v>
      </c>
      <c r="E28" s="1262">
        <v>35.81</v>
      </c>
      <c r="F28" s="1260">
        <v>38.97</v>
      </c>
      <c r="G28" s="1261">
        <v>38.42</v>
      </c>
      <c r="H28" s="1261">
        <v>35.380000000000003</v>
      </c>
      <c r="I28" s="1262">
        <v>34.81</v>
      </c>
      <c r="J28" s="63"/>
    </row>
    <row r="29" spans="1:15" ht="13.5" thickBot="1">
      <c r="A29" s="1253" t="s">
        <v>7</v>
      </c>
      <c r="B29" s="1223">
        <f t="shared" ref="B29:I29" si="3">AVERAGE(B25:B28)</f>
        <v>39.372500000000002</v>
      </c>
      <c r="C29" s="1223">
        <f t="shared" si="3"/>
        <v>38.827500000000001</v>
      </c>
      <c r="D29" s="1223">
        <f t="shared" si="3"/>
        <v>35.797499999999999</v>
      </c>
      <c r="E29" s="1223">
        <f t="shared" si="3"/>
        <v>33.902500000000003</v>
      </c>
      <c r="F29" s="1223">
        <f t="shared" si="3"/>
        <v>38.322499999999998</v>
      </c>
      <c r="G29" s="1223">
        <f t="shared" si="3"/>
        <v>37.857500000000002</v>
      </c>
      <c r="H29" s="1223">
        <f t="shared" si="3"/>
        <v>34.837499999999999</v>
      </c>
      <c r="I29" s="1254">
        <f t="shared" si="3"/>
        <v>32.947499999999998</v>
      </c>
      <c r="J29" s="63"/>
    </row>
    <row r="30" spans="1:15">
      <c r="A30" s="1110">
        <v>44684</v>
      </c>
      <c r="B30" s="1360">
        <v>40.770000000000003</v>
      </c>
      <c r="C30" s="1361">
        <v>40.19</v>
      </c>
      <c r="D30" s="1361">
        <v>37.07</v>
      </c>
      <c r="E30" s="1109">
        <v>38.43</v>
      </c>
      <c r="F30" s="1111">
        <v>39.78</v>
      </c>
      <c r="G30" s="1112">
        <v>39.26</v>
      </c>
      <c r="H30" s="1112">
        <v>36.159999999999997</v>
      </c>
      <c r="I30" s="1113">
        <v>37.65</v>
      </c>
      <c r="J30" s="63"/>
    </row>
    <row r="31" spans="1:15">
      <c r="A31" s="1215">
        <v>44319</v>
      </c>
      <c r="B31" s="1365">
        <v>28.95</v>
      </c>
      <c r="C31" s="1362">
        <v>28.37</v>
      </c>
      <c r="D31" s="1362">
        <v>27.56</v>
      </c>
      <c r="E31" s="1210">
        <v>22.18</v>
      </c>
      <c r="F31" s="1208">
        <v>27.78</v>
      </c>
      <c r="G31" s="1362">
        <v>27.33</v>
      </c>
      <c r="H31" s="1362">
        <v>26.49</v>
      </c>
      <c r="I31" s="1210">
        <v>21.12</v>
      </c>
      <c r="J31" s="63"/>
    </row>
    <row r="32" spans="1:15">
      <c r="A32" s="1110">
        <v>44326</v>
      </c>
      <c r="B32" s="1360">
        <v>29.47</v>
      </c>
      <c r="C32" s="1361">
        <v>28.86</v>
      </c>
      <c r="D32" s="1361">
        <v>28.04</v>
      </c>
      <c r="E32" s="1109">
        <v>22.68</v>
      </c>
      <c r="F32" s="1114">
        <v>28.35</v>
      </c>
      <c r="G32" s="1361">
        <v>27.89</v>
      </c>
      <c r="H32" s="1361">
        <v>27.09</v>
      </c>
      <c r="I32" s="1109">
        <v>21.79</v>
      </c>
      <c r="J32" s="63"/>
      <c r="M32" s="190">
        <v>22.691216216216219</v>
      </c>
      <c r="N32" s="190"/>
      <c r="O32" s="190"/>
    </row>
    <row r="33" spans="1:13">
      <c r="A33" s="1215">
        <v>44333</v>
      </c>
      <c r="B33" s="1365">
        <v>29.46</v>
      </c>
      <c r="C33" s="1362">
        <v>28.85</v>
      </c>
      <c r="D33" s="1362">
        <v>28.02</v>
      </c>
      <c r="E33" s="1210">
        <v>22.68</v>
      </c>
      <c r="F33" s="1208">
        <v>28.38</v>
      </c>
      <c r="G33" s="1362">
        <v>27.9</v>
      </c>
      <c r="H33" s="1362">
        <v>27.09</v>
      </c>
      <c r="I33" s="1210">
        <v>21.79</v>
      </c>
      <c r="J33" s="63"/>
      <c r="L33" s="190"/>
      <c r="M33" s="190">
        <v>21.889324324324331</v>
      </c>
    </row>
    <row r="34" spans="1:13" ht="13.5" thickBot="1">
      <c r="A34" s="1110">
        <v>44340</v>
      </c>
      <c r="B34" s="1360">
        <v>29.43</v>
      </c>
      <c r="C34" s="1361">
        <v>28.84</v>
      </c>
      <c r="D34" s="1361">
        <v>28.03</v>
      </c>
      <c r="E34" s="1109">
        <v>22.68</v>
      </c>
      <c r="F34" s="1360">
        <v>28.38</v>
      </c>
      <c r="G34" s="1361">
        <v>27.88</v>
      </c>
      <c r="H34" s="1361">
        <v>27.08</v>
      </c>
      <c r="I34" s="1109">
        <v>21.78</v>
      </c>
      <c r="J34" s="63"/>
      <c r="L34" s="190"/>
      <c r="M34" s="190">
        <v>17.757391304347827</v>
      </c>
    </row>
    <row r="35" spans="1:13" ht="15" customHeight="1" thickBot="1">
      <c r="A35" s="1357">
        <v>44347</v>
      </c>
      <c r="B35" s="1358">
        <v>29.73</v>
      </c>
      <c r="C35" s="1358">
        <v>29.08</v>
      </c>
      <c r="D35" s="1358">
        <v>28.26</v>
      </c>
      <c r="E35" s="1358">
        <v>23.35</v>
      </c>
      <c r="F35" s="1358">
        <v>28.51</v>
      </c>
      <c r="G35" s="1358">
        <v>28.01</v>
      </c>
      <c r="H35" s="1358">
        <v>27.22</v>
      </c>
      <c r="I35" s="1359">
        <v>22.29</v>
      </c>
      <c r="J35" s="63"/>
      <c r="L35" s="190"/>
      <c r="M35" s="190"/>
    </row>
    <row r="36" spans="1:13" s="564" customFormat="1">
      <c r="A36" s="1110">
        <v>44719</v>
      </c>
      <c r="B36" s="1360">
        <v>41.26</v>
      </c>
      <c r="C36" s="1361">
        <v>40.57</v>
      </c>
      <c r="D36" s="1361">
        <v>39.520000000000003</v>
      </c>
      <c r="E36" s="1109">
        <v>33.619999999999997</v>
      </c>
      <c r="F36" s="1111">
        <v>40.29</v>
      </c>
      <c r="G36" s="1112">
        <v>39.71</v>
      </c>
      <c r="H36" s="1112">
        <v>38.71</v>
      </c>
      <c r="I36" s="1113">
        <v>32.869999999999997</v>
      </c>
      <c r="L36" s="583"/>
      <c r="M36" s="583"/>
    </row>
    <row r="37" spans="1:13" s="564" customFormat="1">
      <c r="A37" s="1215">
        <v>44726</v>
      </c>
      <c r="B37" s="1365">
        <v>43.09</v>
      </c>
      <c r="C37" s="1362">
        <v>42.36</v>
      </c>
      <c r="D37" s="1362">
        <v>41.31</v>
      </c>
      <c r="E37" s="1210">
        <v>36.200000000000003</v>
      </c>
      <c r="F37" s="1208">
        <v>42.15</v>
      </c>
      <c r="G37" s="1362">
        <v>41.51</v>
      </c>
      <c r="H37" s="1362">
        <v>40.5</v>
      </c>
      <c r="I37" s="1210">
        <v>35.44</v>
      </c>
      <c r="L37" s="583"/>
      <c r="M37" s="583"/>
    </row>
    <row r="38" spans="1:13" s="564" customFormat="1">
      <c r="A38" s="1110">
        <v>44733</v>
      </c>
      <c r="B38" s="1360">
        <v>41.89</v>
      </c>
      <c r="C38" s="1361">
        <v>41.51</v>
      </c>
      <c r="D38" s="1361">
        <v>40.51</v>
      </c>
      <c r="E38" s="1109">
        <v>37.6</v>
      </c>
      <c r="F38" s="1114">
        <v>40.840000000000003</v>
      </c>
      <c r="G38" s="1361">
        <v>40.630000000000003</v>
      </c>
      <c r="H38" s="1361">
        <v>39.619999999999997</v>
      </c>
      <c r="I38" s="1109">
        <v>36.89</v>
      </c>
      <c r="L38" s="583"/>
      <c r="M38" s="583"/>
    </row>
    <row r="39" spans="1:13" s="564" customFormat="1" ht="13.5" thickBot="1">
      <c r="A39" s="1215">
        <v>44740</v>
      </c>
      <c r="B39" s="1365">
        <v>40.69</v>
      </c>
      <c r="C39" s="1362">
        <v>40.299999999999997</v>
      </c>
      <c r="D39" s="1362">
        <v>39.29</v>
      </c>
      <c r="E39" s="1210">
        <v>37.24</v>
      </c>
      <c r="F39" s="1208">
        <v>39.69</v>
      </c>
      <c r="G39" s="1362">
        <v>39.43</v>
      </c>
      <c r="H39" s="1362">
        <v>38.43</v>
      </c>
      <c r="I39" s="1210">
        <v>36.4</v>
      </c>
    </row>
    <row r="40" spans="1:13" s="564" customFormat="1" ht="13.5" thickBot="1">
      <c r="A40" s="1357" t="s">
        <v>7</v>
      </c>
      <c r="B40" s="1358">
        <f t="shared" ref="B40:I40" si="4">AVERAGE(B36:B39)</f>
        <v>41.732500000000002</v>
      </c>
      <c r="C40" s="1358">
        <f t="shared" si="4"/>
        <v>41.185000000000002</v>
      </c>
      <c r="D40" s="1358">
        <f t="shared" si="4"/>
        <v>40.157499999999999</v>
      </c>
      <c r="E40" s="1358">
        <f t="shared" si="4"/>
        <v>36.164999999999999</v>
      </c>
      <c r="F40" s="1358">
        <f t="shared" si="4"/>
        <v>40.7425</v>
      </c>
      <c r="G40" s="1358">
        <f t="shared" si="4"/>
        <v>40.32</v>
      </c>
      <c r="H40" s="1358">
        <f t="shared" si="4"/>
        <v>39.315000000000005</v>
      </c>
      <c r="I40" s="1359">
        <f t="shared" si="4"/>
        <v>35.4</v>
      </c>
      <c r="L40" s="583"/>
      <c r="M40" s="583"/>
    </row>
    <row r="41" spans="1:13" s="564" customFormat="1">
      <c r="A41" s="1110">
        <v>44747</v>
      </c>
      <c r="B41" s="1360">
        <v>40.450000000000003</v>
      </c>
      <c r="C41" s="1361">
        <v>40</v>
      </c>
      <c r="D41" s="1361">
        <v>38.97</v>
      </c>
      <c r="E41" s="1361">
        <v>34.69</v>
      </c>
      <c r="F41" s="1111">
        <v>39.49</v>
      </c>
      <c r="G41" s="1112">
        <v>39.17</v>
      </c>
      <c r="H41" s="1112">
        <v>38.17</v>
      </c>
      <c r="I41" s="1113">
        <v>33.880000000000003</v>
      </c>
      <c r="L41" s="583"/>
      <c r="M41" s="583"/>
    </row>
    <row r="42" spans="1:13" s="564" customFormat="1">
      <c r="A42" s="1215">
        <v>44754</v>
      </c>
      <c r="B42" s="1208">
        <v>37.56</v>
      </c>
      <c r="C42" s="1362">
        <v>37.409999999999997</v>
      </c>
      <c r="D42" s="1362">
        <v>36.4</v>
      </c>
      <c r="E42" s="1210">
        <v>32.17</v>
      </c>
      <c r="F42" s="1208">
        <v>36.549999999999997</v>
      </c>
      <c r="G42" s="1362">
        <v>36.56</v>
      </c>
      <c r="H42" s="1362">
        <v>35.58</v>
      </c>
      <c r="I42" s="1210">
        <v>31.3</v>
      </c>
    </row>
    <row r="43" spans="1:13" s="564" customFormat="1" ht="13.5" customHeight="1">
      <c r="A43" s="1110">
        <v>44761</v>
      </c>
      <c r="B43" s="1363">
        <v>34.79</v>
      </c>
      <c r="C43" s="1364">
        <v>34.630000000000003</v>
      </c>
      <c r="D43" s="1364">
        <v>33.69</v>
      </c>
      <c r="E43" s="1364">
        <v>31.74</v>
      </c>
      <c r="F43" s="1038">
        <v>33.78</v>
      </c>
      <c r="G43" s="1364">
        <v>33.659999999999997</v>
      </c>
      <c r="H43" s="1364">
        <v>32.75</v>
      </c>
      <c r="I43" s="1037">
        <v>31.01</v>
      </c>
    </row>
    <row r="44" spans="1:13" s="564" customFormat="1" ht="13.5" thickBot="1">
      <c r="A44" s="1215">
        <v>44768</v>
      </c>
      <c r="B44" s="1365">
        <v>33.909999999999997</v>
      </c>
      <c r="C44" s="1362">
        <v>33.590000000000003</v>
      </c>
      <c r="D44" s="1362">
        <v>32.619999999999997</v>
      </c>
      <c r="E44" s="1362">
        <v>30.75</v>
      </c>
      <c r="F44" s="1208">
        <v>32.92</v>
      </c>
      <c r="G44" s="1362">
        <v>32.69</v>
      </c>
      <c r="H44" s="1362">
        <v>31.76</v>
      </c>
      <c r="I44" s="1210">
        <v>29.9</v>
      </c>
    </row>
    <row r="45" spans="1:13" s="564" customFormat="1" ht="13.5" thickBot="1">
      <c r="A45" s="1212" t="s">
        <v>7</v>
      </c>
      <c r="B45" s="1213">
        <f>AVERAGE(B41:B44)</f>
        <v>36.677500000000002</v>
      </c>
      <c r="C45" s="1213">
        <f t="shared" ref="C45:I45" si="5">AVERAGE(C41:C44)</f>
        <v>36.407499999999999</v>
      </c>
      <c r="D45" s="1213">
        <f t="shared" si="5"/>
        <v>35.42</v>
      </c>
      <c r="E45" s="1213">
        <f t="shared" si="5"/>
        <v>32.337499999999999</v>
      </c>
      <c r="F45" s="1213">
        <f t="shared" si="5"/>
        <v>35.685000000000002</v>
      </c>
      <c r="G45" s="1213">
        <f t="shared" si="5"/>
        <v>35.519999999999996</v>
      </c>
      <c r="H45" s="1213">
        <f t="shared" si="5"/>
        <v>34.564999999999998</v>
      </c>
      <c r="I45" s="1213">
        <f t="shared" si="5"/>
        <v>31.522500000000001</v>
      </c>
    </row>
    <row r="46" spans="1:13" s="564" customFormat="1">
      <c r="A46" s="1110">
        <v>44775</v>
      </c>
      <c r="B46" s="1360">
        <v>33.6</v>
      </c>
      <c r="C46" s="1361">
        <v>33.29</v>
      </c>
      <c r="D46" s="1361">
        <v>32.340000000000003</v>
      </c>
      <c r="E46" s="1361">
        <v>30.23</v>
      </c>
      <c r="F46" s="1111">
        <v>32.659999999999997</v>
      </c>
      <c r="G46" s="1112">
        <v>32.369999999999997</v>
      </c>
      <c r="H46" s="1112">
        <v>31.47</v>
      </c>
      <c r="I46" s="1113">
        <v>29.37</v>
      </c>
    </row>
    <row r="47" spans="1:13" s="564" customFormat="1">
      <c r="A47" s="1215">
        <v>44782</v>
      </c>
      <c r="B47" s="1208">
        <v>36.74</v>
      </c>
      <c r="C47" s="1362">
        <v>36.6</v>
      </c>
      <c r="D47" s="1362">
        <v>35.64</v>
      </c>
      <c r="E47" s="1210">
        <v>34.9</v>
      </c>
      <c r="F47" s="1208">
        <v>35.5</v>
      </c>
      <c r="G47" s="1362">
        <v>35.64</v>
      </c>
      <c r="H47" s="1362">
        <v>34.75</v>
      </c>
      <c r="I47" s="1210">
        <v>33.979999999999997</v>
      </c>
    </row>
    <row r="48" spans="1:13" s="564" customFormat="1">
      <c r="A48" s="1110">
        <v>44789</v>
      </c>
      <c r="B48" s="1363">
        <v>37.44</v>
      </c>
      <c r="C48" s="1364">
        <v>37.32</v>
      </c>
      <c r="D48" s="1364">
        <v>36.340000000000003</v>
      </c>
      <c r="E48" s="1364">
        <v>36.03</v>
      </c>
      <c r="F48" s="1038">
        <v>36.58</v>
      </c>
      <c r="G48" s="1364">
        <v>36.32</v>
      </c>
      <c r="H48" s="1364">
        <v>35.39</v>
      </c>
      <c r="I48" s="1037">
        <v>35.1</v>
      </c>
    </row>
    <row r="49" spans="1:15" s="564" customFormat="1">
      <c r="A49" s="1215">
        <v>44796</v>
      </c>
      <c r="B49" s="1208">
        <v>36.93</v>
      </c>
      <c r="C49" s="1362">
        <v>36.6</v>
      </c>
      <c r="D49" s="1362">
        <v>35.659999999999997</v>
      </c>
      <c r="E49" s="1210">
        <v>36.69</v>
      </c>
      <c r="F49" s="1208">
        <v>35.950000000000003</v>
      </c>
      <c r="G49" s="1362">
        <v>35.65</v>
      </c>
      <c r="H49" s="1362">
        <v>34.720999999999997</v>
      </c>
      <c r="I49" s="1210">
        <v>35.799999999999997</v>
      </c>
    </row>
    <row r="50" spans="1:15" s="564" customFormat="1" ht="13.5" thickBot="1">
      <c r="A50" s="1110">
        <v>44803</v>
      </c>
      <c r="B50" s="1363">
        <v>36.71</v>
      </c>
      <c r="C50" s="1364">
        <v>36.51</v>
      </c>
      <c r="D50" s="1364">
        <v>35.56</v>
      </c>
      <c r="E50" s="1364">
        <v>36.36</v>
      </c>
      <c r="F50" s="1038">
        <v>35.71</v>
      </c>
      <c r="G50" s="1364">
        <v>35.549999999999997</v>
      </c>
      <c r="H50" s="1364">
        <v>34.619999999999997</v>
      </c>
      <c r="I50" s="1037">
        <v>35.19</v>
      </c>
    </row>
    <row r="51" spans="1:15" s="564" customFormat="1" ht="13.5" thickBot="1">
      <c r="A51" s="1212" t="s">
        <v>7</v>
      </c>
      <c r="B51" s="1213">
        <f>AVERAGE(B46:B50)</f>
        <v>36.284000000000006</v>
      </c>
      <c r="C51" s="1213">
        <f t="shared" ref="C51:I51" si="6">AVERAGE(C46:C50)</f>
        <v>36.064</v>
      </c>
      <c r="D51" s="1213">
        <f t="shared" si="6"/>
        <v>35.108000000000004</v>
      </c>
      <c r="E51" s="1213">
        <f t="shared" si="6"/>
        <v>34.841999999999999</v>
      </c>
      <c r="F51" s="1213">
        <f t="shared" si="6"/>
        <v>35.28</v>
      </c>
      <c r="G51" s="1213">
        <f t="shared" si="6"/>
        <v>35.105999999999995</v>
      </c>
      <c r="H51" s="1213">
        <f t="shared" si="6"/>
        <v>34.190199999999997</v>
      </c>
      <c r="I51" s="1213">
        <f t="shared" si="6"/>
        <v>33.887999999999998</v>
      </c>
    </row>
    <row r="52" spans="1:15" s="564" customFormat="1">
      <c r="A52" s="1110">
        <v>44809</v>
      </c>
      <c r="B52" s="1360">
        <v>35.82</v>
      </c>
      <c r="C52" s="1361">
        <v>35.49</v>
      </c>
      <c r="D52" s="1361">
        <v>34.57</v>
      </c>
      <c r="E52" s="1361">
        <v>33.21</v>
      </c>
      <c r="F52" s="1111">
        <v>34.75</v>
      </c>
      <c r="G52" s="1112">
        <v>34.49</v>
      </c>
      <c r="H52" s="1112">
        <v>33.58</v>
      </c>
      <c r="I52" s="1113">
        <v>32.24</v>
      </c>
    </row>
    <row r="53" spans="1:15" s="564" customFormat="1">
      <c r="A53" s="1215">
        <v>44816</v>
      </c>
      <c r="B53" s="1208">
        <v>35.72</v>
      </c>
      <c r="C53" s="1362">
        <v>35.15</v>
      </c>
      <c r="D53" s="1362">
        <v>34.22</v>
      </c>
      <c r="E53" s="1210">
        <v>32.340000000000003</v>
      </c>
      <c r="F53" s="1208">
        <v>34.659999999999997</v>
      </c>
      <c r="G53" s="1362">
        <v>34.159999999999997</v>
      </c>
      <c r="H53" s="1362">
        <v>33.24</v>
      </c>
      <c r="I53" s="1210">
        <v>31.41</v>
      </c>
    </row>
    <row r="54" spans="1:15" s="564" customFormat="1">
      <c r="A54" s="1110">
        <v>44823</v>
      </c>
      <c r="B54" s="1363">
        <v>35.729999999999997</v>
      </c>
      <c r="C54" s="1364">
        <v>35.090000000000003</v>
      </c>
      <c r="D54" s="1364">
        <v>34.15</v>
      </c>
      <c r="E54" s="1364">
        <v>31.03</v>
      </c>
      <c r="F54" s="1038">
        <v>34.67</v>
      </c>
      <c r="G54" s="1364">
        <v>34.119999999999997</v>
      </c>
      <c r="H54" s="1364">
        <v>33.22</v>
      </c>
      <c r="I54" s="1037">
        <v>30</v>
      </c>
      <c r="L54" s="1364"/>
      <c r="M54" s="1364"/>
      <c r="N54" s="1364"/>
      <c r="O54" s="1364"/>
    </row>
    <row r="55" spans="1:15" s="564" customFormat="1" ht="13.5" thickBot="1">
      <c r="A55" s="1215">
        <v>44827</v>
      </c>
      <c r="B55" s="1208">
        <v>35.799999999999997</v>
      </c>
      <c r="C55" s="1362">
        <v>35.11</v>
      </c>
      <c r="D55" s="1362">
        <v>34.18</v>
      </c>
      <c r="E55" s="1210">
        <v>29.97</v>
      </c>
      <c r="F55" s="1208">
        <v>34.69</v>
      </c>
      <c r="G55" s="1362">
        <v>34.18</v>
      </c>
      <c r="H55" s="1362">
        <v>33.28</v>
      </c>
      <c r="I55" s="1210">
        <v>29.16</v>
      </c>
    </row>
    <row r="56" spans="1:15" s="564" customFormat="1" ht="13.5" thickBot="1">
      <c r="A56" s="1212" t="s">
        <v>7</v>
      </c>
      <c r="B56" s="1213">
        <f t="shared" ref="B56:I56" si="7">AVERAGE(B52:B55)</f>
        <v>35.767499999999998</v>
      </c>
      <c r="C56" s="1213">
        <f t="shared" si="7"/>
        <v>35.21</v>
      </c>
      <c r="D56" s="1213">
        <f t="shared" si="7"/>
        <v>34.28</v>
      </c>
      <c r="E56" s="1213">
        <f t="shared" si="7"/>
        <v>31.637500000000003</v>
      </c>
      <c r="F56" s="1213">
        <f t="shared" si="7"/>
        <v>34.692499999999995</v>
      </c>
      <c r="G56" s="1213">
        <f t="shared" si="7"/>
        <v>34.237500000000004</v>
      </c>
      <c r="H56" s="1213">
        <f t="shared" si="7"/>
        <v>33.33</v>
      </c>
      <c r="I56" s="1213">
        <f t="shared" si="7"/>
        <v>30.702500000000001</v>
      </c>
      <c r="J56" s="950"/>
      <c r="K56" s="1364"/>
      <c r="L56" s="1364"/>
      <c r="M56" s="1364"/>
      <c r="N56" s="1364"/>
    </row>
    <row r="57" spans="1:15" s="564" customFormat="1">
      <c r="A57" s="1110">
        <v>44837</v>
      </c>
      <c r="B57" s="1360">
        <v>35.799999999999997</v>
      </c>
      <c r="C57" s="1361">
        <v>35.11</v>
      </c>
      <c r="D57" s="1361">
        <v>34.18</v>
      </c>
      <c r="E57" s="1361">
        <v>32.86</v>
      </c>
      <c r="F57" s="1111">
        <v>34.659999999999997</v>
      </c>
      <c r="G57" s="1112">
        <v>34.159999999999997</v>
      </c>
      <c r="H57" s="1112">
        <v>33.270000000000003</v>
      </c>
      <c r="I57" s="1113">
        <v>32.33</v>
      </c>
      <c r="J57" s="950"/>
    </row>
    <row r="58" spans="1:15" s="564" customFormat="1">
      <c r="A58" s="1215">
        <v>44844</v>
      </c>
      <c r="B58" s="1208">
        <v>38.81</v>
      </c>
      <c r="C58" s="1362">
        <v>37.840000000000003</v>
      </c>
      <c r="D58" s="1362">
        <v>36.880000000000003</v>
      </c>
      <c r="E58" s="1210">
        <v>39.33</v>
      </c>
      <c r="F58" s="1208">
        <v>37.69</v>
      </c>
      <c r="G58" s="1362">
        <v>36.92</v>
      </c>
      <c r="H58" s="1362">
        <v>35.99</v>
      </c>
      <c r="I58" s="1210">
        <v>38.46</v>
      </c>
      <c r="J58" s="950"/>
    </row>
    <row r="59" spans="1:15" s="564" customFormat="1">
      <c r="A59" s="1110">
        <v>44851</v>
      </c>
      <c r="B59" s="1363">
        <v>38.79</v>
      </c>
      <c r="C59" s="1364">
        <v>38.17</v>
      </c>
      <c r="D59" s="1364">
        <v>37.25</v>
      </c>
      <c r="E59" s="1364">
        <v>42.26</v>
      </c>
      <c r="F59" s="1038">
        <v>37.67</v>
      </c>
      <c r="G59" s="1364">
        <v>37.14</v>
      </c>
      <c r="H59" s="1364">
        <v>36.229999999999997</v>
      </c>
      <c r="I59" s="1037">
        <v>41.27</v>
      </c>
      <c r="J59" s="950"/>
    </row>
    <row r="60" spans="1:15" s="564" customFormat="1" ht="13.5" thickBot="1">
      <c r="A60" s="1215">
        <v>44858</v>
      </c>
      <c r="B60" s="1208">
        <v>38.799999999999997</v>
      </c>
      <c r="C60" s="1362">
        <v>38.200000000000003</v>
      </c>
      <c r="D60" s="1362">
        <v>37.29</v>
      </c>
      <c r="E60" s="1210">
        <v>42.27</v>
      </c>
      <c r="F60" s="1208">
        <v>37.67</v>
      </c>
      <c r="G60" s="1362">
        <v>37.17</v>
      </c>
      <c r="H60" s="1362">
        <v>36.270000000000003</v>
      </c>
      <c r="I60" s="1210">
        <v>41.25</v>
      </c>
      <c r="J60" s="1423"/>
      <c r="N60" s="564">
        <v>1</v>
      </c>
    </row>
    <row r="61" spans="1:15" s="564" customFormat="1" ht="13.5" thickBot="1">
      <c r="A61" s="1212" t="s">
        <v>7</v>
      </c>
      <c r="B61" s="1213">
        <f t="shared" ref="B61:I61" si="8">AVERAGE(B57:B60)</f>
        <v>38.049999999999997</v>
      </c>
      <c r="C61" s="1213">
        <f t="shared" si="8"/>
        <v>37.33</v>
      </c>
      <c r="D61" s="1213">
        <f t="shared" si="8"/>
        <v>36.4</v>
      </c>
      <c r="E61" s="1213">
        <f t="shared" si="8"/>
        <v>39.18</v>
      </c>
      <c r="F61" s="1213">
        <f t="shared" si="8"/>
        <v>36.922499999999999</v>
      </c>
      <c r="G61" s="1213">
        <f t="shared" si="8"/>
        <v>36.347499999999997</v>
      </c>
      <c r="H61" s="1213">
        <f t="shared" si="8"/>
        <v>35.440000000000005</v>
      </c>
      <c r="I61" s="1213">
        <f t="shared" si="8"/>
        <v>38.327500000000001</v>
      </c>
      <c r="J61" s="950"/>
    </row>
    <row r="62" spans="1:15" s="564" customFormat="1">
      <c r="A62" s="1110">
        <v>44867</v>
      </c>
      <c r="B62" s="1360">
        <v>37.72</v>
      </c>
      <c r="C62" s="1361">
        <v>37.72</v>
      </c>
      <c r="D62" s="1361">
        <v>36.520000000000003</v>
      </c>
      <c r="E62" s="1361">
        <v>40.93</v>
      </c>
      <c r="F62" s="1111">
        <v>37.19</v>
      </c>
      <c r="G62" s="1112">
        <v>36.75</v>
      </c>
      <c r="H62" s="1112">
        <v>35.270000000000003</v>
      </c>
      <c r="I62" s="1113">
        <v>39.9</v>
      </c>
      <c r="J62" s="950"/>
    </row>
    <row r="63" spans="1:15" s="564" customFormat="1">
      <c r="A63" s="1215">
        <v>44872</v>
      </c>
      <c r="B63" s="1208">
        <v>38.33</v>
      </c>
      <c r="C63" s="1362">
        <v>37.700000000000003</v>
      </c>
      <c r="D63" s="1362">
        <v>36.479999999999997</v>
      </c>
      <c r="E63" s="1210">
        <v>40.83</v>
      </c>
      <c r="F63" s="1208">
        <v>37.200000000000003</v>
      </c>
      <c r="G63" s="1362">
        <v>36.700000000000003</v>
      </c>
      <c r="H63" s="1362">
        <v>35.5</v>
      </c>
      <c r="I63" s="1210">
        <v>39.82</v>
      </c>
      <c r="J63" s="950"/>
    </row>
    <row r="64" spans="1:15" s="564" customFormat="1" ht="13.5" customHeight="1">
      <c r="A64" s="1110">
        <v>44879</v>
      </c>
      <c r="B64" s="1363">
        <v>38.99</v>
      </c>
      <c r="C64" s="1364">
        <v>38.380000000000003</v>
      </c>
      <c r="D64" s="1364">
        <v>36.86</v>
      </c>
      <c r="E64" s="1364">
        <v>41.58</v>
      </c>
      <c r="F64" s="1038">
        <v>37.874615384615375</v>
      </c>
      <c r="G64" s="1364">
        <v>37.369999999999997</v>
      </c>
      <c r="H64" s="1364">
        <v>35.869999999999997</v>
      </c>
      <c r="I64" s="1037">
        <v>40.590000000000003</v>
      </c>
      <c r="J64" s="950"/>
    </row>
    <row r="65" spans="1:10" s="564" customFormat="1" ht="13.5" customHeight="1">
      <c r="A65" s="1110">
        <v>44886</v>
      </c>
      <c r="B65" s="1363">
        <v>37.630000000000003</v>
      </c>
      <c r="C65" s="1364">
        <v>37.200000000000003</v>
      </c>
      <c r="D65" s="1364">
        <v>35.619999999999997</v>
      </c>
      <c r="E65" s="1364">
        <v>39.25</v>
      </c>
      <c r="F65" s="1038">
        <v>36.369999999999997</v>
      </c>
      <c r="G65" s="1364">
        <v>36.14</v>
      </c>
      <c r="H65" s="1364">
        <v>34.54</v>
      </c>
      <c r="I65" s="1037">
        <v>38.17</v>
      </c>
      <c r="J65" s="950"/>
    </row>
    <row r="66" spans="1:10" s="564" customFormat="1" ht="13.5" thickBot="1">
      <c r="A66" s="1215">
        <v>44893</v>
      </c>
      <c r="B66" s="1208">
        <v>36.56</v>
      </c>
      <c r="C66" s="1362">
        <v>35.96</v>
      </c>
      <c r="D66" s="1362">
        <v>34.35</v>
      </c>
      <c r="E66" s="1210">
        <v>37.049999999999997</v>
      </c>
      <c r="F66" s="1208">
        <v>35.39</v>
      </c>
      <c r="G66" s="1362">
        <v>34.94</v>
      </c>
      <c r="H66" s="1362">
        <v>33.32</v>
      </c>
      <c r="I66" s="1210">
        <v>35.96</v>
      </c>
      <c r="J66" s="950"/>
    </row>
    <row r="67" spans="1:10" s="564" customFormat="1" ht="13.5" thickBot="1">
      <c r="A67" s="1212" t="s">
        <v>7</v>
      </c>
      <c r="B67" s="1213">
        <f t="shared" ref="B67:I67" si="9">AVERAGE(B62:B66)</f>
        <v>37.845999999999997</v>
      </c>
      <c r="C67" s="1213">
        <f t="shared" si="9"/>
        <v>37.392000000000003</v>
      </c>
      <c r="D67" s="1213">
        <f t="shared" si="9"/>
        <v>35.965999999999994</v>
      </c>
      <c r="E67" s="1213">
        <f t="shared" si="9"/>
        <v>39.927999999999997</v>
      </c>
      <c r="F67" s="1213">
        <f t="shared" si="9"/>
        <v>36.804923076923082</v>
      </c>
      <c r="G67" s="1213">
        <f t="shared" si="9"/>
        <v>36.379999999999995</v>
      </c>
      <c r="H67" s="1213">
        <f t="shared" si="9"/>
        <v>34.9</v>
      </c>
      <c r="I67" s="1213">
        <f t="shared" si="9"/>
        <v>38.888000000000005</v>
      </c>
      <c r="J67" s="950"/>
    </row>
    <row r="68" spans="1:10" s="564" customFormat="1" ht="12.75" customHeight="1">
      <c r="A68" s="1110">
        <v>44900</v>
      </c>
      <c r="B68" s="1360">
        <v>36.159999999999997</v>
      </c>
      <c r="C68" s="1361">
        <v>35.54</v>
      </c>
      <c r="D68" s="1361">
        <v>33.93</v>
      </c>
      <c r="E68" s="1361">
        <v>36.621000000000002</v>
      </c>
      <c r="F68" s="1111">
        <v>34.97</v>
      </c>
      <c r="G68" s="1112">
        <v>34.5</v>
      </c>
      <c r="H68" s="1112">
        <v>32.9</v>
      </c>
      <c r="I68" s="1113">
        <v>35.58</v>
      </c>
      <c r="J68" s="950"/>
    </row>
    <row r="69" spans="1:10" s="564" customFormat="1" ht="12.75" customHeight="1">
      <c r="A69" s="1215">
        <v>44907</v>
      </c>
      <c r="B69" s="1208">
        <v>35.64</v>
      </c>
      <c r="C69" s="1362">
        <v>35.01</v>
      </c>
      <c r="D69" s="1362">
        <v>33.409999999999997</v>
      </c>
      <c r="E69" s="1210">
        <v>35.83</v>
      </c>
      <c r="F69" s="1208">
        <v>34.47</v>
      </c>
      <c r="G69" s="1362">
        <v>33.979999999999997</v>
      </c>
      <c r="H69" s="1362">
        <v>32.39</v>
      </c>
      <c r="I69" s="1210">
        <v>34.799999999999997</v>
      </c>
      <c r="J69" s="950"/>
    </row>
    <row r="70" spans="1:10" s="564" customFormat="1" ht="12.75" customHeight="1">
      <c r="A70" s="1110">
        <v>44914</v>
      </c>
      <c r="B70" s="1363">
        <v>35.17</v>
      </c>
      <c r="C70" s="1364">
        <v>34.549999999999997</v>
      </c>
      <c r="D70" s="1364">
        <v>33.01</v>
      </c>
      <c r="E70" s="1364">
        <v>35.049999999999997</v>
      </c>
      <c r="F70" s="1038">
        <v>33.97</v>
      </c>
      <c r="G70" s="1364">
        <v>33.479999999999997</v>
      </c>
      <c r="H70" s="1364">
        <v>31.96</v>
      </c>
      <c r="I70" s="1037">
        <v>33.950000000000003</v>
      </c>
      <c r="J70" s="950"/>
    </row>
    <row r="71" spans="1:10" s="564" customFormat="1" ht="12.75" customHeight="1" thickBot="1">
      <c r="A71" s="1215">
        <v>44922</v>
      </c>
      <c r="B71" s="1208">
        <v>34.159999999999997</v>
      </c>
      <c r="C71" s="1362">
        <v>33.54</v>
      </c>
      <c r="D71" s="1362">
        <v>32.03</v>
      </c>
      <c r="E71" s="1210">
        <v>34.75</v>
      </c>
      <c r="F71" s="1208">
        <v>33</v>
      </c>
      <c r="G71" s="1362">
        <v>32.549999999999997</v>
      </c>
      <c r="H71" s="1362">
        <v>30.99</v>
      </c>
      <c r="I71" s="1210">
        <v>33.75</v>
      </c>
      <c r="J71" s="950"/>
    </row>
    <row r="72" spans="1:10" s="564" customFormat="1" ht="13.5" thickBot="1">
      <c r="A72" s="1212" t="s">
        <v>7</v>
      </c>
      <c r="B72" s="1213">
        <f t="shared" ref="B72:I72" si="10">AVERAGE(B68:B71)</f>
        <v>35.282499999999999</v>
      </c>
      <c r="C72" s="1213">
        <f t="shared" si="10"/>
        <v>34.659999999999997</v>
      </c>
      <c r="D72" s="1213">
        <f t="shared" si="10"/>
        <v>33.094999999999999</v>
      </c>
      <c r="E72" s="1213">
        <f t="shared" si="10"/>
        <v>35.562749999999994</v>
      </c>
      <c r="F72" s="1213">
        <f t="shared" si="10"/>
        <v>34.102499999999999</v>
      </c>
      <c r="G72" s="1213">
        <f t="shared" si="10"/>
        <v>33.627499999999998</v>
      </c>
      <c r="H72" s="1213">
        <f t="shared" si="10"/>
        <v>32.06</v>
      </c>
      <c r="I72" s="1213">
        <f t="shared" si="10"/>
        <v>34.519999999999996</v>
      </c>
      <c r="J72" s="950"/>
    </row>
    <row r="73" spans="1:10" s="564" customFormat="1">
      <c r="A73" s="950"/>
      <c r="B73" s="950"/>
      <c r="C73" s="950"/>
      <c r="D73" s="950"/>
      <c r="E73" s="950"/>
      <c r="F73" s="950"/>
      <c r="G73" s="950"/>
      <c r="H73" s="950"/>
      <c r="I73" s="950"/>
      <c r="J73" s="950"/>
    </row>
    <row r="74" spans="1:10" s="564" customFormat="1" ht="15">
      <c r="A74" s="950"/>
      <c r="B74" s="1424"/>
      <c r="C74" s="950"/>
      <c r="D74" s="950"/>
      <c r="E74" s="950"/>
      <c r="F74" s="950"/>
      <c r="G74" s="950"/>
      <c r="H74" s="950"/>
      <c r="I74" s="950"/>
      <c r="J74" s="950"/>
    </row>
    <row r="75" spans="1:10">
      <c r="A75" s="1425"/>
      <c r="B75" s="1425"/>
      <c r="C75" s="1425"/>
      <c r="D75" s="1425"/>
      <c r="E75" s="1425"/>
      <c r="F75" s="1425"/>
      <c r="G75" s="1425"/>
      <c r="H75" s="1425"/>
      <c r="I75" s="1425"/>
      <c r="J75" s="1425"/>
    </row>
    <row r="76" spans="1:10">
      <c r="A76" s="1425"/>
      <c r="B76" s="1425"/>
      <c r="C76" s="1425"/>
      <c r="D76" s="1425"/>
      <c r="E76" s="1425"/>
      <c r="F76" s="1425"/>
      <c r="G76" s="1425"/>
      <c r="H76" s="1425"/>
      <c r="I76" s="1425"/>
      <c r="J76" s="1425"/>
    </row>
    <row r="77" spans="1:10">
      <c r="A77" s="1425"/>
      <c r="B77" s="1425"/>
      <c r="C77" s="1425"/>
      <c r="D77" s="1425"/>
      <c r="E77" s="1425"/>
      <c r="F77" s="1425"/>
      <c r="G77" s="1425"/>
      <c r="H77" s="1425"/>
      <c r="I77" s="1425"/>
      <c r="J77" s="1425"/>
    </row>
    <row r="78" spans="1:10">
      <c r="A78" s="1425"/>
      <c r="B78" s="1425"/>
      <c r="C78" s="1425"/>
      <c r="D78" s="1425"/>
      <c r="E78" s="1425"/>
      <c r="F78" s="1425"/>
      <c r="G78" s="1425"/>
      <c r="H78" s="1425"/>
      <c r="I78" s="1425"/>
      <c r="J78" s="1425"/>
    </row>
    <row r="79" spans="1:10">
      <c r="A79" s="1425"/>
      <c r="B79" s="1425"/>
      <c r="C79" s="1425"/>
      <c r="D79" s="1425"/>
      <c r="E79" s="1425"/>
      <c r="F79" s="1425"/>
      <c r="G79" s="1425"/>
      <c r="H79" s="1425"/>
      <c r="I79" s="1425"/>
      <c r="J79" s="1425"/>
    </row>
    <row r="80" spans="1:10">
      <c r="A80" s="1425"/>
      <c r="B80" s="1425"/>
      <c r="C80" s="1425"/>
      <c r="D80" s="1425"/>
      <c r="E80" s="1425"/>
      <c r="F80" s="1425"/>
      <c r="G80" s="1425"/>
      <c r="H80" s="1425"/>
      <c r="I80" s="1425"/>
      <c r="J80" s="1425"/>
    </row>
    <row r="81" spans="1:10">
      <c r="A81" s="1425"/>
      <c r="B81" s="1425"/>
      <c r="C81" s="1425"/>
      <c r="D81" s="1425"/>
      <c r="E81" s="1425"/>
      <c r="F81" s="1425"/>
      <c r="G81" s="1425"/>
      <c r="H81" s="1425"/>
      <c r="I81" s="1425"/>
      <c r="J81" s="1425"/>
    </row>
    <row r="82" spans="1:10">
      <c r="A82" s="1425"/>
      <c r="B82" s="1425"/>
      <c r="C82" s="1425"/>
      <c r="D82" s="1425"/>
      <c r="E82" s="1425"/>
      <c r="F82" s="1425"/>
      <c r="G82" s="1425"/>
      <c r="H82" s="1425"/>
      <c r="I82" s="1425"/>
      <c r="J82" s="1425"/>
    </row>
    <row r="83" spans="1:10">
      <c r="A83" s="1425"/>
      <c r="B83" s="1425"/>
      <c r="C83" s="1425"/>
      <c r="D83" s="1425"/>
      <c r="E83" s="1425"/>
      <c r="F83" s="1425"/>
      <c r="G83" s="1425"/>
      <c r="H83" s="1425"/>
      <c r="I83" s="1425"/>
      <c r="J83" s="1425"/>
    </row>
    <row r="84" spans="1:10">
      <c r="A84" s="1425"/>
      <c r="B84" s="1425"/>
      <c r="C84" s="1425"/>
      <c r="D84" s="1425"/>
      <c r="E84" s="1425"/>
      <c r="F84" s="1425"/>
      <c r="G84" s="1425"/>
      <c r="H84" s="1425"/>
      <c r="I84" s="1425"/>
      <c r="J84" s="1425"/>
    </row>
    <row r="85" spans="1:10">
      <c r="A85" s="1425"/>
      <c r="B85" s="1425"/>
      <c r="C85" s="1425"/>
      <c r="D85" s="1425"/>
      <c r="E85" s="1425"/>
      <c r="F85" s="1425"/>
      <c r="G85" s="1425"/>
      <c r="H85" s="1425"/>
      <c r="I85" s="1425"/>
      <c r="J85" s="1425"/>
    </row>
    <row r="86" spans="1:10">
      <c r="A86" s="1425"/>
      <c r="B86" s="1425"/>
      <c r="C86" s="1425"/>
      <c r="D86" s="1425"/>
      <c r="E86" s="1425"/>
      <c r="F86" s="1425"/>
      <c r="G86" s="1425"/>
      <c r="H86" s="1425"/>
      <c r="I86" s="1425"/>
      <c r="J86" s="1425"/>
    </row>
    <row r="87" spans="1:10">
      <c r="A87" s="1425"/>
      <c r="B87" s="1425"/>
      <c r="C87" s="1425"/>
      <c r="D87" s="1425"/>
      <c r="E87" s="1425"/>
      <c r="F87" s="1425"/>
      <c r="G87" s="1425"/>
      <c r="H87" s="1425"/>
      <c r="I87" s="1425"/>
      <c r="J87" s="1425"/>
    </row>
    <row r="88" spans="1:10">
      <c r="A88" s="1425"/>
      <c r="B88" s="1425"/>
      <c r="C88" s="1425"/>
      <c r="D88" s="1425"/>
      <c r="E88" s="1425"/>
      <c r="F88" s="1425"/>
      <c r="G88" s="1425"/>
      <c r="H88" s="1425"/>
      <c r="I88" s="1425"/>
      <c r="J88" s="1425"/>
    </row>
    <row r="89" spans="1:10">
      <c r="A89" s="1425"/>
      <c r="B89" s="1425"/>
      <c r="C89" s="1425"/>
      <c r="D89" s="1425"/>
      <c r="E89" s="1425"/>
      <c r="F89" s="1425"/>
      <c r="G89" s="1425"/>
      <c r="H89" s="1425"/>
      <c r="I89" s="1425"/>
      <c r="J89" s="1425"/>
    </row>
    <row r="90" spans="1:10">
      <c r="A90" s="1425"/>
      <c r="B90" s="1425"/>
      <c r="C90" s="1425"/>
      <c r="D90" s="1425"/>
      <c r="E90" s="1425"/>
      <c r="F90" s="1425"/>
      <c r="G90" s="1425"/>
      <c r="H90" s="1425"/>
      <c r="I90" s="1425"/>
      <c r="J90" s="1425"/>
    </row>
    <row r="91" spans="1:10">
      <c r="A91" s="1425"/>
      <c r="B91" s="1425"/>
      <c r="C91" s="1425"/>
      <c r="D91" s="1425"/>
      <c r="E91" s="1425"/>
      <c r="F91" s="1425"/>
      <c r="G91" s="1425"/>
      <c r="H91" s="1425"/>
      <c r="I91" s="1425"/>
      <c r="J91" s="1425"/>
    </row>
    <row r="92" spans="1:10">
      <c r="A92" s="1425"/>
      <c r="B92" s="1425"/>
      <c r="C92" s="1425"/>
      <c r="D92" s="1425"/>
      <c r="E92" s="1425"/>
      <c r="F92" s="1425"/>
      <c r="G92" s="1425"/>
      <c r="H92" s="1425"/>
      <c r="I92" s="1425"/>
      <c r="J92" s="1425"/>
    </row>
    <row r="93" spans="1:10">
      <c r="A93" s="1425"/>
      <c r="B93" s="1425"/>
      <c r="C93" s="1425"/>
      <c r="D93" s="1425"/>
      <c r="E93" s="1425"/>
      <c r="F93" s="1425"/>
      <c r="G93" s="1425"/>
      <c r="H93" s="1425"/>
      <c r="I93" s="1425"/>
      <c r="J93" s="1425"/>
    </row>
    <row r="94" spans="1:10">
      <c r="A94" s="1425"/>
      <c r="B94" s="1425"/>
      <c r="C94" s="1425"/>
      <c r="D94" s="1425"/>
      <c r="E94" s="1425"/>
      <c r="F94" s="1425"/>
      <c r="G94" s="1425"/>
      <c r="H94" s="1425"/>
      <c r="I94" s="1425"/>
      <c r="J94" s="1425"/>
    </row>
    <row r="95" spans="1:10">
      <c r="A95" s="1425"/>
      <c r="B95" s="1425"/>
      <c r="C95" s="1425"/>
      <c r="D95" s="1425"/>
      <c r="E95" s="1425"/>
      <c r="F95" s="1425"/>
      <c r="G95" s="1425"/>
      <c r="H95" s="1425"/>
      <c r="I95" s="1425"/>
      <c r="J95" s="1425"/>
    </row>
    <row r="96" spans="1:10">
      <c r="A96" s="1425"/>
      <c r="B96" s="1425"/>
      <c r="C96" s="1425"/>
      <c r="D96" s="1425"/>
      <c r="E96" s="1425"/>
      <c r="F96" s="1425"/>
      <c r="G96" s="1425"/>
      <c r="H96" s="1425"/>
      <c r="I96" s="1425"/>
      <c r="J96" s="1425"/>
    </row>
    <row r="97" spans="1:10">
      <c r="A97" s="1425"/>
      <c r="B97" s="1425"/>
      <c r="C97" s="1425"/>
      <c r="D97" s="1425"/>
      <c r="E97" s="1425"/>
      <c r="F97" s="1425"/>
      <c r="G97" s="1425"/>
      <c r="H97" s="1425"/>
      <c r="I97" s="1425"/>
      <c r="J97" s="1425"/>
    </row>
    <row r="98" spans="1:10">
      <c r="A98" s="1425"/>
      <c r="B98" s="1425"/>
      <c r="C98" s="1425"/>
      <c r="D98" s="1425"/>
      <c r="E98" s="1425"/>
      <c r="F98" s="1425"/>
      <c r="G98" s="1425"/>
      <c r="H98" s="1425"/>
      <c r="I98" s="1425"/>
      <c r="J98" s="1425"/>
    </row>
    <row r="99" spans="1:10">
      <c r="A99" s="1425"/>
      <c r="B99" s="1425"/>
      <c r="C99" s="1425"/>
      <c r="D99" s="1425"/>
      <c r="E99" s="1425"/>
      <c r="F99" s="1425"/>
      <c r="G99" s="1425"/>
      <c r="H99" s="1425"/>
      <c r="I99" s="1425"/>
      <c r="J99" s="1425"/>
    </row>
    <row r="100" spans="1:10">
      <c r="A100" s="1425"/>
      <c r="B100" s="1425"/>
      <c r="C100" s="1425"/>
      <c r="D100" s="1425"/>
      <c r="E100" s="1425"/>
      <c r="F100" s="1425"/>
      <c r="G100" s="1425"/>
      <c r="H100" s="1425"/>
      <c r="I100" s="1425"/>
      <c r="J100" s="1425"/>
    </row>
    <row r="101" spans="1:10">
      <c r="A101" s="1425"/>
      <c r="B101" s="1425"/>
      <c r="C101" s="1425"/>
      <c r="D101" s="1425"/>
      <c r="E101" s="1425"/>
      <c r="F101" s="1425"/>
      <c r="G101" s="1425"/>
      <c r="H101" s="1425"/>
      <c r="I101" s="1425"/>
      <c r="J101" s="1425"/>
    </row>
    <row r="102" spans="1:10">
      <c r="A102" s="1425"/>
      <c r="B102" s="1425"/>
      <c r="C102" s="1425"/>
      <c r="D102" s="1425"/>
      <c r="E102" s="1425"/>
      <c r="F102" s="1425"/>
      <c r="G102" s="1425"/>
      <c r="H102" s="1425"/>
      <c r="I102" s="1425"/>
      <c r="J102" s="1425"/>
    </row>
    <row r="103" spans="1:10">
      <c r="A103" s="1425"/>
      <c r="B103" s="1425"/>
      <c r="C103" s="1425"/>
      <c r="D103" s="1425"/>
      <c r="E103" s="1425"/>
      <c r="F103" s="1425"/>
      <c r="G103" s="1425"/>
      <c r="H103" s="1425"/>
      <c r="I103" s="1425"/>
      <c r="J103" s="1425"/>
    </row>
    <row r="104" spans="1:10">
      <c r="A104" s="1425"/>
      <c r="B104" s="1425"/>
      <c r="C104" s="1425"/>
      <c r="D104" s="1425"/>
      <c r="E104" s="1425"/>
      <c r="F104" s="1425"/>
      <c r="G104" s="1425"/>
      <c r="H104" s="1425"/>
      <c r="I104" s="1425"/>
      <c r="J104" s="1425"/>
    </row>
    <row r="105" spans="1:10">
      <c r="A105" s="1425"/>
      <c r="B105" s="1425"/>
      <c r="C105" s="1425"/>
      <c r="D105" s="1425"/>
      <c r="E105" s="1425"/>
      <c r="F105" s="1425"/>
      <c r="G105" s="1425"/>
      <c r="H105" s="1425"/>
      <c r="I105" s="1425"/>
      <c r="J105" s="1425"/>
    </row>
    <row r="106" spans="1:10">
      <c r="A106" s="1425"/>
      <c r="B106" s="1425"/>
      <c r="C106" s="1425"/>
      <c r="D106" s="1425"/>
      <c r="E106" s="1425"/>
      <c r="F106" s="1425"/>
      <c r="G106" s="1425"/>
      <c r="H106" s="1425"/>
      <c r="I106" s="1425"/>
      <c r="J106" s="1425"/>
    </row>
    <row r="107" spans="1:10">
      <c r="A107" s="1425"/>
      <c r="B107" s="1425"/>
      <c r="C107" s="1425"/>
      <c r="D107" s="1425"/>
      <c r="E107" s="1425"/>
      <c r="F107" s="1425"/>
      <c r="G107" s="1425"/>
      <c r="H107" s="1425"/>
      <c r="I107" s="1425"/>
      <c r="J107" s="1425"/>
    </row>
    <row r="108" spans="1:10">
      <c r="A108" s="1425"/>
      <c r="B108" s="1425"/>
      <c r="C108" s="1425"/>
      <c r="D108" s="1425"/>
      <c r="E108" s="1425"/>
      <c r="F108" s="1425"/>
      <c r="G108" s="1425"/>
      <c r="H108" s="1425"/>
      <c r="I108" s="1425"/>
      <c r="J108" s="1425"/>
    </row>
    <row r="109" spans="1:10">
      <c r="A109" s="1425"/>
      <c r="B109" s="1425"/>
      <c r="C109" s="1425"/>
      <c r="D109" s="1425"/>
      <c r="E109" s="1425"/>
      <c r="F109" s="1425"/>
      <c r="G109" s="1425"/>
      <c r="H109" s="1425"/>
      <c r="I109" s="1425"/>
      <c r="J109" s="1425"/>
    </row>
  </sheetData>
  <mergeCells count="8">
    <mergeCell ref="B7:E7"/>
    <mergeCell ref="F7:I7"/>
    <mergeCell ref="A1:I1"/>
    <mergeCell ref="A2:I2"/>
    <mergeCell ref="A3:I3"/>
    <mergeCell ref="A4:I4"/>
    <mergeCell ref="A5:I5"/>
    <mergeCell ref="A6:I6"/>
  </mergeCells>
  <pageMargins left="1.4566929133858268" right="0.43307086614173229" top="0.98425196850393704" bottom="0.98425196850393704" header="0" footer="0"/>
  <pageSetup scale="66" orientation="portrait" r:id="rId1"/>
  <headerFooter alignWithMargins="0"/>
  <rowBreaks count="1" manualBreakCount="1">
    <brk id="72" max="8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3B5DE-26FE-4DC0-A5C1-64C07E05819C}">
  <dimension ref="A1:O109"/>
  <sheetViews>
    <sheetView view="pageBreakPreview" zoomScale="130" zoomScaleNormal="75" zoomScaleSheetLayoutView="130" workbookViewId="0">
      <selection activeCell="D21" sqref="D21"/>
    </sheetView>
  </sheetViews>
  <sheetFormatPr baseColWidth="10" defaultColWidth="11.42578125" defaultRowHeight="12.75"/>
  <cols>
    <col min="1" max="1" width="16.28515625" customWidth="1"/>
    <col min="2" max="2" width="11.7109375" customWidth="1"/>
    <col min="4" max="4" width="11.28515625" customWidth="1"/>
    <col min="6" max="6" width="12.140625" customWidth="1"/>
    <col min="10" max="10" width="4" customWidth="1"/>
    <col min="12" max="13" width="12.5703125" bestFit="1" customWidth="1"/>
  </cols>
  <sheetData>
    <row r="1" spans="1:14" ht="20.25">
      <c r="A1" s="1575" t="s">
        <v>54</v>
      </c>
      <c r="B1" s="1576"/>
      <c r="C1" s="1576" t="s">
        <v>495</v>
      </c>
      <c r="D1" s="1576"/>
      <c r="E1" s="1576"/>
      <c r="F1" s="1576"/>
      <c r="G1" s="1576"/>
      <c r="H1" s="1576"/>
      <c r="I1" s="1577"/>
      <c r="J1" s="63"/>
    </row>
    <row r="2" spans="1:14" ht="20.25" customHeight="1">
      <c r="A2" s="1581" t="s">
        <v>569</v>
      </c>
      <c r="B2" s="1582"/>
      <c r="C2" s="1582"/>
      <c r="D2" s="1582"/>
      <c r="E2" s="1582"/>
      <c r="F2" s="1582"/>
      <c r="G2" s="1582"/>
      <c r="H2" s="1582"/>
      <c r="I2" s="1583"/>
      <c r="J2" s="63"/>
    </row>
    <row r="3" spans="1:14">
      <c r="A3" s="1549"/>
      <c r="B3" s="1550"/>
      <c r="C3" s="1550"/>
      <c r="D3" s="1550"/>
      <c r="E3" s="1550"/>
      <c r="F3" s="1550"/>
      <c r="G3" s="1550"/>
      <c r="H3" s="1550"/>
      <c r="I3" s="1551"/>
      <c r="J3" s="63"/>
    </row>
    <row r="4" spans="1:14">
      <c r="A4" s="1549" t="s">
        <v>22</v>
      </c>
      <c r="B4" s="1550"/>
      <c r="C4" s="1550"/>
      <c r="D4" s="1550"/>
      <c r="E4" s="1550"/>
      <c r="F4" s="1550"/>
      <c r="G4" s="1550"/>
      <c r="H4" s="1550"/>
      <c r="I4" s="1551"/>
      <c r="J4" s="63"/>
    </row>
    <row r="5" spans="1:14">
      <c r="A5" s="1549" t="s">
        <v>23</v>
      </c>
      <c r="B5" s="1550"/>
      <c r="C5" s="1550"/>
      <c r="D5" s="1550"/>
      <c r="E5" s="1550"/>
      <c r="F5" s="1550"/>
      <c r="G5" s="1550"/>
      <c r="H5" s="1550"/>
      <c r="I5" s="1551"/>
      <c r="J5" s="63"/>
    </row>
    <row r="6" spans="1:14" ht="18.75" customHeight="1" thickBot="1">
      <c r="A6" s="1578" t="s">
        <v>0</v>
      </c>
      <c r="B6" s="1579"/>
      <c r="C6" s="1579"/>
      <c r="D6" s="1579"/>
      <c r="E6" s="1579"/>
      <c r="F6" s="1579"/>
      <c r="G6" s="1579"/>
      <c r="H6" s="1579"/>
      <c r="I6" s="1580"/>
      <c r="J6" s="63"/>
    </row>
    <row r="7" spans="1:14" ht="24.75" customHeight="1" thickBot="1">
      <c r="A7" s="1199" t="s">
        <v>1</v>
      </c>
      <c r="B7" s="1561" t="s">
        <v>2</v>
      </c>
      <c r="C7" s="1562"/>
      <c r="D7" s="1562"/>
      <c r="E7" s="1563"/>
      <c r="F7" s="1564" t="s">
        <v>3</v>
      </c>
      <c r="G7" s="1565"/>
      <c r="H7" s="1565"/>
      <c r="I7" s="1566"/>
      <c r="J7" s="63"/>
    </row>
    <row r="8" spans="1:14" ht="21" customHeight="1" thickBot="1">
      <c r="A8" s="1200" t="s">
        <v>21</v>
      </c>
      <c r="B8" s="1201" t="s">
        <v>533</v>
      </c>
      <c r="C8" s="1201" t="s">
        <v>4</v>
      </c>
      <c r="D8" s="1202" t="s">
        <v>5</v>
      </c>
      <c r="E8" s="1203" t="s">
        <v>6</v>
      </c>
      <c r="F8" s="1204" t="s">
        <v>533</v>
      </c>
      <c r="G8" s="1204" t="s">
        <v>4</v>
      </c>
      <c r="H8" s="1205" t="s">
        <v>5</v>
      </c>
      <c r="I8" s="1206" t="s">
        <v>6</v>
      </c>
      <c r="J8" s="63"/>
    </row>
    <row r="9" spans="1:14">
      <c r="A9" s="1110">
        <v>44929</v>
      </c>
      <c r="B9" s="1107">
        <v>34.6</v>
      </c>
      <c r="C9" s="1108">
        <v>33.880000000000003</v>
      </c>
      <c r="D9" s="1108">
        <v>32.42</v>
      </c>
      <c r="E9" s="1109">
        <v>36.340000000000003</v>
      </c>
      <c r="F9" s="1111">
        <v>33.49</v>
      </c>
      <c r="G9" s="1112">
        <v>32.86</v>
      </c>
      <c r="H9" s="1112">
        <v>31.42</v>
      </c>
      <c r="I9" s="1113">
        <v>35.31</v>
      </c>
      <c r="J9" s="79"/>
    </row>
    <row r="10" spans="1:14">
      <c r="A10" s="1215">
        <v>44935</v>
      </c>
      <c r="B10" s="1211">
        <v>34.64</v>
      </c>
      <c r="C10" s="1209">
        <v>34.04</v>
      </c>
      <c r="D10" s="1209">
        <v>32.61</v>
      </c>
      <c r="E10" s="1210">
        <v>36.950000000000003</v>
      </c>
      <c r="F10" s="1208">
        <v>33.479999999999997</v>
      </c>
      <c r="G10" s="1209">
        <v>33</v>
      </c>
      <c r="H10" s="1209">
        <v>31.6</v>
      </c>
      <c r="I10" s="1210">
        <v>35.979999999999997</v>
      </c>
      <c r="J10" s="79"/>
      <c r="K10" s="190">
        <f>I10-I9</f>
        <v>0.6699999999999946</v>
      </c>
    </row>
    <row r="11" spans="1:14">
      <c r="A11" s="1110">
        <v>44942</v>
      </c>
      <c r="B11" s="1107">
        <v>35.69</v>
      </c>
      <c r="C11" s="1108">
        <v>35.04</v>
      </c>
      <c r="D11" s="1108">
        <v>33.619999999999997</v>
      </c>
      <c r="E11" s="1109">
        <v>36.94</v>
      </c>
      <c r="F11" s="1114">
        <v>34.47</v>
      </c>
      <c r="G11" s="1108">
        <v>33.96</v>
      </c>
      <c r="H11" s="1108">
        <v>32.58</v>
      </c>
      <c r="I11" s="1109">
        <v>35.96</v>
      </c>
      <c r="J11" s="79"/>
      <c r="K11" s="190">
        <f>I11-I10</f>
        <v>-1.9999999999996021E-2</v>
      </c>
    </row>
    <row r="12" spans="1:14">
      <c r="A12" s="1215">
        <v>44949</v>
      </c>
      <c r="B12" s="1211">
        <v>36.61</v>
      </c>
      <c r="C12" s="1209">
        <v>36.03</v>
      </c>
      <c r="D12" s="1209">
        <v>34.619999999999997</v>
      </c>
      <c r="E12" s="1210">
        <v>36.56</v>
      </c>
      <c r="F12" s="1208">
        <v>35.47</v>
      </c>
      <c r="G12" s="1209">
        <v>35.020000000000003</v>
      </c>
      <c r="H12" s="1209">
        <v>33.630000000000003</v>
      </c>
      <c r="I12" s="1210">
        <v>35.54</v>
      </c>
      <c r="J12" s="79"/>
      <c r="K12" s="190">
        <f>I12-I11</f>
        <v>-0.42000000000000171</v>
      </c>
    </row>
    <row r="13" spans="1:14" ht="13.5" thickBot="1">
      <c r="A13" s="1110">
        <v>44956</v>
      </c>
      <c r="B13" s="1107">
        <v>37.24</v>
      </c>
      <c r="C13" s="1108">
        <v>36.61</v>
      </c>
      <c r="D13" s="1108">
        <v>35.21</v>
      </c>
      <c r="E13" s="1109">
        <v>37.119999999999997</v>
      </c>
      <c r="F13" s="1107">
        <v>36.17</v>
      </c>
      <c r="G13" s="1108">
        <v>35.659999999999997</v>
      </c>
      <c r="H13" s="1108">
        <v>34.26</v>
      </c>
      <c r="I13" s="1109">
        <v>36.18</v>
      </c>
      <c r="J13" s="79"/>
    </row>
    <row r="14" spans="1:14" ht="13.5" thickBot="1">
      <c r="A14" s="1212" t="s">
        <v>7</v>
      </c>
      <c r="B14" s="1213">
        <f>AVERAGE(B9:B13)</f>
        <v>35.756000000000007</v>
      </c>
      <c r="C14" s="1213">
        <f t="shared" ref="C14:I14" si="0">AVERAGE(C9:C13)</f>
        <v>35.120000000000005</v>
      </c>
      <c r="D14" s="1213">
        <f t="shared" si="0"/>
        <v>33.696000000000005</v>
      </c>
      <c r="E14" s="1213">
        <f t="shared" si="0"/>
        <v>36.782000000000004</v>
      </c>
      <c r="F14" s="1213">
        <f t="shared" si="0"/>
        <v>34.616</v>
      </c>
      <c r="G14" s="1213">
        <f t="shared" si="0"/>
        <v>34.1</v>
      </c>
      <c r="H14" s="1213">
        <f t="shared" si="0"/>
        <v>32.697999999999993</v>
      </c>
      <c r="I14" s="1214">
        <f t="shared" si="0"/>
        <v>35.793999999999997</v>
      </c>
      <c r="J14" s="79"/>
      <c r="K14" s="767" t="s">
        <v>148</v>
      </c>
    </row>
    <row r="15" spans="1:14">
      <c r="A15" s="566">
        <v>44963</v>
      </c>
      <c r="B15" s="1032">
        <v>36.4</v>
      </c>
      <c r="C15" s="1033">
        <v>35.94</v>
      </c>
      <c r="D15" s="1033">
        <v>34.479999999999997</v>
      </c>
      <c r="E15" s="1034">
        <v>36.299999999999997</v>
      </c>
      <c r="F15" s="1036">
        <v>35.22</v>
      </c>
      <c r="G15" s="1035">
        <v>34.94</v>
      </c>
      <c r="H15" s="1035">
        <v>33.49</v>
      </c>
      <c r="I15" s="1037">
        <v>35.29</v>
      </c>
      <c r="J15" s="79"/>
      <c r="L15">
        <v>35.94</v>
      </c>
      <c r="M15">
        <v>34.479999999999997</v>
      </c>
      <c r="N15">
        <v>36.299999999999997</v>
      </c>
    </row>
    <row r="16" spans="1:14">
      <c r="A16" s="1207">
        <v>44970</v>
      </c>
      <c r="B16" s="1211">
        <v>35.75</v>
      </c>
      <c r="C16" s="1209">
        <v>35.15</v>
      </c>
      <c r="D16" s="1209">
        <v>33.67</v>
      </c>
      <c r="E16" s="1210">
        <v>34.51</v>
      </c>
      <c r="F16" s="1208">
        <v>34.67</v>
      </c>
      <c r="G16" s="1209">
        <v>34.229999999999997</v>
      </c>
      <c r="H16" s="1209">
        <v>32.74</v>
      </c>
      <c r="I16" s="1210">
        <v>33.54</v>
      </c>
      <c r="J16" s="79"/>
    </row>
    <row r="17" spans="1:15">
      <c r="A17" s="10">
        <v>44977</v>
      </c>
      <c r="B17" s="1107">
        <v>35.15</v>
      </c>
      <c r="C17" s="1108">
        <v>34.700000000000003</v>
      </c>
      <c r="D17" s="1108">
        <v>33.19</v>
      </c>
      <c r="E17" s="1109">
        <v>33.11</v>
      </c>
      <c r="F17" s="1107">
        <v>34.17</v>
      </c>
      <c r="G17" s="1108">
        <v>33.74</v>
      </c>
      <c r="H17" s="1108">
        <v>32.24</v>
      </c>
      <c r="I17" s="1109">
        <v>32.14</v>
      </c>
      <c r="J17" s="79"/>
    </row>
    <row r="18" spans="1:15" ht="13.5" thickBot="1">
      <c r="A18" s="1207">
        <v>44984</v>
      </c>
      <c r="B18" s="1211">
        <v>34.869999999999997</v>
      </c>
      <c r="C18" s="1209">
        <v>34.31</v>
      </c>
      <c r="D18" s="1209">
        <v>32.78</v>
      </c>
      <c r="E18" s="1210">
        <v>32.08</v>
      </c>
      <c r="F18" s="1208">
        <v>33.78</v>
      </c>
      <c r="G18" s="1209">
        <v>33.33</v>
      </c>
      <c r="H18" s="1209">
        <v>31.84</v>
      </c>
      <c r="I18" s="1210">
        <v>31.11</v>
      </c>
      <c r="J18" s="79"/>
    </row>
    <row r="19" spans="1:15" ht="13.5" thickBot="1">
      <c r="A19" s="1250" t="s">
        <v>7</v>
      </c>
      <c r="B19" s="1251">
        <f t="shared" ref="B19:I19" si="1">AVERAGE(B15:B18)</f>
        <v>35.542500000000004</v>
      </c>
      <c r="C19" s="1251">
        <f t="shared" si="1"/>
        <v>35.025000000000006</v>
      </c>
      <c r="D19" s="1251">
        <f t="shared" si="1"/>
        <v>33.53</v>
      </c>
      <c r="E19" s="1251">
        <f t="shared" si="1"/>
        <v>34</v>
      </c>
      <c r="F19" s="1251">
        <f t="shared" si="1"/>
        <v>34.46</v>
      </c>
      <c r="G19" s="1251">
        <f t="shared" si="1"/>
        <v>34.06</v>
      </c>
      <c r="H19" s="1251">
        <f t="shared" si="1"/>
        <v>32.577500000000001</v>
      </c>
      <c r="I19" s="1251">
        <f t="shared" si="1"/>
        <v>33.019999999999996</v>
      </c>
      <c r="J19" s="79"/>
    </row>
    <row r="20" spans="1:15">
      <c r="A20" s="1255">
        <v>44991</v>
      </c>
      <c r="B20" s="1032">
        <v>34.82</v>
      </c>
      <c r="C20" s="1033">
        <v>34.28</v>
      </c>
      <c r="D20" s="1033">
        <v>32.76</v>
      </c>
      <c r="E20" s="1034">
        <v>31.99</v>
      </c>
      <c r="F20" s="1256">
        <v>33.770000000000003</v>
      </c>
      <c r="G20" s="1033">
        <v>33.299999999999997</v>
      </c>
      <c r="H20" s="1033">
        <v>31.8</v>
      </c>
      <c r="I20" s="1257">
        <v>31.01</v>
      </c>
      <c r="J20" s="79"/>
    </row>
    <row r="21" spans="1:15">
      <c r="A21" s="1258">
        <v>44998</v>
      </c>
      <c r="B21" s="1208">
        <v>35.340000000000003</v>
      </c>
      <c r="C21" s="1209">
        <v>34.76</v>
      </c>
      <c r="D21" s="1209">
        <v>33.159999999999997</v>
      </c>
      <c r="E21" s="1210">
        <v>32.01</v>
      </c>
      <c r="F21" s="1211">
        <v>34.270000000000003</v>
      </c>
      <c r="G21" s="1209">
        <v>33.770000000000003</v>
      </c>
      <c r="H21" s="1209">
        <v>32.18</v>
      </c>
      <c r="I21" s="1210">
        <v>31.01</v>
      </c>
      <c r="J21" s="79"/>
    </row>
    <row r="22" spans="1:15">
      <c r="A22" s="764">
        <v>45005</v>
      </c>
      <c r="B22" s="1263">
        <v>34.6</v>
      </c>
      <c r="C22" s="1035">
        <v>34.06</v>
      </c>
      <c r="D22" s="1035">
        <v>32.450000000000003</v>
      </c>
      <c r="E22" s="1264">
        <v>31.65</v>
      </c>
      <c r="F22" s="1036">
        <v>33.49</v>
      </c>
      <c r="G22" s="1035">
        <v>33.04</v>
      </c>
      <c r="H22" s="1035">
        <v>31.45</v>
      </c>
      <c r="I22" s="1037">
        <v>30.63</v>
      </c>
      <c r="J22" s="79"/>
    </row>
    <row r="23" spans="1:15" ht="13.5" thickBot="1">
      <c r="A23" s="1259">
        <v>45012</v>
      </c>
      <c r="B23" s="1265">
        <v>35.049999999999997</v>
      </c>
      <c r="C23" s="1261">
        <v>34.479999999999997</v>
      </c>
      <c r="D23" s="1261">
        <v>32.869999999999997</v>
      </c>
      <c r="E23" s="1262">
        <v>31</v>
      </c>
      <c r="F23" s="1260">
        <v>33.97</v>
      </c>
      <c r="G23" s="1261">
        <v>33.49</v>
      </c>
      <c r="H23" s="1261">
        <v>31.88</v>
      </c>
      <c r="I23" s="1262">
        <v>30.01</v>
      </c>
      <c r="J23" s="79"/>
    </row>
    <row r="24" spans="1:15" ht="13.5" thickBot="1">
      <c r="A24" s="1253" t="s">
        <v>7</v>
      </c>
      <c r="B24" s="1223">
        <f t="shared" ref="B24:I24" si="2">AVERAGE(B20:B23)</f>
        <v>34.952500000000001</v>
      </c>
      <c r="C24" s="1223">
        <f t="shared" si="2"/>
        <v>34.394999999999996</v>
      </c>
      <c r="D24" s="1223">
        <f t="shared" si="2"/>
        <v>32.809999999999995</v>
      </c>
      <c r="E24" s="1223">
        <f t="shared" si="2"/>
        <v>31.662500000000001</v>
      </c>
      <c r="F24" s="1223">
        <f t="shared" si="2"/>
        <v>33.875</v>
      </c>
      <c r="G24" s="1223">
        <f t="shared" si="2"/>
        <v>33.4</v>
      </c>
      <c r="H24" s="1223">
        <f t="shared" si="2"/>
        <v>31.827500000000001</v>
      </c>
      <c r="I24" s="1223">
        <f t="shared" si="2"/>
        <v>30.665000000000003</v>
      </c>
      <c r="J24" s="79"/>
    </row>
    <row r="25" spans="1:15">
      <c r="A25" s="1255">
        <v>45019</v>
      </c>
      <c r="B25" s="1032">
        <v>36</v>
      </c>
      <c r="C25" s="1033">
        <v>35.450000000000003</v>
      </c>
      <c r="D25" s="1033">
        <v>33.83</v>
      </c>
      <c r="E25" s="1034">
        <v>31.02</v>
      </c>
      <c r="F25" s="1256">
        <v>34.93</v>
      </c>
      <c r="G25" s="1033">
        <v>34.46</v>
      </c>
      <c r="H25" s="1033">
        <v>32.86</v>
      </c>
      <c r="I25" s="1257">
        <v>30.02</v>
      </c>
      <c r="J25" s="79"/>
    </row>
    <row r="26" spans="1:15">
      <c r="A26" s="1258">
        <v>45026</v>
      </c>
      <c r="B26" s="1208">
        <v>36.53</v>
      </c>
      <c r="C26" s="1209">
        <v>35.99</v>
      </c>
      <c r="D26" s="1209">
        <v>34.39</v>
      </c>
      <c r="E26" s="1210">
        <v>31.01</v>
      </c>
      <c r="F26" s="1211">
        <v>35.49</v>
      </c>
      <c r="G26" s="1209">
        <v>34.99</v>
      </c>
      <c r="H26" s="1209">
        <v>33.4</v>
      </c>
      <c r="I26" s="1210">
        <v>30</v>
      </c>
      <c r="J26" s="79"/>
    </row>
    <row r="27" spans="1:15">
      <c r="A27" s="764">
        <v>45033</v>
      </c>
      <c r="B27" s="1263">
        <v>37.549999999999997</v>
      </c>
      <c r="C27" s="1035">
        <v>36.979999999999997</v>
      </c>
      <c r="D27" s="1035">
        <v>35.340000000000003</v>
      </c>
      <c r="E27" s="1264">
        <v>30.78</v>
      </c>
      <c r="F27" s="1036">
        <v>36.479999999999997</v>
      </c>
      <c r="G27" s="1035">
        <v>35.979999999999997</v>
      </c>
      <c r="H27" s="1035">
        <v>34.36</v>
      </c>
      <c r="I27" s="1037">
        <v>29.78</v>
      </c>
      <c r="J27" s="79"/>
    </row>
    <row r="28" spans="1:15" ht="13.5" thickBot="1">
      <c r="A28" s="1259">
        <v>45040</v>
      </c>
      <c r="B28" s="1265">
        <v>37.4</v>
      </c>
      <c r="C28" s="1261">
        <v>36.880000000000003</v>
      </c>
      <c r="D28" s="1261">
        <v>35.270000000000003</v>
      </c>
      <c r="E28" s="1262">
        <v>30.26</v>
      </c>
      <c r="F28" s="1260">
        <v>36.409999999999997</v>
      </c>
      <c r="G28" s="1261">
        <v>35.909999999999997</v>
      </c>
      <c r="H28" s="1261">
        <v>34.31</v>
      </c>
      <c r="I28" s="1262">
        <v>29.32</v>
      </c>
      <c r="J28" s="79"/>
    </row>
    <row r="29" spans="1:15" ht="13.5" thickBot="1">
      <c r="A29" s="1253" t="s">
        <v>7</v>
      </c>
      <c r="B29" s="1223">
        <f t="shared" ref="B29:I29" si="3">AVERAGE(B25:B28)</f>
        <v>36.869999999999997</v>
      </c>
      <c r="C29" s="1223">
        <f t="shared" si="3"/>
        <v>36.324999999999996</v>
      </c>
      <c r="D29" s="1223">
        <f t="shared" si="3"/>
        <v>34.707500000000003</v>
      </c>
      <c r="E29" s="1223">
        <f t="shared" si="3"/>
        <v>30.767500000000002</v>
      </c>
      <c r="F29" s="1223">
        <f t="shared" si="3"/>
        <v>35.827500000000001</v>
      </c>
      <c r="G29" s="1223">
        <f t="shared" si="3"/>
        <v>35.335000000000001</v>
      </c>
      <c r="H29" s="1223">
        <f t="shared" si="3"/>
        <v>33.732500000000002</v>
      </c>
      <c r="I29" s="1254">
        <f t="shared" si="3"/>
        <v>29.78</v>
      </c>
      <c r="J29" s="79"/>
    </row>
    <row r="30" spans="1:15">
      <c r="A30" s="1110">
        <v>45048</v>
      </c>
      <c r="B30" s="1107">
        <v>36.58</v>
      </c>
      <c r="C30" s="1108">
        <v>36.090000000000003</v>
      </c>
      <c r="D30" s="1108">
        <v>34.47</v>
      </c>
      <c r="E30" s="1109">
        <v>29.47</v>
      </c>
      <c r="F30" s="1111">
        <v>35.47</v>
      </c>
      <c r="G30" s="1112">
        <v>35.08</v>
      </c>
      <c r="H30" s="1112">
        <v>33.46</v>
      </c>
      <c r="I30" s="1113">
        <v>28.43</v>
      </c>
      <c r="J30" s="79"/>
      <c r="L30" s="1108">
        <v>31.89</v>
      </c>
    </row>
    <row r="31" spans="1:15">
      <c r="A31" s="1215">
        <v>45054</v>
      </c>
      <c r="B31" s="1211">
        <v>35.83</v>
      </c>
      <c r="C31" s="1209">
        <v>35.31</v>
      </c>
      <c r="D31" s="1209">
        <v>33.79</v>
      </c>
      <c r="E31" s="1210">
        <v>28.67</v>
      </c>
      <c r="F31" s="1208">
        <v>34.770000000000003</v>
      </c>
      <c r="G31" s="1209">
        <v>34.31</v>
      </c>
      <c r="H31" s="1209">
        <v>32.799999999999997</v>
      </c>
      <c r="I31" s="1210">
        <v>27.68</v>
      </c>
      <c r="J31" s="79"/>
      <c r="L31" s="1209">
        <v>29.97</v>
      </c>
    </row>
    <row r="32" spans="1:15">
      <c r="A32" s="1110">
        <v>45061</v>
      </c>
      <c r="B32" s="1107">
        <v>35.07</v>
      </c>
      <c r="C32" s="1108">
        <v>34.49</v>
      </c>
      <c r="D32" s="1108">
        <v>32.979999999999997</v>
      </c>
      <c r="E32" s="1109">
        <v>28.04</v>
      </c>
      <c r="F32" s="1114">
        <v>33.97</v>
      </c>
      <c r="G32" s="1108">
        <v>33.49</v>
      </c>
      <c r="H32" s="1108">
        <v>31.98</v>
      </c>
      <c r="I32" s="1109">
        <v>27.02</v>
      </c>
      <c r="J32" s="79"/>
      <c r="L32" s="190">
        <f>(L31-L30)</f>
        <v>-1.9200000000000017</v>
      </c>
      <c r="M32" s="190"/>
      <c r="N32" s="190"/>
      <c r="O32" s="190"/>
    </row>
    <row r="33" spans="1:13">
      <c r="A33" s="1215">
        <v>45068</v>
      </c>
      <c r="B33" s="1211">
        <v>34.81</v>
      </c>
      <c r="C33" s="1209">
        <v>34.32</v>
      </c>
      <c r="D33" s="1209">
        <v>32.96</v>
      </c>
      <c r="E33" s="1210">
        <v>28.04</v>
      </c>
      <c r="F33" s="1208">
        <v>33.78</v>
      </c>
      <c r="G33" s="1209">
        <v>33.35</v>
      </c>
      <c r="H33" s="1209">
        <v>31.97</v>
      </c>
      <c r="I33" s="1210">
        <v>27.01</v>
      </c>
      <c r="J33" s="79"/>
      <c r="L33" s="190"/>
      <c r="M33" s="190"/>
    </row>
    <row r="34" spans="1:13" ht="13.5" thickBot="1">
      <c r="A34" s="1110">
        <v>45075</v>
      </c>
      <c r="B34" s="1107">
        <v>34.86</v>
      </c>
      <c r="C34" s="1108">
        <v>34.31</v>
      </c>
      <c r="D34" s="1108">
        <v>32.97</v>
      </c>
      <c r="E34" s="1109">
        <v>27.99</v>
      </c>
      <c r="F34" s="1107">
        <v>33.82</v>
      </c>
      <c r="G34" s="1108">
        <v>33.299999999999997</v>
      </c>
      <c r="H34" s="1108">
        <v>31.99</v>
      </c>
      <c r="I34" s="1109">
        <v>27</v>
      </c>
      <c r="J34" s="79"/>
      <c r="L34" s="190"/>
      <c r="M34" s="190"/>
    </row>
    <row r="35" spans="1:13" ht="15" customHeight="1" thickBot="1">
      <c r="A35" s="1357" t="s">
        <v>7</v>
      </c>
      <c r="B35" s="1358">
        <f t="shared" ref="B35:I35" si="4">AVERAGE(B30:B34)</f>
        <v>35.429999999999993</v>
      </c>
      <c r="C35" s="1358">
        <f t="shared" si="4"/>
        <v>34.904000000000003</v>
      </c>
      <c r="D35" s="1358">
        <f t="shared" si="4"/>
        <v>33.433999999999997</v>
      </c>
      <c r="E35" s="1358">
        <f t="shared" si="4"/>
        <v>28.442</v>
      </c>
      <c r="F35" s="1358">
        <f t="shared" si="4"/>
        <v>34.362000000000002</v>
      </c>
      <c r="G35" s="1358">
        <f t="shared" si="4"/>
        <v>33.905999999999992</v>
      </c>
      <c r="H35" s="1358">
        <f t="shared" si="4"/>
        <v>32.44</v>
      </c>
      <c r="I35" s="1359">
        <f t="shared" si="4"/>
        <v>27.427999999999997</v>
      </c>
      <c r="J35" s="79"/>
      <c r="L35" s="190"/>
      <c r="M35" s="190"/>
    </row>
    <row r="36" spans="1:13" s="548" customFormat="1">
      <c r="A36" s="764">
        <v>45082</v>
      </c>
      <c r="B36" s="1111">
        <v>34.89</v>
      </c>
      <c r="C36" s="1112">
        <v>34.299999999999997</v>
      </c>
      <c r="D36" s="1112">
        <v>32.96</v>
      </c>
      <c r="E36" s="1113">
        <v>27.57</v>
      </c>
      <c r="F36" s="1107">
        <v>33.78</v>
      </c>
      <c r="G36" s="1108">
        <v>33.299999999999997</v>
      </c>
      <c r="H36" s="1108">
        <v>31.97</v>
      </c>
      <c r="I36" s="1108">
        <v>26.56</v>
      </c>
      <c r="L36" s="1354"/>
      <c r="M36" s="1354"/>
    </row>
    <row r="37" spans="1:13" s="548" customFormat="1">
      <c r="A37" s="1418">
        <v>45089</v>
      </c>
      <c r="B37" s="1208">
        <v>34.590000000000003</v>
      </c>
      <c r="C37" s="1209">
        <v>34.11</v>
      </c>
      <c r="D37" s="1209">
        <v>32.770000000000003</v>
      </c>
      <c r="E37" s="1210">
        <v>27.31</v>
      </c>
      <c r="F37" s="1211">
        <v>33.49</v>
      </c>
      <c r="G37" s="1209">
        <v>33.1</v>
      </c>
      <c r="H37" s="1209">
        <v>31.78</v>
      </c>
      <c r="I37" s="1209">
        <v>26.3</v>
      </c>
      <c r="L37" s="1354"/>
      <c r="M37" s="1354"/>
    </row>
    <row r="38" spans="1:13" s="548" customFormat="1">
      <c r="A38" s="764">
        <v>45096</v>
      </c>
      <c r="B38" s="1114">
        <v>34.53</v>
      </c>
      <c r="C38" s="1108">
        <v>34.08</v>
      </c>
      <c r="D38" s="1108">
        <v>32.75</v>
      </c>
      <c r="E38" s="1109">
        <v>27.25</v>
      </c>
      <c r="F38" s="1107">
        <v>33.47</v>
      </c>
      <c r="G38" s="1108">
        <v>33.08</v>
      </c>
      <c r="H38" s="1108">
        <v>31.79</v>
      </c>
      <c r="I38" s="1109">
        <v>26.25</v>
      </c>
      <c r="L38" s="1354"/>
      <c r="M38" s="1354"/>
    </row>
    <row r="39" spans="1:13" s="548" customFormat="1" ht="13.5" thickBot="1">
      <c r="A39" s="1418">
        <v>45104</v>
      </c>
      <c r="B39" s="1265">
        <v>35.700000000000003</v>
      </c>
      <c r="C39" s="1261">
        <v>35.130000000000003</v>
      </c>
      <c r="D39" s="1261">
        <v>33.619999999999997</v>
      </c>
      <c r="E39" s="1262">
        <v>27.98</v>
      </c>
      <c r="F39" s="1211">
        <v>34.67</v>
      </c>
      <c r="G39" s="1209">
        <v>34.159999999999997</v>
      </c>
      <c r="H39" s="1209">
        <v>32.659999999999997</v>
      </c>
      <c r="I39" s="1210">
        <v>27</v>
      </c>
    </row>
    <row r="40" spans="1:13" s="548" customFormat="1" ht="13.5" thickBot="1">
      <c r="A40" s="1357" t="s">
        <v>7</v>
      </c>
      <c r="B40" s="1415">
        <f t="shared" ref="B40:I40" si="5">AVERAGE(B36:B39)</f>
        <v>34.927500000000002</v>
      </c>
      <c r="C40" s="1416">
        <f t="shared" si="5"/>
        <v>34.405000000000001</v>
      </c>
      <c r="D40" s="1416">
        <f t="shared" si="5"/>
        <v>33.024999999999999</v>
      </c>
      <c r="E40" s="1417">
        <f t="shared" si="5"/>
        <v>27.5275</v>
      </c>
      <c r="F40" s="1358">
        <f t="shared" si="5"/>
        <v>33.852500000000006</v>
      </c>
      <c r="G40" s="1358">
        <f t="shared" si="5"/>
        <v>33.409999999999997</v>
      </c>
      <c r="H40" s="1358">
        <f t="shared" si="5"/>
        <v>32.049999999999997</v>
      </c>
      <c r="I40" s="1359">
        <f t="shared" si="5"/>
        <v>26.5275</v>
      </c>
      <c r="L40" s="1354"/>
      <c r="M40" s="1354"/>
    </row>
    <row r="41" spans="1:13" s="548" customFormat="1">
      <c r="A41" s="1110">
        <v>45111</v>
      </c>
      <c r="B41" s="1107">
        <v>35.049999999999997</v>
      </c>
      <c r="C41" s="1108">
        <v>34.49</v>
      </c>
      <c r="D41" s="1108">
        <v>33</v>
      </c>
      <c r="E41" s="1108">
        <v>27.95</v>
      </c>
      <c r="F41" s="1111">
        <v>33.97</v>
      </c>
      <c r="G41" s="1112">
        <v>33.520000000000003</v>
      </c>
      <c r="H41" s="1112">
        <v>32.01</v>
      </c>
      <c r="I41" s="1113">
        <v>26.97</v>
      </c>
      <c r="L41" s="1354"/>
      <c r="M41" s="1354"/>
    </row>
    <row r="42" spans="1:13" s="548" customFormat="1">
      <c r="A42" s="1215">
        <v>45117</v>
      </c>
      <c r="B42" s="1211">
        <v>35.04</v>
      </c>
      <c r="C42" s="1209">
        <v>34.5</v>
      </c>
      <c r="D42" s="1209">
        <v>32.979999999999997</v>
      </c>
      <c r="E42" s="1209">
        <v>27.96</v>
      </c>
      <c r="F42" s="1208">
        <v>33.97</v>
      </c>
      <c r="G42" s="1209">
        <v>33.51</v>
      </c>
      <c r="H42" s="1209">
        <v>32.01</v>
      </c>
      <c r="I42" s="1210">
        <v>26.96</v>
      </c>
    </row>
    <row r="43" spans="1:13" s="548" customFormat="1" ht="13.5" customHeight="1">
      <c r="A43" s="1110">
        <v>45124</v>
      </c>
      <c r="B43" s="1107">
        <v>35.340000000000003</v>
      </c>
      <c r="C43" s="1108">
        <v>34.76</v>
      </c>
      <c r="D43" s="1108">
        <v>33.26</v>
      </c>
      <c r="E43" s="1108">
        <v>28.43</v>
      </c>
      <c r="F43" s="1114">
        <v>34.28</v>
      </c>
      <c r="G43" s="1108">
        <v>33.78</v>
      </c>
      <c r="H43" s="1108">
        <v>32.28</v>
      </c>
      <c r="I43" s="1109">
        <v>27.47</v>
      </c>
    </row>
    <row r="44" spans="1:13" s="548" customFormat="1" ht="13.5" customHeight="1">
      <c r="A44" s="1215">
        <v>45131</v>
      </c>
      <c r="B44" s="1211">
        <v>36.340000000000003</v>
      </c>
      <c r="C44" s="1209">
        <v>35.76</v>
      </c>
      <c r="D44" s="1209">
        <v>34.26</v>
      </c>
      <c r="E44" s="1209">
        <v>29.46</v>
      </c>
      <c r="F44" s="1208">
        <v>35.29</v>
      </c>
      <c r="G44" s="1209">
        <v>34.78</v>
      </c>
      <c r="H44" s="1209">
        <v>33.28</v>
      </c>
      <c r="I44" s="1210">
        <v>28.47</v>
      </c>
    </row>
    <row r="45" spans="1:13" s="548" customFormat="1" ht="13.5" thickBot="1">
      <c r="A45" s="1110">
        <v>45138</v>
      </c>
      <c r="B45" s="1107">
        <v>37.54</v>
      </c>
      <c r="C45" s="1108">
        <v>37.26</v>
      </c>
      <c r="D45" s="1108">
        <v>35.75</v>
      </c>
      <c r="E45" s="1108">
        <v>30.72</v>
      </c>
      <c r="F45" s="1115">
        <v>36.479999999999997</v>
      </c>
      <c r="G45" s="1117">
        <v>36.28</v>
      </c>
      <c r="H45" s="1117">
        <v>34.770000000000003</v>
      </c>
      <c r="I45" s="1118">
        <v>29.68</v>
      </c>
    </row>
    <row r="46" spans="1:13" s="548" customFormat="1" ht="13.5" thickBot="1">
      <c r="A46" s="1212" t="s">
        <v>7</v>
      </c>
      <c r="B46" s="1213">
        <f>AVERAGE(B41:B45)</f>
        <v>35.862000000000002</v>
      </c>
      <c r="C46" s="1213">
        <f t="shared" ref="C46:I46" si="6">AVERAGE(C41:C45)</f>
        <v>35.353999999999999</v>
      </c>
      <c r="D46" s="1213">
        <f t="shared" si="6"/>
        <v>33.849999999999994</v>
      </c>
      <c r="E46" s="1213">
        <f t="shared" si="6"/>
        <v>28.904000000000003</v>
      </c>
      <c r="F46" s="1213">
        <f>AVERAGE(F41:F45)</f>
        <v>34.797999999999995</v>
      </c>
      <c r="G46" s="1213">
        <f t="shared" si="6"/>
        <v>34.374000000000002</v>
      </c>
      <c r="H46" s="1213">
        <f t="shared" si="6"/>
        <v>32.869999999999997</v>
      </c>
      <c r="I46" s="1213">
        <f t="shared" si="6"/>
        <v>27.910000000000004</v>
      </c>
    </row>
    <row r="47" spans="1:13" s="548" customFormat="1">
      <c r="A47" s="1110">
        <v>45145</v>
      </c>
      <c r="B47" s="1360">
        <v>39.07</v>
      </c>
      <c r="C47" s="1361">
        <v>38.47</v>
      </c>
      <c r="D47" s="1361">
        <v>36.97</v>
      </c>
      <c r="E47" s="1361">
        <v>31.97</v>
      </c>
      <c r="F47" s="1111">
        <v>37.97</v>
      </c>
      <c r="G47" s="1112">
        <v>37.47</v>
      </c>
      <c r="H47" s="1112">
        <v>35.97</v>
      </c>
      <c r="I47" s="1113">
        <v>30.97</v>
      </c>
    </row>
    <row r="48" spans="1:13" s="548" customFormat="1">
      <c r="A48" s="1215">
        <v>45152</v>
      </c>
      <c r="B48" s="1426">
        <v>39.06</v>
      </c>
      <c r="C48" s="1362">
        <v>38.479999999999997</v>
      </c>
      <c r="D48" s="1362">
        <v>36.96</v>
      </c>
      <c r="E48" s="1210">
        <v>32.9</v>
      </c>
      <c r="F48" s="1208">
        <v>37.97</v>
      </c>
      <c r="G48" s="1362">
        <v>37.47</v>
      </c>
      <c r="H48" s="1362">
        <v>35.97</v>
      </c>
      <c r="I48" s="1210">
        <v>31.89</v>
      </c>
    </row>
    <row r="49" spans="1:15" s="548" customFormat="1">
      <c r="A49" s="1110">
        <v>45160</v>
      </c>
      <c r="B49" s="1363">
        <v>38.67</v>
      </c>
      <c r="C49" s="1364">
        <v>38.18</v>
      </c>
      <c r="D49" s="1364">
        <v>36.67</v>
      </c>
      <c r="E49" s="1364">
        <v>32.67</v>
      </c>
      <c r="F49" s="1038">
        <v>37.53</v>
      </c>
      <c r="G49" s="1364">
        <v>37.159999999999997</v>
      </c>
      <c r="H49" s="1364">
        <v>35.659999999999997</v>
      </c>
      <c r="I49" s="1037">
        <v>31.65</v>
      </c>
    </row>
    <row r="50" spans="1:15" s="548" customFormat="1" ht="13.5" thickBot="1">
      <c r="A50" s="1215">
        <v>45166</v>
      </c>
      <c r="B50" s="1208">
        <v>38.840000000000003</v>
      </c>
      <c r="C50" s="1362">
        <v>38.29</v>
      </c>
      <c r="D50" s="1362">
        <v>36.770000000000003</v>
      </c>
      <c r="E50" s="1210">
        <v>33.909999999999997</v>
      </c>
      <c r="F50" s="1208">
        <v>37.770000000000003</v>
      </c>
      <c r="G50" s="1362">
        <v>37.26</v>
      </c>
      <c r="H50" s="1362">
        <v>35.76</v>
      </c>
      <c r="I50" s="1210">
        <v>32.9</v>
      </c>
    </row>
    <row r="51" spans="1:15" s="548" customFormat="1" ht="13.5" thickBot="1">
      <c r="A51" s="1212" t="s">
        <v>7</v>
      </c>
      <c r="B51" s="1213">
        <f t="shared" ref="B51:I51" si="7">AVERAGE(B47:B50)</f>
        <v>38.909999999999997</v>
      </c>
      <c r="C51" s="1213">
        <f t="shared" si="7"/>
        <v>38.354999999999997</v>
      </c>
      <c r="D51" s="1213">
        <f t="shared" si="7"/>
        <v>36.842500000000001</v>
      </c>
      <c r="E51" s="1213">
        <f t="shared" si="7"/>
        <v>32.862499999999997</v>
      </c>
      <c r="F51" s="1213">
        <f t="shared" si="7"/>
        <v>37.81</v>
      </c>
      <c r="G51" s="1213">
        <f t="shared" si="7"/>
        <v>37.339999999999996</v>
      </c>
      <c r="H51" s="1213">
        <f t="shared" si="7"/>
        <v>35.839999999999996</v>
      </c>
      <c r="I51" s="1213">
        <f t="shared" si="7"/>
        <v>31.852499999999999</v>
      </c>
    </row>
    <row r="52" spans="1:15" s="548" customFormat="1">
      <c r="A52" s="1110">
        <v>45173</v>
      </c>
      <c r="B52" s="1360">
        <v>38.81</v>
      </c>
      <c r="C52" s="1361">
        <v>38.28</v>
      </c>
      <c r="D52" s="1361">
        <v>36.76</v>
      </c>
      <c r="E52" s="1361">
        <v>33.82</v>
      </c>
      <c r="F52" s="1111">
        <v>37.770000000000003</v>
      </c>
      <c r="G52" s="1112">
        <v>37.28</v>
      </c>
      <c r="H52" s="1112">
        <v>35.770000000000003</v>
      </c>
      <c r="I52" s="1113">
        <v>32.82</v>
      </c>
    </row>
    <row r="53" spans="1:15" s="548" customFormat="1">
      <c r="A53" s="1215">
        <v>45180</v>
      </c>
      <c r="B53" s="1208">
        <v>38.46</v>
      </c>
      <c r="C53" s="1362">
        <v>37.93</v>
      </c>
      <c r="D53" s="1362">
        <v>36.409999999999997</v>
      </c>
      <c r="E53" s="1210">
        <v>33.47</v>
      </c>
      <c r="F53" s="1208">
        <v>37.35</v>
      </c>
      <c r="G53" s="1362">
        <v>36.909999999999997</v>
      </c>
      <c r="H53" s="1362">
        <v>35.42</v>
      </c>
      <c r="I53" s="1210">
        <v>32.520000000000003</v>
      </c>
    </row>
    <row r="54" spans="1:15" s="548" customFormat="1">
      <c r="A54" s="1110">
        <v>45187</v>
      </c>
      <c r="B54" s="1363">
        <v>38.46</v>
      </c>
      <c r="C54" s="1364">
        <v>37.92</v>
      </c>
      <c r="D54" s="1364">
        <v>36.409999999999997</v>
      </c>
      <c r="E54" s="1364">
        <v>34.909999999999997</v>
      </c>
      <c r="F54" s="1038">
        <v>37.369999999999997</v>
      </c>
      <c r="G54" s="1364">
        <v>36.880000000000003</v>
      </c>
      <c r="H54" s="1364">
        <v>35.4</v>
      </c>
      <c r="I54" s="1037">
        <v>33.909999999999997</v>
      </c>
      <c r="L54" s="1039"/>
      <c r="M54" s="1039"/>
      <c r="N54" s="1039"/>
      <c r="O54" s="1039"/>
    </row>
    <row r="55" spans="1:15" s="548" customFormat="1" ht="13.5" thickBot="1">
      <c r="A55" s="1215">
        <v>45194</v>
      </c>
      <c r="B55" s="1208">
        <v>38.94</v>
      </c>
      <c r="C55" s="1362">
        <v>38.340000000000003</v>
      </c>
      <c r="D55" s="1362">
        <v>36.82</v>
      </c>
      <c r="E55" s="1210">
        <v>35.630000000000003</v>
      </c>
      <c r="F55" s="1208">
        <v>37.869999999999997</v>
      </c>
      <c r="G55" s="1362">
        <v>37.31</v>
      </c>
      <c r="H55" s="1362">
        <v>35.82</v>
      </c>
      <c r="I55" s="1210">
        <v>34.6</v>
      </c>
      <c r="L55" s="548">
        <v>11</v>
      </c>
    </row>
    <row r="56" spans="1:15" s="548" customFormat="1" ht="13.5" thickBot="1">
      <c r="A56" s="1212" t="s">
        <v>7</v>
      </c>
      <c r="B56" s="1213">
        <f>AVERAGE(B52:B55)</f>
        <v>38.667500000000004</v>
      </c>
      <c r="C56" s="1213">
        <f t="shared" ref="C56:I56" si="8">AVERAGE(C52:C55)</f>
        <v>38.117500000000007</v>
      </c>
      <c r="D56" s="1213">
        <f t="shared" si="8"/>
        <v>36.599999999999994</v>
      </c>
      <c r="E56" s="1213">
        <f t="shared" si="8"/>
        <v>34.457499999999996</v>
      </c>
      <c r="F56" s="1213">
        <f t="shared" si="8"/>
        <v>37.590000000000003</v>
      </c>
      <c r="G56" s="1213">
        <f t="shared" si="8"/>
        <v>37.094999999999999</v>
      </c>
      <c r="H56" s="1213">
        <f t="shared" si="8"/>
        <v>35.602499999999999</v>
      </c>
      <c r="I56" s="1213">
        <f t="shared" si="8"/>
        <v>33.462499999999999</v>
      </c>
      <c r="J56" s="651"/>
      <c r="K56" s="1039"/>
      <c r="L56" s="1039">
        <v>30</v>
      </c>
      <c r="M56" s="1039"/>
      <c r="N56" s="1039"/>
    </row>
    <row r="57" spans="1:15" s="548" customFormat="1">
      <c r="A57" s="1110">
        <v>45201</v>
      </c>
      <c r="B57" s="1111">
        <v>38.119999999999997</v>
      </c>
      <c r="C57" s="1112">
        <v>37.68</v>
      </c>
      <c r="D57" s="1112">
        <v>36.18</v>
      </c>
      <c r="E57" s="1113">
        <v>35.479999999999997</v>
      </c>
      <c r="F57" s="1224">
        <v>36.979999999999997</v>
      </c>
      <c r="G57" s="1112">
        <v>36.619999999999997</v>
      </c>
      <c r="H57" s="1112">
        <v>35.119999999999997</v>
      </c>
      <c r="I57" s="1113">
        <v>34.42</v>
      </c>
      <c r="J57" s="651"/>
      <c r="L57" s="548">
        <v>38</v>
      </c>
    </row>
    <row r="58" spans="1:15" s="548" customFormat="1">
      <c r="A58" s="1215">
        <v>45208</v>
      </c>
      <c r="B58" s="1208">
        <v>37.29</v>
      </c>
      <c r="C58" s="1209">
        <v>36.700000000000003</v>
      </c>
      <c r="D58" s="1209">
        <v>35.21</v>
      </c>
      <c r="E58" s="1210">
        <v>34.94</v>
      </c>
      <c r="F58" s="1211">
        <v>36.19</v>
      </c>
      <c r="G58" s="1362">
        <v>35.659999999999997</v>
      </c>
      <c r="H58" s="1362">
        <v>34.159999999999997</v>
      </c>
      <c r="I58" s="1210">
        <v>33.96</v>
      </c>
      <c r="J58" s="651"/>
      <c r="L58" s="548" cm="1">
        <f t="array" ref="L58:L60">+(L55:L57)</f>
        <v>11</v>
      </c>
    </row>
    <row r="59" spans="1:15" s="548" customFormat="1">
      <c r="A59" s="1110">
        <v>45215</v>
      </c>
      <c r="B59" s="1114">
        <v>37.299999999999997</v>
      </c>
      <c r="C59" s="1108">
        <v>36.79</v>
      </c>
      <c r="D59" s="1108">
        <v>35.28</v>
      </c>
      <c r="E59" s="1109">
        <v>35.03</v>
      </c>
      <c r="F59" s="1360">
        <v>36.17</v>
      </c>
      <c r="G59" s="1361">
        <v>35.75</v>
      </c>
      <c r="H59" s="1361">
        <v>34.25</v>
      </c>
      <c r="I59" s="1361">
        <v>33.99</v>
      </c>
      <c r="J59" s="651"/>
      <c r="L59" s="548">
        <v>30</v>
      </c>
    </row>
    <row r="60" spans="1:15" s="548" customFormat="1">
      <c r="A60" s="1215">
        <v>45222</v>
      </c>
      <c r="B60" s="1208">
        <v>36.79</v>
      </c>
      <c r="C60" s="1209">
        <v>36.36</v>
      </c>
      <c r="D60" s="1209">
        <v>34.840000000000003</v>
      </c>
      <c r="E60" s="1210">
        <v>34.409999999999997</v>
      </c>
      <c r="F60" s="1208">
        <v>35.69</v>
      </c>
      <c r="G60" s="1209">
        <v>35.33</v>
      </c>
      <c r="H60" s="1209">
        <v>33.83</v>
      </c>
      <c r="I60" s="1210">
        <v>33.409999999999997</v>
      </c>
      <c r="J60" s="651"/>
      <c r="L60" s="548">
        <v>38</v>
      </c>
    </row>
    <row r="61" spans="1:15" s="548" customFormat="1" ht="13.5" thickBot="1">
      <c r="A61" s="1110">
        <v>45229</v>
      </c>
      <c r="B61" s="1115">
        <v>36</v>
      </c>
      <c r="C61" s="1117">
        <v>35.520000000000003</v>
      </c>
      <c r="D61" s="1117">
        <v>33.979999999999997</v>
      </c>
      <c r="E61" s="1118">
        <v>33.770000000000003</v>
      </c>
      <c r="F61" s="1115">
        <v>34.97</v>
      </c>
      <c r="G61" s="1117">
        <v>34.520000000000003</v>
      </c>
      <c r="H61" s="1117">
        <v>32.99</v>
      </c>
      <c r="I61" s="1118">
        <v>32.799999999999997</v>
      </c>
      <c r="J61" s="1355"/>
      <c r="N61" s="548">
        <v>1</v>
      </c>
    </row>
    <row r="62" spans="1:15" s="548" customFormat="1" ht="13.5" thickBot="1">
      <c r="A62" s="1212" t="s">
        <v>7</v>
      </c>
      <c r="B62" s="1213">
        <f t="shared" ref="B62:I62" si="9">AVERAGE(B57:B61)</f>
        <v>37.1</v>
      </c>
      <c r="C62" s="1213">
        <f t="shared" si="9"/>
        <v>36.61</v>
      </c>
      <c r="D62" s="1213">
        <f t="shared" si="9"/>
        <v>35.097999999999999</v>
      </c>
      <c r="E62" s="1213">
        <f t="shared" si="9"/>
        <v>34.725999999999999</v>
      </c>
      <c r="F62" s="1213">
        <f t="shared" si="9"/>
        <v>35.999999999999993</v>
      </c>
      <c r="G62" s="1213">
        <f t="shared" si="9"/>
        <v>35.576000000000008</v>
      </c>
      <c r="H62" s="1213">
        <f t="shared" si="9"/>
        <v>34.070000000000007</v>
      </c>
      <c r="I62" s="1213">
        <f t="shared" si="9"/>
        <v>33.715999999999994</v>
      </c>
      <c r="J62" s="651"/>
    </row>
    <row r="63" spans="1:15" s="548" customFormat="1">
      <c r="A63" s="1110">
        <v>45236</v>
      </c>
      <c r="B63" s="1360">
        <v>34.15</v>
      </c>
      <c r="C63" s="1361">
        <v>33.869999999999997</v>
      </c>
      <c r="D63" s="1361">
        <v>32.369999999999997</v>
      </c>
      <c r="E63" s="1361">
        <v>33.299999999999997</v>
      </c>
      <c r="F63" s="1111">
        <v>32.99</v>
      </c>
      <c r="G63" s="1112">
        <v>32.79</v>
      </c>
      <c r="H63" s="1112">
        <v>31.28</v>
      </c>
      <c r="I63" s="1113">
        <v>32.31</v>
      </c>
      <c r="J63" s="651"/>
    </row>
    <row r="64" spans="1:15" s="548" customFormat="1">
      <c r="A64" s="1215">
        <v>45243</v>
      </c>
      <c r="B64" s="1208">
        <v>32.9</v>
      </c>
      <c r="C64" s="1362">
        <v>32.369999999999997</v>
      </c>
      <c r="D64" s="1362">
        <v>30.87</v>
      </c>
      <c r="E64" s="1210">
        <v>32.590000000000003</v>
      </c>
      <c r="F64" s="1208">
        <v>31.78</v>
      </c>
      <c r="G64" s="1362">
        <v>31.34</v>
      </c>
      <c r="H64" s="1362">
        <v>29.85</v>
      </c>
      <c r="I64" s="1210">
        <v>31.61</v>
      </c>
      <c r="J64" s="651"/>
    </row>
    <row r="65" spans="1:10" s="548" customFormat="1" ht="13.5" customHeight="1">
      <c r="A65" s="1110">
        <v>45250</v>
      </c>
      <c r="B65" s="1363">
        <v>31.02</v>
      </c>
      <c r="C65" s="1364">
        <v>31.03</v>
      </c>
      <c r="D65" s="1364">
        <v>29.49</v>
      </c>
      <c r="E65" s="1364">
        <v>31.6</v>
      </c>
      <c r="F65" s="1038">
        <v>30.47</v>
      </c>
      <c r="G65" s="1364">
        <v>29.99</v>
      </c>
      <c r="H65" s="1364">
        <v>28.52</v>
      </c>
      <c r="I65" s="1037">
        <v>30.58</v>
      </c>
      <c r="J65" s="651"/>
    </row>
    <row r="66" spans="1:10" s="548" customFormat="1" ht="13.5" thickBot="1">
      <c r="A66" s="1215">
        <v>45257</v>
      </c>
      <c r="B66" s="1208">
        <v>31.55</v>
      </c>
      <c r="C66" s="1362">
        <v>31.01</v>
      </c>
      <c r="D66" s="1362">
        <v>29.49</v>
      </c>
      <c r="E66" s="1210">
        <v>31.01</v>
      </c>
      <c r="F66" s="1208">
        <v>30.47</v>
      </c>
      <c r="G66" s="1362">
        <v>29.98</v>
      </c>
      <c r="H66" s="1362">
        <v>28.49</v>
      </c>
      <c r="I66" s="1210">
        <v>29.97</v>
      </c>
      <c r="J66" s="651"/>
    </row>
    <row r="67" spans="1:10" s="548" customFormat="1" ht="13.5" thickBot="1">
      <c r="A67" s="1212" t="s">
        <v>130</v>
      </c>
      <c r="B67" s="1213">
        <f>AVERAGE(B63:B66)</f>
        <v>32.405000000000001</v>
      </c>
      <c r="C67" s="1213">
        <f t="shared" ref="C67:I67" si="10">AVERAGE(C63:C66)</f>
        <v>32.07</v>
      </c>
      <c r="D67" s="1213">
        <f t="shared" si="10"/>
        <v>30.554999999999996</v>
      </c>
      <c r="E67" s="1213">
        <f t="shared" si="10"/>
        <v>32.125</v>
      </c>
      <c r="F67" s="1213">
        <f t="shared" si="10"/>
        <v>31.427500000000002</v>
      </c>
      <c r="G67" s="1213">
        <f t="shared" si="10"/>
        <v>31.024999999999999</v>
      </c>
      <c r="H67" s="1213">
        <f t="shared" si="10"/>
        <v>29.535</v>
      </c>
      <c r="I67" s="1213">
        <f t="shared" si="10"/>
        <v>31.1175</v>
      </c>
      <c r="J67" s="651"/>
    </row>
    <row r="68" spans="1:10" s="548" customFormat="1" ht="12.75" customHeight="1">
      <c r="A68" s="1110">
        <v>45264</v>
      </c>
      <c r="B68" s="1360">
        <v>31.55</v>
      </c>
      <c r="C68" s="1361">
        <v>31.02</v>
      </c>
      <c r="D68" s="1361">
        <v>29.48</v>
      </c>
      <c r="E68" s="1361">
        <v>31.01</v>
      </c>
      <c r="F68" s="1111">
        <v>30.47</v>
      </c>
      <c r="G68" s="1112">
        <v>29.98</v>
      </c>
      <c r="H68" s="1112">
        <v>28.49</v>
      </c>
      <c r="I68" s="1113">
        <v>29.97</v>
      </c>
      <c r="J68" s="651"/>
    </row>
    <row r="69" spans="1:10" s="548" customFormat="1" ht="12.75" customHeight="1">
      <c r="A69" s="1215">
        <v>45271</v>
      </c>
      <c r="B69" s="1208">
        <v>30.63</v>
      </c>
      <c r="C69" s="1362">
        <v>30.19</v>
      </c>
      <c r="D69" s="1362">
        <v>28.66</v>
      </c>
      <c r="E69" s="1210">
        <v>30.17</v>
      </c>
      <c r="F69" s="1208">
        <v>29.49</v>
      </c>
      <c r="G69" s="1362">
        <v>29.13</v>
      </c>
      <c r="H69" s="1362">
        <v>27.65</v>
      </c>
      <c r="I69" s="1210">
        <v>29.11</v>
      </c>
      <c r="J69" s="651"/>
    </row>
    <row r="70" spans="1:10" s="548" customFormat="1" ht="12.75" customHeight="1">
      <c r="A70" s="1110">
        <v>45278</v>
      </c>
      <c r="B70" s="1363">
        <v>30.16</v>
      </c>
      <c r="C70" s="1364">
        <v>29.65</v>
      </c>
      <c r="D70" s="1364">
        <v>28.14</v>
      </c>
      <c r="E70" s="1364">
        <v>29.6</v>
      </c>
      <c r="F70" s="1038">
        <v>28.97</v>
      </c>
      <c r="G70" s="1364">
        <v>28.65</v>
      </c>
      <c r="H70" s="1364">
        <v>27.15</v>
      </c>
      <c r="I70" s="1037">
        <v>28.62</v>
      </c>
      <c r="J70" s="651"/>
    </row>
    <row r="71" spans="1:10" s="548" customFormat="1" ht="12.75" customHeight="1" thickBot="1">
      <c r="A71" s="1215">
        <v>45287</v>
      </c>
      <c r="B71" s="1208">
        <v>32</v>
      </c>
      <c r="C71" s="1362">
        <v>31.42</v>
      </c>
      <c r="D71" s="1362">
        <v>29.91</v>
      </c>
      <c r="E71" s="1210">
        <v>30.44</v>
      </c>
      <c r="F71" s="1208">
        <v>30.97</v>
      </c>
      <c r="G71" s="1362">
        <v>30.44</v>
      </c>
      <c r="H71" s="1362">
        <v>28.95</v>
      </c>
      <c r="I71" s="1210">
        <v>29.47</v>
      </c>
      <c r="J71" s="651"/>
    </row>
    <row r="72" spans="1:10" s="548" customFormat="1" ht="13.5" thickBot="1">
      <c r="A72" s="1212" t="s">
        <v>130</v>
      </c>
      <c r="B72" s="1213">
        <f>AVERAGE(B68:B71)</f>
        <v>31.085000000000001</v>
      </c>
      <c r="C72" s="1213">
        <f t="shared" ref="C72:I72" si="11">AVERAGE(C68:C71)</f>
        <v>30.57</v>
      </c>
      <c r="D72" s="1213">
        <f t="shared" si="11"/>
        <v>29.047499999999999</v>
      </c>
      <c r="E72" s="1213">
        <f t="shared" si="11"/>
        <v>30.305</v>
      </c>
      <c r="F72" s="1213">
        <f t="shared" si="11"/>
        <v>29.974999999999998</v>
      </c>
      <c r="G72" s="1213">
        <f t="shared" si="11"/>
        <v>29.549999999999997</v>
      </c>
      <c r="H72" s="1213">
        <f t="shared" si="11"/>
        <v>28.06</v>
      </c>
      <c r="I72" s="1213">
        <f t="shared" si="11"/>
        <v>29.2925</v>
      </c>
      <c r="J72" s="651"/>
    </row>
    <row r="73" spans="1:10" s="548" customFormat="1">
      <c r="A73" s="651"/>
      <c r="B73" s="651"/>
      <c r="C73" s="651"/>
      <c r="D73" s="651"/>
      <c r="E73" s="651"/>
      <c r="F73" s="651"/>
      <c r="G73" s="651"/>
      <c r="H73" s="651"/>
      <c r="I73" s="651"/>
      <c r="J73" s="651"/>
    </row>
    <row r="74" spans="1:10" s="548" customFormat="1" ht="15">
      <c r="A74" s="651"/>
      <c r="B74" s="1356"/>
      <c r="C74" s="651"/>
      <c r="D74" s="651"/>
      <c r="E74" s="651"/>
      <c r="F74" s="651"/>
      <c r="G74" s="1433"/>
      <c r="H74" s="1433"/>
      <c r="I74" s="1433"/>
      <c r="J74" s="651"/>
    </row>
    <row r="75" spans="1:10">
      <c r="A75" s="127"/>
      <c r="B75" s="127"/>
      <c r="C75" s="127"/>
      <c r="D75" s="127"/>
      <c r="E75" s="127"/>
      <c r="F75" s="127"/>
      <c r="G75" s="127"/>
      <c r="H75" s="127"/>
      <c r="I75" s="127"/>
      <c r="J75" s="127"/>
    </row>
    <row r="76" spans="1:10">
      <c r="A76" s="127"/>
      <c r="B76" s="127"/>
      <c r="C76" s="127"/>
      <c r="D76" s="127"/>
      <c r="E76" s="127"/>
      <c r="F76" s="127"/>
      <c r="G76" s="127"/>
      <c r="H76" s="127"/>
      <c r="I76" s="127"/>
      <c r="J76" s="127"/>
    </row>
    <row r="77" spans="1:10">
      <c r="A77" s="127"/>
      <c r="B77" s="127"/>
      <c r="C77" s="127"/>
      <c r="D77" s="127"/>
      <c r="E77" s="127"/>
      <c r="F77" s="127"/>
      <c r="G77" s="127"/>
      <c r="H77" s="127"/>
      <c r="I77" s="127"/>
      <c r="J77" s="127"/>
    </row>
    <row r="78" spans="1:10">
      <c r="A78" s="127"/>
      <c r="B78" s="127"/>
      <c r="C78" s="127"/>
      <c r="D78" s="127"/>
      <c r="E78" s="127"/>
      <c r="F78" s="127"/>
      <c r="G78" s="127"/>
      <c r="H78" s="127"/>
      <c r="I78" s="127"/>
      <c r="J78" s="127"/>
    </row>
    <row r="79" spans="1:10">
      <c r="A79" s="127"/>
      <c r="B79" s="127"/>
      <c r="C79" s="127"/>
      <c r="D79" s="127"/>
      <c r="E79" s="127"/>
      <c r="F79" s="127"/>
      <c r="G79" s="127"/>
      <c r="H79" s="127"/>
      <c r="I79" s="127"/>
      <c r="J79" s="127"/>
    </row>
    <row r="80" spans="1:10">
      <c r="A80" s="127"/>
      <c r="B80" s="127"/>
      <c r="C80" s="127"/>
      <c r="D80" s="127"/>
      <c r="E80" s="127"/>
      <c r="F80" s="127"/>
      <c r="G80" s="127"/>
      <c r="H80" s="127"/>
      <c r="I80" s="127"/>
      <c r="J80" s="127"/>
    </row>
    <row r="81" spans="1:10">
      <c r="A81" s="127"/>
      <c r="B81" s="127"/>
      <c r="C81" s="127"/>
      <c r="D81" s="127"/>
      <c r="E81" s="127"/>
      <c r="F81" s="127"/>
      <c r="G81" s="127"/>
      <c r="H81" s="127"/>
      <c r="I81" s="127"/>
      <c r="J81" s="127"/>
    </row>
    <row r="82" spans="1:10">
      <c r="A82" s="127"/>
      <c r="B82" s="127"/>
      <c r="C82" s="127"/>
      <c r="D82" s="127"/>
      <c r="E82" s="127"/>
      <c r="F82" s="127"/>
      <c r="G82" s="127"/>
      <c r="H82" s="127"/>
      <c r="I82" s="127"/>
      <c r="J82" s="127"/>
    </row>
    <row r="83" spans="1:10">
      <c r="A83" s="127"/>
      <c r="B83" s="127"/>
      <c r="C83" s="127"/>
      <c r="D83" s="127"/>
      <c r="E83" s="127"/>
      <c r="F83" s="127"/>
      <c r="G83" s="127"/>
      <c r="H83" s="127"/>
      <c r="I83" s="127"/>
      <c r="J83" s="127"/>
    </row>
    <row r="84" spans="1:10">
      <c r="A84" s="127"/>
      <c r="B84" s="127"/>
      <c r="C84" s="127"/>
      <c r="D84" s="127"/>
      <c r="E84" s="127"/>
      <c r="F84" s="127"/>
      <c r="G84" s="127"/>
      <c r="H84" s="127"/>
      <c r="I84" s="127"/>
      <c r="J84" s="127"/>
    </row>
    <row r="85" spans="1:10">
      <c r="A85" s="127"/>
      <c r="B85" s="127"/>
      <c r="C85" s="127"/>
      <c r="D85" s="127"/>
      <c r="E85" s="127"/>
      <c r="F85" s="127"/>
      <c r="G85" s="127"/>
      <c r="H85" s="127"/>
      <c r="I85" s="127"/>
      <c r="J85" s="127"/>
    </row>
    <row r="86" spans="1:10">
      <c r="A86" s="127"/>
      <c r="B86" s="127"/>
      <c r="C86" s="127"/>
      <c r="D86" s="127"/>
      <c r="E86" s="127"/>
      <c r="F86" s="127"/>
      <c r="G86" s="127"/>
      <c r="H86" s="127"/>
      <c r="I86" s="127"/>
      <c r="J86" s="127"/>
    </row>
    <row r="87" spans="1:10">
      <c r="A87" s="127"/>
      <c r="B87" s="127"/>
      <c r="C87" s="127"/>
      <c r="D87" s="127"/>
      <c r="E87" s="127"/>
      <c r="F87" s="127"/>
      <c r="G87" s="127"/>
      <c r="H87" s="127"/>
      <c r="I87" s="127"/>
      <c r="J87" s="127"/>
    </row>
    <row r="88" spans="1:10">
      <c r="A88" s="127"/>
      <c r="B88" s="127"/>
      <c r="C88" s="127"/>
      <c r="D88" s="127"/>
      <c r="E88" s="127"/>
      <c r="F88" s="127"/>
      <c r="G88" s="127"/>
      <c r="H88" s="127"/>
      <c r="I88" s="127"/>
      <c r="J88" s="127"/>
    </row>
    <row r="89" spans="1:10">
      <c r="A89" s="127"/>
      <c r="B89" s="127"/>
      <c r="C89" s="127"/>
      <c r="D89" s="127"/>
      <c r="E89" s="127"/>
      <c r="F89" s="127"/>
      <c r="G89" s="127"/>
      <c r="H89" s="127"/>
      <c r="I89" s="127"/>
      <c r="J89" s="127"/>
    </row>
    <row r="90" spans="1:10">
      <c r="A90" s="127"/>
      <c r="B90" s="127"/>
      <c r="C90" s="127"/>
      <c r="D90" s="127"/>
      <c r="E90" s="127"/>
      <c r="F90" s="127"/>
      <c r="G90" s="127"/>
      <c r="H90" s="127"/>
      <c r="I90" s="127"/>
      <c r="J90" s="127"/>
    </row>
    <row r="91" spans="1:10">
      <c r="A91" s="127"/>
      <c r="B91" s="127"/>
      <c r="C91" s="127"/>
      <c r="D91" s="127"/>
      <c r="E91" s="127"/>
      <c r="F91" s="127"/>
      <c r="G91" s="127"/>
      <c r="H91" s="127"/>
      <c r="I91" s="127"/>
      <c r="J91" s="127"/>
    </row>
    <row r="92" spans="1:10">
      <c r="A92" s="127"/>
      <c r="B92" s="127"/>
      <c r="C92" s="127"/>
      <c r="D92" s="127"/>
      <c r="E92" s="127"/>
      <c r="F92" s="127"/>
      <c r="G92" s="127"/>
      <c r="H92" s="127"/>
      <c r="I92" s="127"/>
      <c r="J92" s="127"/>
    </row>
    <row r="93" spans="1:10">
      <c r="A93" s="127"/>
      <c r="B93" s="127"/>
      <c r="C93" s="127"/>
      <c r="D93" s="127"/>
      <c r="E93" s="127"/>
      <c r="F93" s="127"/>
      <c r="G93" s="127"/>
      <c r="H93" s="127"/>
      <c r="I93" s="127"/>
      <c r="J93" s="127"/>
    </row>
    <row r="94" spans="1:10">
      <c r="A94" s="127"/>
      <c r="B94" s="127"/>
      <c r="C94" s="127"/>
      <c r="D94" s="127"/>
      <c r="E94" s="127"/>
      <c r="F94" s="127"/>
      <c r="G94" s="127"/>
      <c r="H94" s="127"/>
      <c r="I94" s="127"/>
      <c r="J94" s="127"/>
    </row>
    <row r="95" spans="1:10">
      <c r="A95" s="127"/>
      <c r="B95" s="127"/>
      <c r="C95" s="127"/>
      <c r="D95" s="127"/>
      <c r="E95" s="127"/>
      <c r="F95" s="127"/>
      <c r="G95" s="127"/>
      <c r="H95" s="127"/>
      <c r="I95" s="127"/>
      <c r="J95" s="127"/>
    </row>
    <row r="96" spans="1:10">
      <c r="A96" s="127"/>
      <c r="B96" s="127"/>
      <c r="C96" s="127"/>
      <c r="D96" s="127"/>
      <c r="E96" s="127"/>
      <c r="F96" s="127"/>
      <c r="G96" s="127"/>
      <c r="H96" s="127"/>
      <c r="I96" s="127"/>
      <c r="J96" s="127"/>
    </row>
    <row r="97" spans="1:10">
      <c r="A97" s="127"/>
      <c r="B97" s="127"/>
      <c r="C97" s="127"/>
      <c r="D97" s="127"/>
      <c r="E97" s="127"/>
      <c r="F97" s="127"/>
      <c r="G97" s="127"/>
      <c r="H97" s="127"/>
      <c r="I97" s="127"/>
      <c r="J97" s="127"/>
    </row>
    <row r="98" spans="1:10">
      <c r="A98" s="127"/>
      <c r="B98" s="127"/>
      <c r="C98" s="127"/>
      <c r="D98" s="127"/>
      <c r="E98" s="127"/>
      <c r="F98" s="127"/>
      <c r="G98" s="127"/>
      <c r="H98" s="127"/>
      <c r="I98" s="127"/>
      <c r="J98" s="127"/>
    </row>
    <row r="99" spans="1:10">
      <c r="A99" s="127"/>
      <c r="B99" s="127"/>
      <c r="C99" s="127"/>
      <c r="D99" s="127"/>
      <c r="E99" s="127"/>
      <c r="F99" s="127"/>
      <c r="G99" s="127"/>
      <c r="H99" s="127"/>
      <c r="I99" s="127"/>
      <c r="J99" s="127"/>
    </row>
    <row r="100" spans="1:10">
      <c r="A100" s="127"/>
      <c r="B100" s="127"/>
      <c r="C100" s="127"/>
      <c r="D100" s="127"/>
      <c r="E100" s="127"/>
      <c r="F100" s="127"/>
      <c r="G100" s="127"/>
      <c r="H100" s="127"/>
      <c r="I100" s="127"/>
      <c r="J100" s="127"/>
    </row>
    <row r="101" spans="1:10">
      <c r="A101" s="127"/>
      <c r="B101" s="127"/>
      <c r="C101" s="127"/>
      <c r="D101" s="127"/>
      <c r="E101" s="127"/>
      <c r="F101" s="127"/>
      <c r="G101" s="127"/>
      <c r="H101" s="127"/>
      <c r="I101" s="127"/>
      <c r="J101" s="127"/>
    </row>
    <row r="102" spans="1:10">
      <c r="A102" s="127"/>
      <c r="B102" s="127"/>
      <c r="C102" s="127"/>
      <c r="D102" s="127"/>
      <c r="E102" s="127"/>
      <c r="F102" s="127"/>
      <c r="G102" s="127"/>
      <c r="H102" s="127"/>
      <c r="I102" s="127"/>
      <c r="J102" s="127"/>
    </row>
    <row r="103" spans="1:10">
      <c r="A103" s="127"/>
      <c r="B103" s="127"/>
      <c r="C103" s="127"/>
      <c r="D103" s="127"/>
      <c r="E103" s="127"/>
      <c r="F103" s="127"/>
      <c r="G103" s="127"/>
      <c r="H103" s="127"/>
      <c r="I103" s="127"/>
      <c r="J103" s="127"/>
    </row>
    <row r="104" spans="1:10">
      <c r="A104" s="127"/>
      <c r="B104" s="127"/>
      <c r="C104" s="127"/>
      <c r="D104" s="127"/>
      <c r="E104" s="127"/>
      <c r="F104" s="127"/>
      <c r="G104" s="127"/>
      <c r="H104" s="127"/>
      <c r="I104" s="127"/>
      <c r="J104" s="127"/>
    </row>
    <row r="105" spans="1:10">
      <c r="A105" s="127"/>
      <c r="B105" s="127"/>
      <c r="C105" s="127"/>
      <c r="D105" s="127"/>
      <c r="E105" s="127"/>
      <c r="F105" s="127"/>
      <c r="G105" s="127"/>
      <c r="H105" s="127"/>
      <c r="I105" s="127"/>
      <c r="J105" s="127"/>
    </row>
    <row r="106" spans="1:10">
      <c r="A106" s="127"/>
      <c r="B106" s="127"/>
      <c r="C106" s="127"/>
      <c r="D106" s="127"/>
      <c r="E106" s="127"/>
      <c r="F106" s="127"/>
      <c r="G106" s="127"/>
      <c r="H106" s="127"/>
      <c r="I106" s="127"/>
      <c r="J106" s="127"/>
    </row>
    <row r="107" spans="1:10">
      <c r="A107" s="127"/>
      <c r="B107" s="127"/>
      <c r="C107" s="127"/>
      <c r="D107" s="127"/>
      <c r="E107" s="127"/>
      <c r="F107" s="127"/>
      <c r="G107" s="127"/>
      <c r="H107" s="127"/>
      <c r="I107" s="127"/>
      <c r="J107" s="127"/>
    </row>
    <row r="108" spans="1:10">
      <c r="A108" s="127"/>
      <c r="B108" s="127"/>
      <c r="C108" s="127"/>
      <c r="D108" s="127"/>
      <c r="E108" s="127"/>
      <c r="F108" s="127"/>
      <c r="G108" s="127"/>
      <c r="H108" s="127"/>
      <c r="I108" s="127"/>
      <c r="J108" s="127"/>
    </row>
    <row r="109" spans="1:10">
      <c r="A109" s="127"/>
      <c r="B109" s="127"/>
      <c r="C109" s="127"/>
      <c r="D109" s="127"/>
      <c r="E109" s="127"/>
      <c r="F109" s="127"/>
      <c r="G109" s="127"/>
      <c r="H109" s="127"/>
      <c r="I109" s="127"/>
      <c r="J109" s="127"/>
    </row>
  </sheetData>
  <mergeCells count="8">
    <mergeCell ref="B7:E7"/>
    <mergeCell ref="F7:I7"/>
    <mergeCell ref="A1:I1"/>
    <mergeCell ref="A2:I2"/>
    <mergeCell ref="A3:I3"/>
    <mergeCell ref="A4:I4"/>
    <mergeCell ref="A5:I5"/>
    <mergeCell ref="A6:I6"/>
  </mergeCells>
  <pageMargins left="1.6535433070866143" right="0.43307086614173229" top="1.3779527559055118" bottom="0.98425196850393704" header="0" footer="0"/>
  <pageSetup scale="6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G75"/>
  <sheetViews>
    <sheetView view="pageBreakPreview" zoomScale="145" zoomScaleNormal="100" zoomScaleSheetLayoutView="145" workbookViewId="0">
      <selection activeCell="G65" sqref="G65"/>
    </sheetView>
  </sheetViews>
  <sheetFormatPr baseColWidth="10" defaultColWidth="11.42578125" defaultRowHeight="12.75"/>
  <cols>
    <col min="1" max="1" width="11.42578125" customWidth="1"/>
    <col min="3" max="3" width="11.7109375" customWidth="1"/>
  </cols>
  <sheetData>
    <row r="1" spans="1:7" ht="18">
      <c r="A1" s="1497" t="s">
        <v>53</v>
      </c>
      <c r="B1" s="1498"/>
      <c r="C1" s="1498"/>
      <c r="D1" s="1498"/>
      <c r="E1" s="1498"/>
      <c r="F1" s="1498"/>
      <c r="G1" s="1499"/>
    </row>
    <row r="2" spans="1:7" ht="14.25">
      <c r="A2" s="1500" t="s">
        <v>578</v>
      </c>
      <c r="B2" s="1501"/>
      <c r="C2" s="1501"/>
      <c r="D2" s="1501"/>
      <c r="E2" s="1501"/>
      <c r="F2" s="1501"/>
      <c r="G2" s="1502"/>
    </row>
    <row r="3" spans="1:7">
      <c r="A3" s="1506" t="s">
        <v>569</v>
      </c>
      <c r="B3" s="1507"/>
      <c r="C3" s="1507"/>
      <c r="D3" s="1507"/>
      <c r="E3" s="1507"/>
      <c r="F3" s="1507"/>
      <c r="G3" s="1508"/>
    </row>
    <row r="4" spans="1:7" ht="6" customHeight="1">
      <c r="A4" s="22"/>
      <c r="B4" s="75"/>
      <c r="C4" s="75"/>
      <c r="D4" s="75"/>
      <c r="E4" s="75"/>
      <c r="F4" s="75"/>
      <c r="G4" s="340"/>
    </row>
    <row r="5" spans="1:7">
      <c r="A5" s="1506" t="s">
        <v>36</v>
      </c>
      <c r="B5" s="1507"/>
      <c r="C5" s="1507"/>
      <c r="D5" s="1507"/>
      <c r="E5" s="1507"/>
      <c r="F5" s="1507"/>
      <c r="G5" s="1508"/>
    </row>
    <row r="6" spans="1:7">
      <c r="A6" s="1506" t="s">
        <v>579</v>
      </c>
      <c r="B6" s="1507"/>
      <c r="C6" s="1507"/>
      <c r="D6" s="1507"/>
      <c r="E6" s="1507"/>
      <c r="F6" s="1507"/>
      <c r="G6" s="1508"/>
    </row>
    <row r="7" spans="1:7">
      <c r="A7" s="1506" t="s">
        <v>23</v>
      </c>
      <c r="B7" s="1507"/>
      <c r="C7" s="1507"/>
      <c r="D7" s="1507"/>
      <c r="E7" s="1507"/>
      <c r="F7" s="1507"/>
      <c r="G7" s="1508"/>
    </row>
    <row r="8" spans="1:7" ht="13.5" thickBot="1">
      <c r="A8" s="1509" t="s">
        <v>0</v>
      </c>
      <c r="B8" s="1510"/>
      <c r="C8" s="1510"/>
      <c r="D8" s="1510"/>
      <c r="E8" s="1510"/>
      <c r="F8" s="1510"/>
      <c r="G8" s="1511"/>
    </row>
    <row r="9" spans="1:7" ht="15.75" thickBot="1">
      <c r="A9" s="1489" t="s">
        <v>1</v>
      </c>
      <c r="B9" s="1512" t="s">
        <v>2</v>
      </c>
      <c r="C9" s="1513"/>
      <c r="D9" s="1514"/>
      <c r="E9" s="1515" t="s">
        <v>3</v>
      </c>
      <c r="F9" s="1516"/>
      <c r="G9" s="1517"/>
    </row>
    <row r="10" spans="1:7" ht="13.5" thickBot="1">
      <c r="A10" s="1490"/>
      <c r="B10" s="904" t="s">
        <v>4</v>
      </c>
      <c r="C10" s="725" t="s">
        <v>5</v>
      </c>
      <c r="D10" s="726" t="s">
        <v>6</v>
      </c>
      <c r="E10" s="921" t="s">
        <v>4</v>
      </c>
      <c r="F10" s="922" t="s">
        <v>5</v>
      </c>
      <c r="G10" s="923" t="s">
        <v>6</v>
      </c>
    </row>
    <row r="11" spans="1:7">
      <c r="A11" s="905">
        <v>38719</v>
      </c>
      <c r="B11" s="908">
        <v>22.82</v>
      </c>
      <c r="C11" s="909">
        <v>22.31</v>
      </c>
      <c r="D11" s="910">
        <v>20.309999999999999</v>
      </c>
      <c r="E11" s="908">
        <v>22.45</v>
      </c>
      <c r="F11" s="909">
        <v>21.96</v>
      </c>
      <c r="G11" s="910">
        <v>20.05</v>
      </c>
    </row>
    <row r="12" spans="1:7">
      <c r="A12" s="906">
        <v>38726</v>
      </c>
      <c r="B12" s="911">
        <v>22.74</v>
      </c>
      <c r="C12" s="912">
        <v>22.24</v>
      </c>
      <c r="D12" s="913">
        <v>19.89</v>
      </c>
      <c r="E12" s="911">
        <v>22.43</v>
      </c>
      <c r="F12" s="912">
        <v>21.91</v>
      </c>
      <c r="G12" s="913">
        <v>19.600000000000001</v>
      </c>
    </row>
    <row r="13" spans="1:7">
      <c r="A13" s="906">
        <v>38733</v>
      </c>
      <c r="B13" s="911">
        <v>22.67</v>
      </c>
      <c r="C13" s="912">
        <v>22.17</v>
      </c>
      <c r="D13" s="913">
        <v>19.739999999999998</v>
      </c>
      <c r="E13" s="911">
        <v>22.37</v>
      </c>
      <c r="F13" s="912">
        <v>21.87</v>
      </c>
      <c r="G13" s="913">
        <v>19.489999999999998</v>
      </c>
    </row>
    <row r="14" spans="1:7">
      <c r="A14" s="906">
        <v>38740</v>
      </c>
      <c r="B14" s="911">
        <v>22.58</v>
      </c>
      <c r="C14" s="912">
        <v>22.08</v>
      </c>
      <c r="D14" s="913">
        <v>19.62</v>
      </c>
      <c r="E14" s="911">
        <v>22.27</v>
      </c>
      <c r="F14" s="912">
        <v>21.78</v>
      </c>
      <c r="G14" s="913">
        <v>19.420000000000002</v>
      </c>
    </row>
    <row r="15" spans="1:7" ht="13.5" thickBot="1">
      <c r="A15" s="907">
        <v>38747</v>
      </c>
      <c r="B15" s="914">
        <v>22.45</v>
      </c>
      <c r="C15" s="915">
        <v>21.95</v>
      </c>
      <c r="D15" s="916">
        <v>19.54</v>
      </c>
      <c r="E15" s="914">
        <v>22.14</v>
      </c>
      <c r="F15" s="915">
        <v>21.64</v>
      </c>
      <c r="G15" s="916">
        <v>19.39</v>
      </c>
    </row>
    <row r="16" spans="1:7" ht="13.5" thickBot="1">
      <c r="A16" s="917" t="s">
        <v>8</v>
      </c>
      <c r="B16" s="918">
        <f t="shared" ref="B16:G16" si="0">AVERAGE(B11:B15)</f>
        <v>22.652000000000001</v>
      </c>
      <c r="C16" s="919">
        <f t="shared" si="0"/>
        <v>22.15</v>
      </c>
      <c r="D16" s="919">
        <f t="shared" si="0"/>
        <v>19.82</v>
      </c>
      <c r="E16" s="919">
        <f t="shared" si="0"/>
        <v>22.332000000000001</v>
      </c>
      <c r="F16" s="919">
        <f t="shared" si="0"/>
        <v>21.832000000000001</v>
      </c>
      <c r="G16" s="920">
        <f t="shared" si="0"/>
        <v>19.59</v>
      </c>
    </row>
    <row r="17" spans="1:7">
      <c r="A17" s="906">
        <v>38754</v>
      </c>
      <c r="B17" s="911">
        <v>22.44</v>
      </c>
      <c r="C17" s="912">
        <v>21.96</v>
      </c>
      <c r="D17" s="913">
        <v>19.489999999999998</v>
      </c>
      <c r="E17" s="911">
        <v>22.08</v>
      </c>
      <c r="F17" s="912">
        <v>21.58</v>
      </c>
      <c r="G17" s="913">
        <v>19.27</v>
      </c>
    </row>
    <row r="18" spans="1:7">
      <c r="A18" s="906">
        <v>38761</v>
      </c>
      <c r="B18" s="911">
        <v>22.39</v>
      </c>
      <c r="C18" s="912">
        <v>21.91</v>
      </c>
      <c r="D18" s="913">
        <v>19.37</v>
      </c>
      <c r="E18" s="911">
        <v>22.07</v>
      </c>
      <c r="F18" s="912">
        <v>21.58</v>
      </c>
      <c r="G18" s="913">
        <v>19.23</v>
      </c>
    </row>
    <row r="19" spans="1:7">
      <c r="A19" s="906">
        <v>38768</v>
      </c>
      <c r="B19" s="911">
        <v>22.32</v>
      </c>
      <c r="C19" s="912">
        <v>21.82</v>
      </c>
      <c r="D19" s="913">
        <v>19.21</v>
      </c>
      <c r="E19" s="911">
        <v>22.02</v>
      </c>
      <c r="F19" s="912">
        <v>21.55</v>
      </c>
      <c r="G19" s="913">
        <v>19.12</v>
      </c>
    </row>
    <row r="20" spans="1:7" ht="13.5" thickBot="1">
      <c r="A20" s="907">
        <v>38775</v>
      </c>
      <c r="B20" s="914">
        <v>22.25</v>
      </c>
      <c r="C20" s="915">
        <v>21.77</v>
      </c>
      <c r="D20" s="916">
        <v>19.05</v>
      </c>
      <c r="E20" s="914">
        <v>21.94</v>
      </c>
      <c r="F20" s="915">
        <v>21.44</v>
      </c>
      <c r="G20" s="916">
        <v>19.02</v>
      </c>
    </row>
    <row r="21" spans="1:7" ht="13.5" thickBot="1">
      <c r="A21" s="917" t="s">
        <v>9</v>
      </c>
      <c r="B21" s="918">
        <f t="shared" ref="B21:G21" si="1">AVERAGE(B17:B20)</f>
        <v>22.35</v>
      </c>
      <c r="C21" s="919">
        <f t="shared" si="1"/>
        <v>21.864999999999998</v>
      </c>
      <c r="D21" s="919">
        <f t="shared" si="1"/>
        <v>19.28</v>
      </c>
      <c r="E21" s="919">
        <f t="shared" si="1"/>
        <v>22.0275</v>
      </c>
      <c r="F21" s="919">
        <f t="shared" si="1"/>
        <v>21.537499999999998</v>
      </c>
      <c r="G21" s="920">
        <f t="shared" si="1"/>
        <v>19.16</v>
      </c>
    </row>
    <row r="22" spans="1:7">
      <c r="A22" s="906">
        <v>38782</v>
      </c>
      <c r="B22" s="911">
        <v>22.01</v>
      </c>
      <c r="C22" s="912">
        <v>21.53</v>
      </c>
      <c r="D22" s="913">
        <v>18.7</v>
      </c>
      <c r="E22" s="911">
        <v>21.64</v>
      </c>
      <c r="F22" s="912">
        <v>21.15</v>
      </c>
      <c r="G22" s="913">
        <v>18.47</v>
      </c>
    </row>
    <row r="23" spans="1:7">
      <c r="A23" s="906">
        <v>38789</v>
      </c>
      <c r="B23" s="911">
        <v>21.92</v>
      </c>
      <c r="C23" s="912">
        <v>21.44</v>
      </c>
      <c r="D23" s="913">
        <v>18.559999999999999</v>
      </c>
      <c r="E23" s="911">
        <v>21.58</v>
      </c>
      <c r="F23" s="912">
        <v>21.09</v>
      </c>
      <c r="G23" s="913">
        <v>18.329999999999998</v>
      </c>
    </row>
    <row r="24" spans="1:7">
      <c r="A24" s="906">
        <v>38796</v>
      </c>
      <c r="B24" s="911">
        <v>22.02</v>
      </c>
      <c r="C24" s="912">
        <v>21.55</v>
      </c>
      <c r="D24" s="913">
        <v>18.649999999999999</v>
      </c>
      <c r="E24" s="911">
        <v>21.74</v>
      </c>
      <c r="F24" s="912">
        <v>21.25</v>
      </c>
      <c r="G24" s="913">
        <v>18.510000000000002</v>
      </c>
    </row>
    <row r="25" spans="1:7" ht="13.5" thickBot="1">
      <c r="A25" s="907">
        <v>38803</v>
      </c>
      <c r="B25" s="914">
        <v>22.69</v>
      </c>
      <c r="C25" s="915">
        <v>22.22</v>
      </c>
      <c r="D25" s="916">
        <v>18.940000000000001</v>
      </c>
      <c r="E25" s="914">
        <v>22.41</v>
      </c>
      <c r="F25" s="915">
        <v>21.91</v>
      </c>
      <c r="G25" s="916">
        <v>18.739999999999998</v>
      </c>
    </row>
    <row r="26" spans="1:7" ht="13.5" thickBot="1">
      <c r="A26" s="917" t="s">
        <v>10</v>
      </c>
      <c r="B26" s="918">
        <f t="shared" ref="B26:G26" si="2">AVERAGE(B22:B25)</f>
        <v>22.16</v>
      </c>
      <c r="C26" s="919">
        <f t="shared" si="2"/>
        <v>21.684999999999999</v>
      </c>
      <c r="D26" s="919">
        <f t="shared" si="2"/>
        <v>18.712499999999999</v>
      </c>
      <c r="E26" s="919">
        <f t="shared" si="2"/>
        <v>21.842499999999998</v>
      </c>
      <c r="F26" s="919">
        <f t="shared" si="2"/>
        <v>21.349999999999998</v>
      </c>
      <c r="G26" s="920">
        <f t="shared" si="2"/>
        <v>18.512499999999999</v>
      </c>
    </row>
    <row r="27" spans="1:7">
      <c r="A27" s="906">
        <v>38810</v>
      </c>
      <c r="B27" s="911">
        <v>23.48</v>
      </c>
      <c r="C27" s="912">
        <v>23</v>
      </c>
      <c r="D27" s="913">
        <v>19.23</v>
      </c>
      <c r="E27" s="911">
        <v>23.09</v>
      </c>
      <c r="F27" s="912">
        <v>22.6</v>
      </c>
      <c r="G27" s="913">
        <v>18.95</v>
      </c>
    </row>
    <row r="28" spans="1:7">
      <c r="A28" s="906">
        <v>38817</v>
      </c>
      <c r="B28" s="911">
        <v>24.3</v>
      </c>
      <c r="C28" s="912">
        <v>23.81</v>
      </c>
      <c r="D28" s="913">
        <v>19.579999999999998</v>
      </c>
      <c r="E28" s="911">
        <v>23.99</v>
      </c>
      <c r="F28" s="912">
        <v>23.51</v>
      </c>
      <c r="G28" s="913">
        <v>19.32</v>
      </c>
    </row>
    <row r="29" spans="1:7">
      <c r="A29" s="906">
        <v>38824</v>
      </c>
      <c r="B29" s="911">
        <v>24.35</v>
      </c>
      <c r="C29" s="912">
        <v>23.85</v>
      </c>
      <c r="D29" s="913">
        <v>19.600000000000001</v>
      </c>
      <c r="E29" s="911">
        <v>24.03</v>
      </c>
      <c r="F29" s="912">
        <v>23.52</v>
      </c>
      <c r="G29" s="913">
        <v>19.32</v>
      </c>
    </row>
    <row r="30" spans="1:7" ht="13.5" thickBot="1">
      <c r="A30" s="907">
        <v>38831</v>
      </c>
      <c r="B30" s="914">
        <v>25.78</v>
      </c>
      <c r="C30" s="915">
        <v>24.35</v>
      </c>
      <c r="D30" s="916">
        <v>20.09</v>
      </c>
      <c r="E30" s="914">
        <v>25.48</v>
      </c>
      <c r="F30" s="915">
        <v>24.96</v>
      </c>
      <c r="G30" s="916">
        <v>19.82</v>
      </c>
    </row>
    <row r="31" spans="1:7" ht="13.5" thickBot="1">
      <c r="A31" s="917" t="s">
        <v>11</v>
      </c>
      <c r="B31" s="918">
        <f t="shared" ref="B31:G31" si="3">AVERAGE(B27:B30)</f>
        <v>24.477499999999999</v>
      </c>
      <c r="C31" s="919">
        <f t="shared" si="3"/>
        <v>23.752499999999998</v>
      </c>
      <c r="D31" s="919">
        <f t="shared" si="3"/>
        <v>19.625</v>
      </c>
      <c r="E31" s="919">
        <f t="shared" si="3"/>
        <v>24.147500000000001</v>
      </c>
      <c r="F31" s="919">
        <f t="shared" si="3"/>
        <v>23.647500000000001</v>
      </c>
      <c r="G31" s="920">
        <f t="shared" si="3"/>
        <v>19.352499999999999</v>
      </c>
    </row>
    <row r="32" spans="1:7">
      <c r="A32" s="905">
        <v>38839</v>
      </c>
      <c r="B32" s="908">
        <v>25.88</v>
      </c>
      <c r="C32" s="909">
        <v>25.4</v>
      </c>
      <c r="D32" s="910">
        <v>20.18</v>
      </c>
      <c r="E32" s="908">
        <v>25.54</v>
      </c>
      <c r="F32" s="909">
        <v>25.04</v>
      </c>
      <c r="G32" s="910">
        <v>19.87</v>
      </c>
    </row>
    <row r="33" spans="1:7">
      <c r="A33" s="906">
        <v>38845</v>
      </c>
      <c r="B33" s="911">
        <v>26.01</v>
      </c>
      <c r="C33" s="912">
        <v>25.54</v>
      </c>
      <c r="D33" s="913">
        <v>20.420000000000002</v>
      </c>
      <c r="E33" s="911">
        <v>25.78</v>
      </c>
      <c r="F33" s="912">
        <v>25.28</v>
      </c>
      <c r="G33" s="913">
        <v>20.21</v>
      </c>
    </row>
    <row r="34" spans="1:7">
      <c r="A34" s="906">
        <v>38852</v>
      </c>
      <c r="B34" s="911">
        <v>27.05</v>
      </c>
      <c r="C34" s="912">
        <v>26.56</v>
      </c>
      <c r="D34" s="913">
        <v>20.67</v>
      </c>
      <c r="E34" s="911">
        <v>26.87</v>
      </c>
      <c r="F34" s="912">
        <v>26.37</v>
      </c>
      <c r="G34" s="913">
        <v>20.47</v>
      </c>
    </row>
    <row r="35" spans="1:7">
      <c r="A35" s="906">
        <v>38859</v>
      </c>
      <c r="B35" s="911">
        <v>27.65</v>
      </c>
      <c r="C35" s="912">
        <v>27.17</v>
      </c>
      <c r="D35" s="913">
        <v>20.89</v>
      </c>
      <c r="E35" s="911">
        <v>27.45</v>
      </c>
      <c r="F35" s="912">
        <v>26.96</v>
      </c>
      <c r="G35" s="913">
        <v>20.69</v>
      </c>
    </row>
    <row r="36" spans="1:7" ht="13.5" thickBot="1">
      <c r="A36" s="907">
        <v>38866</v>
      </c>
      <c r="B36" s="914">
        <v>27.64</v>
      </c>
      <c r="C36" s="915">
        <v>27.16</v>
      </c>
      <c r="D36" s="916">
        <v>20.86</v>
      </c>
      <c r="E36" s="914">
        <v>27.44</v>
      </c>
      <c r="F36" s="915">
        <v>26.94</v>
      </c>
      <c r="G36" s="916">
        <v>20.65</v>
      </c>
    </row>
    <row r="37" spans="1:7" ht="13.5" thickBot="1">
      <c r="A37" s="917" t="s">
        <v>12</v>
      </c>
      <c r="B37" s="918">
        <f t="shared" ref="B37:G37" si="4">AVERAGE(B32:B36)</f>
        <v>26.846000000000004</v>
      </c>
      <c r="C37" s="919">
        <f t="shared" si="4"/>
        <v>26.366000000000003</v>
      </c>
      <c r="D37" s="919">
        <f t="shared" si="4"/>
        <v>20.603999999999999</v>
      </c>
      <c r="E37" s="919">
        <f t="shared" si="4"/>
        <v>26.616000000000003</v>
      </c>
      <c r="F37" s="919">
        <f t="shared" si="4"/>
        <v>26.118000000000002</v>
      </c>
      <c r="G37" s="920">
        <f t="shared" si="4"/>
        <v>20.377999999999997</v>
      </c>
    </row>
    <row r="38" spans="1:7">
      <c r="A38" s="906">
        <v>38873</v>
      </c>
      <c r="B38" s="911">
        <v>27.34</v>
      </c>
      <c r="C38" s="912">
        <v>26.85</v>
      </c>
      <c r="D38" s="913">
        <v>20.81</v>
      </c>
      <c r="E38" s="911">
        <v>27.05</v>
      </c>
      <c r="F38" s="912">
        <v>26.55</v>
      </c>
      <c r="G38" s="913">
        <v>20.64</v>
      </c>
    </row>
    <row r="39" spans="1:7">
      <c r="A39" s="906">
        <v>38880</v>
      </c>
      <c r="B39" s="911">
        <v>27.22</v>
      </c>
      <c r="C39" s="912">
        <v>26.73</v>
      </c>
      <c r="D39" s="913">
        <v>20.76</v>
      </c>
      <c r="E39" s="911">
        <v>26.94</v>
      </c>
      <c r="F39" s="912">
        <v>26.45</v>
      </c>
      <c r="G39" s="913">
        <v>20.57</v>
      </c>
    </row>
    <row r="40" spans="1:7">
      <c r="A40" s="906">
        <v>38887</v>
      </c>
      <c r="B40" s="911">
        <v>26.32</v>
      </c>
      <c r="C40" s="912">
        <v>25.8</v>
      </c>
      <c r="D40" s="913">
        <v>20.62</v>
      </c>
      <c r="E40" s="911">
        <v>25.93</v>
      </c>
      <c r="F40" s="912">
        <v>25.42</v>
      </c>
      <c r="G40" s="913">
        <v>20.39</v>
      </c>
    </row>
    <row r="41" spans="1:7" ht="13.5" thickBot="1">
      <c r="A41" s="907">
        <v>38894</v>
      </c>
      <c r="B41" s="914">
        <v>26.18</v>
      </c>
      <c r="C41" s="915">
        <v>25.66</v>
      </c>
      <c r="D41" s="916">
        <v>20.57</v>
      </c>
      <c r="E41" s="914">
        <v>25.87</v>
      </c>
      <c r="F41" s="915">
        <v>25.36</v>
      </c>
      <c r="G41" s="916">
        <v>20.329999999999998</v>
      </c>
    </row>
    <row r="42" spans="1:7" ht="13.5" thickBot="1">
      <c r="A42" s="917" t="s">
        <v>13</v>
      </c>
      <c r="B42" s="918">
        <f t="shared" ref="B42:G42" si="5">AVERAGE(B38:B41)</f>
        <v>26.765000000000001</v>
      </c>
      <c r="C42" s="919">
        <f t="shared" si="5"/>
        <v>26.259999999999998</v>
      </c>
      <c r="D42" s="919">
        <f t="shared" si="5"/>
        <v>20.689999999999998</v>
      </c>
      <c r="E42" s="919">
        <f t="shared" si="5"/>
        <v>26.447500000000002</v>
      </c>
      <c r="F42" s="919">
        <f t="shared" si="5"/>
        <v>25.945</v>
      </c>
      <c r="G42" s="920">
        <f t="shared" si="5"/>
        <v>20.482500000000002</v>
      </c>
    </row>
    <row r="43" spans="1:7">
      <c r="A43" s="905">
        <v>38901</v>
      </c>
      <c r="B43" s="908">
        <v>26.14</v>
      </c>
      <c r="C43" s="909">
        <v>25.64</v>
      </c>
      <c r="D43" s="910">
        <v>20.52</v>
      </c>
      <c r="E43" s="908">
        <v>25.87</v>
      </c>
      <c r="F43" s="909">
        <v>25.35</v>
      </c>
      <c r="G43" s="910">
        <v>20.309999999999999</v>
      </c>
    </row>
    <row r="44" spans="1:7">
      <c r="A44" s="906">
        <v>38908</v>
      </c>
      <c r="B44" s="911">
        <v>26.13</v>
      </c>
      <c r="C44" s="912">
        <v>25.6</v>
      </c>
      <c r="D44" s="913">
        <v>20.51</v>
      </c>
      <c r="E44" s="911">
        <v>25.84</v>
      </c>
      <c r="F44" s="912">
        <v>25.32</v>
      </c>
      <c r="G44" s="913">
        <v>20.3</v>
      </c>
    </row>
    <row r="45" spans="1:7">
      <c r="A45" s="906">
        <v>38915</v>
      </c>
      <c r="B45" s="911">
        <v>26.11</v>
      </c>
      <c r="C45" s="912">
        <v>25.58</v>
      </c>
      <c r="D45" s="913">
        <v>20.53</v>
      </c>
      <c r="E45" s="911">
        <v>25.82</v>
      </c>
      <c r="F45" s="912">
        <v>25.29</v>
      </c>
      <c r="G45" s="913">
        <v>20.28</v>
      </c>
    </row>
    <row r="46" spans="1:7">
      <c r="A46" s="906">
        <v>38922</v>
      </c>
      <c r="B46" s="911">
        <v>27.21</v>
      </c>
      <c r="C46" s="912">
        <v>26.71</v>
      </c>
      <c r="D46" s="913">
        <v>21.1</v>
      </c>
      <c r="E46" s="911">
        <v>26.97</v>
      </c>
      <c r="F46" s="912">
        <v>26.47</v>
      </c>
      <c r="G46" s="913">
        <v>20.97</v>
      </c>
    </row>
    <row r="47" spans="1:7" ht="13.5" thickBot="1">
      <c r="A47" s="907">
        <v>38929</v>
      </c>
      <c r="B47" s="914">
        <v>27.3</v>
      </c>
      <c r="C47" s="915">
        <v>26.81</v>
      </c>
      <c r="D47" s="916">
        <v>21.14</v>
      </c>
      <c r="E47" s="914">
        <v>27.01</v>
      </c>
      <c r="F47" s="915">
        <v>26.51</v>
      </c>
      <c r="G47" s="916">
        <v>21</v>
      </c>
    </row>
    <row r="48" spans="1:7" ht="13.5" thickBot="1">
      <c r="A48" s="917" t="s">
        <v>14</v>
      </c>
      <c r="B48" s="918">
        <f t="shared" ref="B48:G48" si="6">AVERAGE(B43:B47)</f>
        <v>26.578000000000003</v>
      </c>
      <c r="C48" s="919">
        <f t="shared" si="6"/>
        <v>26.068000000000001</v>
      </c>
      <c r="D48" s="919">
        <f t="shared" si="6"/>
        <v>20.759999999999998</v>
      </c>
      <c r="E48" s="919">
        <f t="shared" si="6"/>
        <v>26.302</v>
      </c>
      <c r="F48" s="919">
        <f t="shared" si="6"/>
        <v>25.788</v>
      </c>
      <c r="G48" s="920">
        <f t="shared" si="6"/>
        <v>20.571999999999999</v>
      </c>
    </row>
    <row r="49" spans="1:7">
      <c r="A49" s="906">
        <v>38936</v>
      </c>
      <c r="B49" s="911">
        <v>28.24</v>
      </c>
      <c r="C49" s="912">
        <v>27.75</v>
      </c>
      <c r="D49" s="913">
        <v>21.65</v>
      </c>
      <c r="E49" s="911">
        <v>27.98</v>
      </c>
      <c r="F49" s="912">
        <v>27.49</v>
      </c>
      <c r="G49" s="913">
        <v>21.53</v>
      </c>
    </row>
    <row r="50" spans="1:7">
      <c r="A50" s="906">
        <v>38943</v>
      </c>
      <c r="B50" s="911">
        <v>28.21</v>
      </c>
      <c r="C50" s="912">
        <v>27.72</v>
      </c>
      <c r="D50" s="913">
        <v>21.61</v>
      </c>
      <c r="E50" s="911">
        <v>27.96</v>
      </c>
      <c r="F50" s="912">
        <v>27.46</v>
      </c>
      <c r="G50" s="913">
        <v>21.48</v>
      </c>
    </row>
    <row r="51" spans="1:7">
      <c r="A51" s="906">
        <v>38950</v>
      </c>
      <c r="B51" s="911">
        <v>28.17</v>
      </c>
      <c r="C51" s="912">
        <v>27.66</v>
      </c>
      <c r="D51" s="913">
        <v>21.55</v>
      </c>
      <c r="E51" s="911">
        <v>27.93</v>
      </c>
      <c r="F51" s="912">
        <v>27.42</v>
      </c>
      <c r="G51" s="913">
        <v>21.41</v>
      </c>
    </row>
    <row r="52" spans="1:7" ht="13.5" thickBot="1">
      <c r="A52" s="907">
        <v>38957</v>
      </c>
      <c r="B52" s="914">
        <v>27.86</v>
      </c>
      <c r="C52" s="915">
        <v>27.35</v>
      </c>
      <c r="D52" s="916">
        <v>21.44</v>
      </c>
      <c r="E52" s="914">
        <v>27.57</v>
      </c>
      <c r="F52" s="915">
        <v>27.04</v>
      </c>
      <c r="G52" s="916">
        <v>21.28</v>
      </c>
    </row>
    <row r="53" spans="1:7" ht="13.5" thickBot="1">
      <c r="A53" s="917" t="s">
        <v>15</v>
      </c>
      <c r="B53" s="918">
        <f t="shared" ref="B53:G53" si="7">AVERAGE(B49:B52)</f>
        <v>28.12</v>
      </c>
      <c r="C53" s="919">
        <f t="shared" si="7"/>
        <v>27.619999999999997</v>
      </c>
      <c r="D53" s="919">
        <f t="shared" si="7"/>
        <v>21.5625</v>
      </c>
      <c r="E53" s="919">
        <f t="shared" si="7"/>
        <v>27.86</v>
      </c>
      <c r="F53" s="919">
        <f t="shared" si="7"/>
        <v>27.352499999999999</v>
      </c>
      <c r="G53" s="920">
        <f t="shared" si="7"/>
        <v>21.425000000000001</v>
      </c>
    </row>
    <row r="54" spans="1:7">
      <c r="A54" s="906">
        <v>38964</v>
      </c>
      <c r="B54" s="911">
        <v>27.75</v>
      </c>
      <c r="C54" s="912">
        <v>27.22</v>
      </c>
      <c r="D54" s="913">
        <v>21.38</v>
      </c>
      <c r="E54" s="911">
        <v>27.5</v>
      </c>
      <c r="F54" s="912">
        <v>26.98</v>
      </c>
      <c r="G54" s="913">
        <v>21.26</v>
      </c>
    </row>
    <row r="55" spans="1:7">
      <c r="A55" s="906">
        <v>38971</v>
      </c>
      <c r="B55" s="911">
        <v>27.68</v>
      </c>
      <c r="C55" s="912">
        <v>27.17</v>
      </c>
      <c r="D55" s="913">
        <v>21.33</v>
      </c>
      <c r="E55" s="911">
        <v>27.44</v>
      </c>
      <c r="F55" s="912">
        <v>26.93</v>
      </c>
      <c r="G55" s="913">
        <v>21.21</v>
      </c>
    </row>
    <row r="56" spans="1:7">
      <c r="A56" s="906">
        <v>38978</v>
      </c>
      <c r="B56" s="911">
        <v>27.11</v>
      </c>
      <c r="C56" s="912">
        <v>26.59</v>
      </c>
      <c r="D56" s="913">
        <v>21.04</v>
      </c>
      <c r="E56" s="911">
        <v>26.72</v>
      </c>
      <c r="F56" s="912">
        <v>26.22</v>
      </c>
      <c r="G56" s="913">
        <v>20.85</v>
      </c>
    </row>
    <row r="57" spans="1:7" ht="13.5" thickBot="1">
      <c r="A57" s="907">
        <v>38985</v>
      </c>
      <c r="B57" s="914">
        <v>26.6</v>
      </c>
      <c r="C57" s="915">
        <v>26.09</v>
      </c>
      <c r="D57" s="916">
        <v>20.87</v>
      </c>
      <c r="E57" s="914">
        <v>26.22</v>
      </c>
      <c r="F57" s="915">
        <v>25.7</v>
      </c>
      <c r="G57" s="916">
        <v>20.62</v>
      </c>
    </row>
    <row r="58" spans="1:7" ht="13.5" thickBot="1">
      <c r="A58" s="917" t="s">
        <v>16</v>
      </c>
      <c r="B58" s="918">
        <f t="shared" ref="B58:G58" si="8">AVERAGE(B54:B57)</f>
        <v>27.284999999999997</v>
      </c>
      <c r="C58" s="919">
        <f t="shared" si="8"/>
        <v>26.767500000000002</v>
      </c>
      <c r="D58" s="919">
        <f t="shared" si="8"/>
        <v>21.154999999999998</v>
      </c>
      <c r="E58" s="919">
        <f t="shared" si="8"/>
        <v>26.97</v>
      </c>
      <c r="F58" s="919">
        <f t="shared" si="8"/>
        <v>26.4575</v>
      </c>
      <c r="G58" s="920">
        <f t="shared" si="8"/>
        <v>20.984999999999999</v>
      </c>
    </row>
    <row r="59" spans="1:7">
      <c r="A59" s="905">
        <v>38992</v>
      </c>
      <c r="B59" s="908">
        <v>26.16</v>
      </c>
      <c r="C59" s="909">
        <v>25.69</v>
      </c>
      <c r="D59" s="910">
        <v>20.67</v>
      </c>
      <c r="E59" s="908">
        <v>25.91</v>
      </c>
      <c r="F59" s="909">
        <v>25.4</v>
      </c>
      <c r="G59" s="910">
        <v>20.5</v>
      </c>
    </row>
    <row r="60" spans="1:7">
      <c r="A60" s="906">
        <v>38999</v>
      </c>
      <c r="B60" s="911">
        <v>25.54</v>
      </c>
      <c r="C60" s="912">
        <v>25.05</v>
      </c>
      <c r="D60" s="913">
        <v>20.36</v>
      </c>
      <c r="E60" s="911">
        <v>25.24</v>
      </c>
      <c r="F60" s="912">
        <v>24.74</v>
      </c>
      <c r="G60" s="913">
        <v>20.16</v>
      </c>
    </row>
    <row r="61" spans="1:7">
      <c r="A61" s="906">
        <v>39006</v>
      </c>
      <c r="B61" s="911">
        <v>25.27</v>
      </c>
      <c r="C61" s="912">
        <v>24.79</v>
      </c>
      <c r="D61" s="913">
        <v>20.13</v>
      </c>
      <c r="E61" s="911">
        <v>25.09</v>
      </c>
      <c r="F61" s="912">
        <v>24.61</v>
      </c>
      <c r="G61" s="913">
        <v>19.98</v>
      </c>
    </row>
    <row r="62" spans="1:7">
      <c r="A62" s="906">
        <v>39013</v>
      </c>
      <c r="B62" s="911">
        <v>23.42</v>
      </c>
      <c r="C62" s="912">
        <v>22.93</v>
      </c>
      <c r="D62" s="913">
        <v>19.27</v>
      </c>
      <c r="E62" s="911">
        <v>23.03</v>
      </c>
      <c r="F62" s="912">
        <v>22.53</v>
      </c>
      <c r="G62" s="913">
        <v>19.03</v>
      </c>
    </row>
    <row r="63" spans="1:7" ht="13.5" thickBot="1">
      <c r="A63" s="907">
        <v>39020</v>
      </c>
      <c r="B63" s="914">
        <v>23.25</v>
      </c>
      <c r="C63" s="915">
        <v>22.78</v>
      </c>
      <c r="D63" s="916">
        <v>19.12</v>
      </c>
      <c r="E63" s="914">
        <v>22.99</v>
      </c>
      <c r="F63" s="915">
        <v>22.49</v>
      </c>
      <c r="G63" s="916">
        <v>18.97</v>
      </c>
    </row>
    <row r="64" spans="1:7" ht="13.5" thickBot="1">
      <c r="A64" s="917" t="s">
        <v>17</v>
      </c>
      <c r="B64" s="918">
        <f t="shared" ref="B64:G64" si="9">AVERAGE(B59:B63)</f>
        <v>24.728000000000002</v>
      </c>
      <c r="C64" s="919">
        <f t="shared" si="9"/>
        <v>24.248000000000001</v>
      </c>
      <c r="D64" s="919">
        <f t="shared" si="9"/>
        <v>19.91</v>
      </c>
      <c r="E64" s="919">
        <f t="shared" si="9"/>
        <v>24.451999999999998</v>
      </c>
      <c r="F64" s="919">
        <f t="shared" si="9"/>
        <v>23.954000000000001</v>
      </c>
      <c r="G64" s="920">
        <f t="shared" si="9"/>
        <v>19.728000000000002</v>
      </c>
    </row>
    <row r="65" spans="1:7">
      <c r="A65" s="905">
        <v>39027</v>
      </c>
      <c r="B65" s="908">
        <v>23.24</v>
      </c>
      <c r="C65" s="909">
        <v>22.76</v>
      </c>
      <c r="D65" s="910">
        <v>19.059999999999999</v>
      </c>
      <c r="E65" s="908">
        <v>22.97</v>
      </c>
      <c r="F65" s="909">
        <v>22.46</v>
      </c>
      <c r="G65" s="910">
        <v>18.91</v>
      </c>
    </row>
    <row r="66" spans="1:7">
      <c r="A66" s="906">
        <v>39034</v>
      </c>
      <c r="B66" s="911">
        <v>23.19</v>
      </c>
      <c r="C66" s="912">
        <v>22.72</v>
      </c>
      <c r="D66" s="913">
        <v>19</v>
      </c>
      <c r="E66" s="911">
        <v>22.92</v>
      </c>
      <c r="F66" s="912">
        <v>22.44</v>
      </c>
      <c r="G66" s="913">
        <v>18.87</v>
      </c>
    </row>
    <row r="67" spans="1:7">
      <c r="A67" s="906">
        <v>39041</v>
      </c>
      <c r="B67" s="911">
        <v>23.14</v>
      </c>
      <c r="C67" s="912">
        <v>22.69</v>
      </c>
      <c r="D67" s="913">
        <v>18.95</v>
      </c>
      <c r="E67" s="911">
        <v>22.87</v>
      </c>
      <c r="F67" s="912">
        <v>22.41</v>
      </c>
      <c r="G67" s="913">
        <v>18.82</v>
      </c>
    </row>
    <row r="68" spans="1:7" ht="13.5" thickBot="1">
      <c r="A68" s="906">
        <v>39048</v>
      </c>
      <c r="B68" s="911">
        <v>23.14</v>
      </c>
      <c r="C68" s="912">
        <v>22.68</v>
      </c>
      <c r="D68" s="913">
        <v>18.670000000000002</v>
      </c>
      <c r="E68" s="911">
        <v>22.85</v>
      </c>
      <c r="F68" s="912">
        <v>22.4</v>
      </c>
      <c r="G68" s="913">
        <v>18.43</v>
      </c>
    </row>
    <row r="69" spans="1:7" ht="13.5" thickBot="1">
      <c r="A69" s="917" t="s">
        <v>18</v>
      </c>
      <c r="B69" s="918">
        <f t="shared" ref="B69:G69" si="10">AVERAGE(B65:B68)</f>
        <v>23.177499999999998</v>
      </c>
      <c r="C69" s="919">
        <f t="shared" si="10"/>
        <v>22.712499999999999</v>
      </c>
      <c r="D69" s="919">
        <f t="shared" si="10"/>
        <v>18.920000000000002</v>
      </c>
      <c r="E69" s="919">
        <f>AVERAGE(E65:E68)</f>
        <v>22.902500000000003</v>
      </c>
      <c r="F69" s="919">
        <f t="shared" si="10"/>
        <v>22.427500000000002</v>
      </c>
      <c r="G69" s="920">
        <f t="shared" si="10"/>
        <v>18.7575</v>
      </c>
    </row>
    <row r="70" spans="1:7">
      <c r="A70" s="905">
        <v>39055</v>
      </c>
      <c r="B70" s="908">
        <v>23.08</v>
      </c>
      <c r="C70" s="909">
        <v>22.57</v>
      </c>
      <c r="D70" s="910">
        <v>18.47</v>
      </c>
      <c r="E70" s="908">
        <v>22.8</v>
      </c>
      <c r="F70" s="909">
        <v>22.34</v>
      </c>
      <c r="G70" s="910">
        <v>18.25</v>
      </c>
    </row>
    <row r="71" spans="1:7">
      <c r="A71" s="906">
        <v>39062</v>
      </c>
      <c r="B71" s="911">
        <v>23.07</v>
      </c>
      <c r="C71" s="912">
        <v>22.56</v>
      </c>
      <c r="D71" s="913">
        <v>18.55</v>
      </c>
      <c r="E71" s="911">
        <v>22.78</v>
      </c>
      <c r="F71" s="912">
        <v>22.29</v>
      </c>
      <c r="G71" s="913">
        <v>18.27</v>
      </c>
    </row>
    <row r="72" spans="1:7">
      <c r="A72" s="906">
        <v>39069</v>
      </c>
      <c r="B72" s="911">
        <v>23.22</v>
      </c>
      <c r="C72" s="912">
        <v>22.71</v>
      </c>
      <c r="D72" s="913">
        <v>19.059999999999999</v>
      </c>
      <c r="E72" s="911">
        <v>22.97</v>
      </c>
      <c r="F72" s="912">
        <v>22.47</v>
      </c>
      <c r="G72" s="913">
        <v>18.97</v>
      </c>
    </row>
    <row r="73" spans="1:7" ht="13.5" thickBot="1">
      <c r="A73" s="906">
        <v>39077</v>
      </c>
      <c r="B73" s="911">
        <v>23.23</v>
      </c>
      <c r="C73" s="912">
        <v>22.71</v>
      </c>
      <c r="D73" s="913">
        <v>19.14</v>
      </c>
      <c r="E73" s="911">
        <v>22.98</v>
      </c>
      <c r="F73" s="912">
        <v>22.48</v>
      </c>
      <c r="G73" s="913">
        <v>19.03</v>
      </c>
    </row>
    <row r="74" spans="1:7" ht="13.5" thickBot="1">
      <c r="A74" s="917" t="s">
        <v>19</v>
      </c>
      <c r="B74" s="918">
        <f t="shared" ref="B74:G74" si="11">AVERAGE(B70:B73)</f>
        <v>23.150000000000002</v>
      </c>
      <c r="C74" s="919">
        <f t="shared" si="11"/>
        <v>22.637500000000003</v>
      </c>
      <c r="D74" s="919">
        <f t="shared" si="11"/>
        <v>18.805</v>
      </c>
      <c r="E74" s="919">
        <f t="shared" si="11"/>
        <v>22.8825</v>
      </c>
      <c r="F74" s="919">
        <f t="shared" si="11"/>
        <v>22.395</v>
      </c>
      <c r="G74" s="920">
        <f t="shared" si="11"/>
        <v>18.63</v>
      </c>
    </row>
    <row r="75" spans="1:7">
      <c r="A75" s="924"/>
      <c r="B75" s="925"/>
      <c r="C75" s="926"/>
      <c r="D75" s="927"/>
      <c r="E75" s="925"/>
      <c r="F75" s="926"/>
      <c r="G75" s="927"/>
    </row>
  </sheetData>
  <mergeCells count="10">
    <mergeCell ref="A2:G2"/>
    <mergeCell ref="A3:G3"/>
    <mergeCell ref="A1:G1"/>
    <mergeCell ref="A5:G5"/>
    <mergeCell ref="A6:G6"/>
    <mergeCell ref="A7:G7"/>
    <mergeCell ref="A8:G8"/>
    <mergeCell ref="B9:D9"/>
    <mergeCell ref="E9:G9"/>
    <mergeCell ref="A9:A10"/>
  </mergeCells>
  <phoneticPr fontId="5" type="noConversion"/>
  <pageMargins left="1.6929133858267718" right="0.74803149606299213" top="0.78740157480314965" bottom="0.59055118110236227" header="0" footer="0"/>
  <pageSetup paperSize="5" scale="88" orientation="portrait" r:id="rId1"/>
  <headerFooter alignWithMargins="0"/>
  <rowBreaks count="1" manualBreakCount="1">
    <brk id="74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5E5BC-359F-4E11-8544-A1B6D5B2A3DC}">
  <dimension ref="A1:O109"/>
  <sheetViews>
    <sheetView view="pageBreakPreview" topLeftCell="A43" zoomScale="130" zoomScaleNormal="75" zoomScaleSheetLayoutView="130" workbookViewId="0">
      <selection activeCell="K61" sqref="K61"/>
    </sheetView>
  </sheetViews>
  <sheetFormatPr baseColWidth="10" defaultColWidth="11.42578125" defaultRowHeight="12.75"/>
  <cols>
    <col min="1" max="1" width="16.28515625" customWidth="1"/>
    <col min="2" max="2" width="11.7109375" customWidth="1"/>
    <col min="4" max="4" width="11.28515625" customWidth="1"/>
    <col min="6" max="6" width="12.140625" customWidth="1"/>
    <col min="10" max="10" width="4" customWidth="1"/>
    <col min="12" max="13" width="12.5703125" bestFit="1" customWidth="1"/>
  </cols>
  <sheetData>
    <row r="1" spans="1:14" ht="21.75">
      <c r="A1" s="1589" t="s">
        <v>54</v>
      </c>
      <c r="B1" s="1590"/>
      <c r="C1" s="1590" t="s">
        <v>495</v>
      </c>
      <c r="D1" s="1590"/>
      <c r="E1" s="1590"/>
      <c r="F1" s="1590"/>
      <c r="G1" s="1590"/>
      <c r="H1" s="1590"/>
      <c r="I1" s="1591"/>
      <c r="J1" s="63"/>
    </row>
    <row r="2" spans="1:14" ht="20.25" customHeight="1">
      <c r="A2" s="1592" t="s">
        <v>569</v>
      </c>
      <c r="B2" s="1593"/>
      <c r="C2" s="1593"/>
      <c r="D2" s="1593"/>
      <c r="E2" s="1593"/>
      <c r="F2" s="1593"/>
      <c r="G2" s="1593"/>
      <c r="H2" s="1593"/>
      <c r="I2" s="1594"/>
      <c r="J2" s="63"/>
    </row>
    <row r="3" spans="1:14">
      <c r="A3" s="1549"/>
      <c r="B3" s="1550"/>
      <c r="C3" s="1550"/>
      <c r="D3" s="1550"/>
      <c r="E3" s="1550"/>
      <c r="F3" s="1550"/>
      <c r="G3" s="1550"/>
      <c r="H3" s="1550"/>
      <c r="I3" s="1551"/>
      <c r="J3" s="63"/>
    </row>
    <row r="4" spans="1:14" ht="13.5">
      <c r="A4" s="1595" t="s">
        <v>579</v>
      </c>
      <c r="B4" s="1596"/>
      <c r="C4" s="1596"/>
      <c r="D4" s="1596"/>
      <c r="E4" s="1596"/>
      <c r="F4" s="1596"/>
      <c r="G4" s="1596"/>
      <c r="H4" s="1596"/>
      <c r="I4" s="1597"/>
      <c r="J4" s="63"/>
    </row>
    <row r="5" spans="1:14" ht="12.75" customHeight="1">
      <c r="A5" s="1595" t="s">
        <v>23</v>
      </c>
      <c r="B5" s="1596"/>
      <c r="C5" s="1596"/>
      <c r="D5" s="1596"/>
      <c r="E5" s="1596"/>
      <c r="F5" s="1596"/>
      <c r="G5" s="1596"/>
      <c r="H5" s="1596"/>
      <c r="I5" s="1597"/>
      <c r="J5" s="63"/>
    </row>
    <row r="6" spans="1:14" ht="18.75" customHeight="1" thickBot="1">
      <c r="A6" s="1598" t="s">
        <v>0</v>
      </c>
      <c r="B6" s="1599"/>
      <c r="C6" s="1599"/>
      <c r="D6" s="1599"/>
      <c r="E6" s="1599"/>
      <c r="F6" s="1599"/>
      <c r="G6" s="1599"/>
      <c r="H6" s="1599"/>
      <c r="I6" s="1600"/>
      <c r="J6" s="63"/>
    </row>
    <row r="7" spans="1:14" ht="24.75" customHeight="1" thickBot="1">
      <c r="A7" s="1199" t="s">
        <v>1</v>
      </c>
      <c r="B7" s="1561" t="s">
        <v>2</v>
      </c>
      <c r="C7" s="1562"/>
      <c r="D7" s="1562"/>
      <c r="E7" s="1563"/>
      <c r="F7" s="1564" t="s">
        <v>3</v>
      </c>
      <c r="G7" s="1565"/>
      <c r="H7" s="1565"/>
      <c r="I7" s="1566"/>
      <c r="J7" s="63"/>
    </row>
    <row r="8" spans="1:14" ht="21" customHeight="1" thickBot="1">
      <c r="A8" s="1200" t="s">
        <v>21</v>
      </c>
      <c r="B8" s="1201" t="s">
        <v>533</v>
      </c>
      <c r="C8" s="1201" t="s">
        <v>4</v>
      </c>
      <c r="D8" s="1202" t="s">
        <v>5</v>
      </c>
      <c r="E8" s="1203" t="s">
        <v>6</v>
      </c>
      <c r="F8" s="1204" t="s">
        <v>533</v>
      </c>
      <c r="G8" s="1204" t="s">
        <v>4</v>
      </c>
      <c r="H8" s="1205" t="s">
        <v>5</v>
      </c>
      <c r="I8" s="1206" t="s">
        <v>6</v>
      </c>
      <c r="J8" s="63"/>
    </row>
    <row r="9" spans="1:14">
      <c r="A9" s="1110">
        <v>45294</v>
      </c>
      <c r="B9" s="1107">
        <v>32</v>
      </c>
      <c r="C9" s="1108">
        <v>31.44</v>
      </c>
      <c r="D9" s="1108">
        <v>29.93</v>
      </c>
      <c r="E9" s="1109">
        <v>30.45</v>
      </c>
      <c r="F9" s="1111">
        <v>30.97</v>
      </c>
      <c r="G9" s="1112">
        <v>30.47</v>
      </c>
      <c r="H9" s="1112">
        <v>28.97</v>
      </c>
      <c r="I9" s="1113">
        <v>29.48</v>
      </c>
      <c r="J9" s="79"/>
    </row>
    <row r="10" spans="1:14">
      <c r="A10" s="1215">
        <v>45299</v>
      </c>
      <c r="B10" s="1211">
        <v>32</v>
      </c>
      <c r="C10" s="1209">
        <v>31.44</v>
      </c>
      <c r="D10" s="1209">
        <v>29.93</v>
      </c>
      <c r="E10" s="1210">
        <v>30.44</v>
      </c>
      <c r="F10" s="1208">
        <v>30.97</v>
      </c>
      <c r="G10" s="1209">
        <v>30.47</v>
      </c>
      <c r="H10" s="1209">
        <v>28.97</v>
      </c>
      <c r="I10" s="1210">
        <v>29.48</v>
      </c>
      <c r="J10" s="79"/>
      <c r="K10" s="190">
        <f>I10-I9</f>
        <v>0</v>
      </c>
    </row>
    <row r="11" spans="1:14">
      <c r="A11" s="1110">
        <v>45306</v>
      </c>
      <c r="B11" s="1107">
        <v>31.76</v>
      </c>
      <c r="C11" s="1108">
        <v>31.25</v>
      </c>
      <c r="D11" s="1108">
        <v>29.75</v>
      </c>
      <c r="E11" s="1109">
        <v>29.51</v>
      </c>
      <c r="F11" s="1114">
        <v>30.65</v>
      </c>
      <c r="G11" s="1108">
        <v>30.29</v>
      </c>
      <c r="H11" s="1108">
        <v>28.79</v>
      </c>
      <c r="I11" s="1109">
        <v>28.55</v>
      </c>
      <c r="J11" s="79"/>
      <c r="K11" s="190">
        <f>I11-I10</f>
        <v>-0.92999999999999972</v>
      </c>
    </row>
    <row r="12" spans="1:14">
      <c r="A12" s="1215">
        <v>45313</v>
      </c>
      <c r="B12" s="1211">
        <v>32.53</v>
      </c>
      <c r="C12" s="1209">
        <v>31.84</v>
      </c>
      <c r="D12" s="1209">
        <v>30.32</v>
      </c>
      <c r="E12" s="1210">
        <v>30.05</v>
      </c>
      <c r="F12" s="1208">
        <v>31.53</v>
      </c>
      <c r="G12" s="1209">
        <v>30.88</v>
      </c>
      <c r="H12" s="1209">
        <v>29.39</v>
      </c>
      <c r="I12" s="1210">
        <v>29.11</v>
      </c>
      <c r="J12" s="79"/>
      <c r="K12" s="190">
        <f>I12-I11</f>
        <v>0.55999999999999872</v>
      </c>
    </row>
    <row r="13" spans="1:14" ht="13.5" thickBot="1">
      <c r="A13" s="1110">
        <v>45320</v>
      </c>
      <c r="B13" s="1107">
        <v>32.54</v>
      </c>
      <c r="C13" s="1108">
        <v>31.97</v>
      </c>
      <c r="D13" s="1108">
        <v>30.45</v>
      </c>
      <c r="E13" s="1109">
        <v>30.17</v>
      </c>
      <c r="F13" s="1107">
        <v>31.47</v>
      </c>
      <c r="G13" s="1108">
        <v>30.97</v>
      </c>
      <c r="H13" s="1108">
        <v>29.48</v>
      </c>
      <c r="I13" s="1109">
        <v>29.19</v>
      </c>
      <c r="J13" s="79"/>
    </row>
    <row r="14" spans="1:14" ht="13.5" thickBot="1">
      <c r="A14" s="1212" t="s">
        <v>7</v>
      </c>
      <c r="B14" s="1213">
        <f>AVERAGE(B9:B13)</f>
        <v>32.166000000000004</v>
      </c>
      <c r="C14" s="1213">
        <f t="shared" ref="C14:I14" si="0">AVERAGE(C9:C13)</f>
        <v>31.588000000000001</v>
      </c>
      <c r="D14" s="1213">
        <f t="shared" si="0"/>
        <v>30.076000000000001</v>
      </c>
      <c r="E14" s="1213">
        <f t="shared" si="0"/>
        <v>30.124000000000002</v>
      </c>
      <c r="F14" s="1213">
        <f t="shared" si="0"/>
        <v>31.118000000000002</v>
      </c>
      <c r="G14" s="1213">
        <f t="shared" si="0"/>
        <v>30.615999999999996</v>
      </c>
      <c r="H14" s="1213">
        <f t="shared" si="0"/>
        <v>29.119999999999997</v>
      </c>
      <c r="I14" s="1214">
        <f t="shared" si="0"/>
        <v>29.161999999999999</v>
      </c>
      <c r="J14" s="79"/>
      <c r="K14" s="767" t="s">
        <v>148</v>
      </c>
    </row>
    <row r="15" spans="1:14">
      <c r="A15" s="566">
        <v>45327</v>
      </c>
      <c r="B15" s="1032">
        <v>33.01</v>
      </c>
      <c r="C15" s="1033">
        <v>32.409999999999997</v>
      </c>
      <c r="D15" s="1033">
        <v>30.91</v>
      </c>
      <c r="E15" s="1034">
        <v>31.4</v>
      </c>
      <c r="F15" s="1036">
        <v>31.96</v>
      </c>
      <c r="G15" s="1036">
        <v>31.47</v>
      </c>
      <c r="H15" s="1035">
        <v>29.96</v>
      </c>
      <c r="I15" s="1037">
        <v>30.44</v>
      </c>
      <c r="J15" s="79"/>
      <c r="L15">
        <v>35.94</v>
      </c>
      <c r="M15">
        <v>34.479999999999997</v>
      </c>
      <c r="N15">
        <v>36.299999999999997</v>
      </c>
    </row>
    <row r="16" spans="1:14">
      <c r="A16" s="1207">
        <v>45334</v>
      </c>
      <c r="B16" s="1211">
        <v>33</v>
      </c>
      <c r="C16" s="1209">
        <v>32.42</v>
      </c>
      <c r="D16" s="1209">
        <v>30.95</v>
      </c>
      <c r="E16" s="1210">
        <v>31.48</v>
      </c>
      <c r="F16" s="1208">
        <v>31.97</v>
      </c>
      <c r="G16" s="1209">
        <v>31.47</v>
      </c>
      <c r="H16" s="1209">
        <v>29.97</v>
      </c>
      <c r="I16" s="1210">
        <v>30.47</v>
      </c>
      <c r="J16" s="79"/>
    </row>
    <row r="17" spans="1:12">
      <c r="A17" s="10">
        <v>45341</v>
      </c>
      <c r="B17" s="1107">
        <v>33.47</v>
      </c>
      <c r="C17" s="1108">
        <v>32.909999999999997</v>
      </c>
      <c r="D17" s="1108">
        <v>31.39</v>
      </c>
      <c r="E17" s="1109">
        <v>31.92</v>
      </c>
      <c r="F17" s="1107">
        <v>32.479999999999997</v>
      </c>
      <c r="G17" s="1108">
        <v>31.97</v>
      </c>
      <c r="H17" s="1108">
        <v>30.48</v>
      </c>
      <c r="I17" s="1109">
        <v>30.98</v>
      </c>
      <c r="J17" s="79"/>
    </row>
    <row r="18" spans="1:12" ht="13.5" thickBot="1">
      <c r="A18" s="1207">
        <v>45348</v>
      </c>
      <c r="B18" s="1211">
        <v>34</v>
      </c>
      <c r="C18" s="1209">
        <v>33.43</v>
      </c>
      <c r="D18" s="1209">
        <v>31.92</v>
      </c>
      <c r="E18" s="1210">
        <v>31.91</v>
      </c>
      <c r="F18" s="1208">
        <v>32.979999999999997</v>
      </c>
      <c r="G18" s="1209">
        <v>32.450000000000003</v>
      </c>
      <c r="H18" s="1209">
        <v>30.95</v>
      </c>
      <c r="I18" s="1210">
        <v>30.97</v>
      </c>
      <c r="J18" s="79"/>
    </row>
    <row r="19" spans="1:12" ht="13.5" thickBot="1">
      <c r="A19" s="1212" t="s">
        <v>7</v>
      </c>
      <c r="B19" s="1251">
        <f>AVERAGE(B15:B18)</f>
        <v>33.369999999999997</v>
      </c>
      <c r="C19" s="1251">
        <f t="shared" ref="C19:I19" si="1">AVERAGE(C15:C18)</f>
        <v>32.792499999999997</v>
      </c>
      <c r="D19" s="1251">
        <f t="shared" si="1"/>
        <v>31.2925</v>
      </c>
      <c r="E19" s="1251">
        <f t="shared" si="1"/>
        <v>31.677499999999998</v>
      </c>
      <c r="F19" s="1251">
        <f t="shared" si="1"/>
        <v>32.347499999999997</v>
      </c>
      <c r="G19" s="1251">
        <f t="shared" si="1"/>
        <v>31.84</v>
      </c>
      <c r="H19" s="1251">
        <f t="shared" si="1"/>
        <v>30.34</v>
      </c>
      <c r="I19" s="1251">
        <f t="shared" si="1"/>
        <v>30.715</v>
      </c>
      <c r="J19" s="79"/>
    </row>
    <row r="20" spans="1:12">
      <c r="A20" s="1110">
        <v>45355</v>
      </c>
      <c r="B20" s="1107">
        <v>34.46</v>
      </c>
      <c r="C20" s="1108">
        <v>33.869999999999997</v>
      </c>
      <c r="D20" s="1108">
        <v>32.369999999999997</v>
      </c>
      <c r="E20" s="1109">
        <v>31.7</v>
      </c>
      <c r="F20" s="1114">
        <v>33.42</v>
      </c>
      <c r="G20" s="1108">
        <v>32.89</v>
      </c>
      <c r="H20" s="1108">
        <v>31.4</v>
      </c>
      <c r="I20" s="1109">
        <v>30.7</v>
      </c>
      <c r="J20" s="79"/>
    </row>
    <row r="21" spans="1:12">
      <c r="A21" s="1215">
        <v>45362</v>
      </c>
      <c r="B21" s="1211">
        <v>35.049999999999997</v>
      </c>
      <c r="C21" s="1209">
        <v>34.39</v>
      </c>
      <c r="D21" s="1209">
        <v>32.880000000000003</v>
      </c>
      <c r="E21" s="1210">
        <v>31.13</v>
      </c>
      <c r="F21" s="1208">
        <v>33.99</v>
      </c>
      <c r="G21" s="1209">
        <v>33.42</v>
      </c>
      <c r="H21" s="1209">
        <v>31.92</v>
      </c>
      <c r="I21" s="1210">
        <v>30.15</v>
      </c>
      <c r="J21" s="79"/>
    </row>
    <row r="22" spans="1:12">
      <c r="A22" s="1110">
        <v>45369</v>
      </c>
      <c r="B22" s="1107">
        <v>36.04</v>
      </c>
      <c r="C22" s="1108">
        <v>35.47</v>
      </c>
      <c r="D22" s="1108">
        <v>33.950000000000003</v>
      </c>
      <c r="E22" s="1109">
        <v>30.58</v>
      </c>
      <c r="F22" s="1114">
        <v>34.979999999999997</v>
      </c>
      <c r="G22" s="1108">
        <v>34.46</v>
      </c>
      <c r="H22" s="1108">
        <v>32.96</v>
      </c>
      <c r="I22" s="1109">
        <v>29.56</v>
      </c>
      <c r="J22" s="79"/>
    </row>
    <row r="23" spans="1:12" ht="13.5" thickBot="1">
      <c r="A23" s="1215">
        <v>45376</v>
      </c>
      <c r="B23" s="1211">
        <v>36.56</v>
      </c>
      <c r="C23" s="1209">
        <v>35.96</v>
      </c>
      <c r="D23" s="1209">
        <v>34.44</v>
      </c>
      <c r="E23" s="1210">
        <v>30.48</v>
      </c>
      <c r="F23" s="1208">
        <v>35.479999999999997</v>
      </c>
      <c r="G23" s="1209">
        <v>34.950000000000003</v>
      </c>
      <c r="H23" s="1209">
        <v>33.44</v>
      </c>
      <c r="I23" s="1210">
        <v>29.48</v>
      </c>
      <c r="J23" s="79"/>
    </row>
    <row r="24" spans="1:12" ht="13.5" thickBot="1">
      <c r="A24" s="1212" t="s">
        <v>7</v>
      </c>
      <c r="B24" s="1251">
        <f>AVERAGE(B20:B23)</f>
        <v>35.527499999999996</v>
      </c>
      <c r="C24" s="1251">
        <f t="shared" ref="C24:I24" si="2">AVERAGE(C20:C23)</f>
        <v>34.922499999999999</v>
      </c>
      <c r="D24" s="1251">
        <f t="shared" si="2"/>
        <v>33.409999999999997</v>
      </c>
      <c r="E24" s="1251">
        <f t="shared" si="2"/>
        <v>30.9725</v>
      </c>
      <c r="F24" s="1251">
        <f t="shared" si="2"/>
        <v>34.467499999999994</v>
      </c>
      <c r="G24" s="1251">
        <f t="shared" si="2"/>
        <v>33.930000000000007</v>
      </c>
      <c r="H24" s="1251">
        <f t="shared" si="2"/>
        <v>32.43</v>
      </c>
      <c r="I24" s="1251">
        <f t="shared" si="2"/>
        <v>29.9725</v>
      </c>
      <c r="J24" s="79"/>
    </row>
    <row r="25" spans="1:12">
      <c r="A25" s="1437">
        <v>45383</v>
      </c>
      <c r="B25" s="1438">
        <v>36.56</v>
      </c>
      <c r="C25" s="1439">
        <v>35.97</v>
      </c>
      <c r="D25" s="1439">
        <v>34.46</v>
      </c>
      <c r="E25" s="1440">
        <v>30.5</v>
      </c>
      <c r="F25" s="1441">
        <v>35.479999999999997</v>
      </c>
      <c r="G25" s="1441">
        <v>34.979999999999997</v>
      </c>
      <c r="H25" s="1439">
        <v>33.479999999999997</v>
      </c>
      <c r="I25" s="1442">
        <v>29.48</v>
      </c>
      <c r="J25" s="79"/>
    </row>
    <row r="26" spans="1:12">
      <c r="A26" s="1207">
        <v>45390</v>
      </c>
      <c r="B26" s="1211">
        <v>37.24</v>
      </c>
      <c r="C26" s="1209">
        <v>36.65</v>
      </c>
      <c r="D26" s="1209">
        <v>35.15</v>
      </c>
      <c r="E26" s="1210">
        <v>31.15</v>
      </c>
      <c r="F26" s="1208">
        <v>36.18</v>
      </c>
      <c r="G26" s="1209">
        <v>35.64</v>
      </c>
      <c r="H26" s="1209">
        <v>34.14</v>
      </c>
      <c r="I26" s="1210">
        <v>30.21</v>
      </c>
      <c r="J26" s="79"/>
    </row>
    <row r="27" spans="1:12">
      <c r="A27" s="10">
        <v>45397</v>
      </c>
      <c r="B27" s="1107">
        <v>37.24</v>
      </c>
      <c r="C27" s="1108">
        <v>36.67</v>
      </c>
      <c r="D27" s="1108">
        <v>35.159999999999997</v>
      </c>
      <c r="E27" s="1109">
        <v>31.17</v>
      </c>
      <c r="F27" s="1107">
        <v>36.18</v>
      </c>
      <c r="G27" s="1108">
        <v>35.68</v>
      </c>
      <c r="H27" s="1108">
        <v>34.18</v>
      </c>
      <c r="I27" s="1109">
        <v>30.17</v>
      </c>
      <c r="J27" s="79"/>
    </row>
    <row r="28" spans="1:12">
      <c r="A28" s="1207">
        <v>45404</v>
      </c>
      <c r="B28" s="1211">
        <v>36.619999999999997</v>
      </c>
      <c r="C28" s="1209">
        <v>36.200000000000003</v>
      </c>
      <c r="D28" s="1209">
        <v>34.69</v>
      </c>
      <c r="E28" s="1210">
        <v>30.88</v>
      </c>
      <c r="F28" s="1208">
        <v>35.520000000000003</v>
      </c>
      <c r="G28" s="1209">
        <v>35.17</v>
      </c>
      <c r="H28" s="1209">
        <v>33.67</v>
      </c>
      <c r="I28" s="1210">
        <v>29.81</v>
      </c>
      <c r="J28" s="79"/>
    </row>
    <row r="29" spans="1:12" ht="13.5" thickBot="1">
      <c r="A29" s="10">
        <v>45411</v>
      </c>
      <c r="B29" s="1107">
        <v>36.130000000000003</v>
      </c>
      <c r="C29" s="1108">
        <v>35.549999999999997</v>
      </c>
      <c r="D29" s="1108">
        <v>34.04</v>
      </c>
      <c r="E29" s="1109">
        <v>30.24</v>
      </c>
      <c r="F29" s="1107">
        <v>35.04</v>
      </c>
      <c r="G29" s="1108">
        <v>34.51</v>
      </c>
      <c r="H29" s="1108">
        <v>33.06</v>
      </c>
      <c r="I29" s="1109">
        <v>29.24</v>
      </c>
      <c r="J29" s="79"/>
    </row>
    <row r="30" spans="1:12" ht="13.5" thickBot="1">
      <c r="A30" s="1212" t="s">
        <v>7</v>
      </c>
      <c r="B30" s="1251">
        <f t="shared" ref="B30:I30" si="3">AVERAGE(B25:B29)</f>
        <v>36.758000000000003</v>
      </c>
      <c r="C30" s="1251">
        <f t="shared" si="3"/>
        <v>36.208000000000006</v>
      </c>
      <c r="D30" s="1251">
        <f t="shared" si="3"/>
        <v>34.699999999999996</v>
      </c>
      <c r="E30" s="1251">
        <f t="shared" si="3"/>
        <v>30.788</v>
      </c>
      <c r="F30" s="1251">
        <f t="shared" si="3"/>
        <v>35.68</v>
      </c>
      <c r="G30" s="1251">
        <f t="shared" si="3"/>
        <v>35.196000000000005</v>
      </c>
      <c r="H30" s="1251">
        <f t="shared" si="3"/>
        <v>33.706000000000003</v>
      </c>
      <c r="I30" s="1251">
        <f t="shared" si="3"/>
        <v>29.782</v>
      </c>
      <c r="J30" s="79"/>
    </row>
    <row r="31" spans="1:12">
      <c r="A31" s="1458">
        <v>45418</v>
      </c>
      <c r="B31" s="1445">
        <v>35.61</v>
      </c>
      <c r="C31" s="1445">
        <v>35.22</v>
      </c>
      <c r="D31" s="1445">
        <v>33.700000000000003</v>
      </c>
      <c r="E31" s="1446">
        <v>29.91</v>
      </c>
      <c r="F31" s="1444">
        <v>34.51</v>
      </c>
      <c r="G31" s="1445">
        <v>34.17</v>
      </c>
      <c r="H31" s="1445">
        <v>32.67</v>
      </c>
      <c r="I31" s="1446">
        <v>28.86</v>
      </c>
      <c r="J31" s="79"/>
      <c r="L31" s="1108">
        <v>31.89</v>
      </c>
    </row>
    <row r="32" spans="1:12">
      <c r="A32" s="1452">
        <v>45425</v>
      </c>
      <c r="B32" s="1453">
        <v>35.1</v>
      </c>
      <c r="C32" s="1453">
        <v>34.630000000000003</v>
      </c>
      <c r="D32" s="1453">
        <v>33.119999999999997</v>
      </c>
      <c r="E32" s="1454">
        <v>29.33</v>
      </c>
      <c r="F32" s="1459">
        <v>34.01</v>
      </c>
      <c r="G32" s="1453">
        <v>33.61</v>
      </c>
      <c r="H32" s="1453">
        <v>32.11</v>
      </c>
      <c r="I32" s="1454">
        <v>28.3</v>
      </c>
      <c r="J32" s="79"/>
      <c r="L32" s="1209">
        <v>29.97</v>
      </c>
    </row>
    <row r="33" spans="1:15">
      <c r="A33" s="1458">
        <v>45432</v>
      </c>
      <c r="B33" s="1445">
        <v>34.5</v>
      </c>
      <c r="C33" s="1445">
        <v>34.04</v>
      </c>
      <c r="D33" s="1445">
        <v>32.53</v>
      </c>
      <c r="E33" s="1446">
        <v>28.91</v>
      </c>
      <c r="F33" s="1444">
        <v>33.4</v>
      </c>
      <c r="G33" s="1445">
        <v>33.01</v>
      </c>
      <c r="H33" s="1445">
        <v>31.51</v>
      </c>
      <c r="I33" s="1446">
        <v>27.88</v>
      </c>
      <c r="J33" s="79"/>
      <c r="L33" s="190">
        <f>(L32-L31)</f>
        <v>-1.9200000000000017</v>
      </c>
      <c r="M33" s="190"/>
      <c r="N33" s="190"/>
      <c r="O33" s="190"/>
    </row>
    <row r="34" spans="1:15" ht="13.5" thickBot="1">
      <c r="A34" s="1452">
        <v>45439</v>
      </c>
      <c r="B34" s="1453">
        <v>34.450000000000003</v>
      </c>
      <c r="C34" s="1453">
        <v>33.880000000000003</v>
      </c>
      <c r="D34" s="1453">
        <v>32.36</v>
      </c>
      <c r="E34" s="1454">
        <v>28.64</v>
      </c>
      <c r="F34" s="1459">
        <v>33.380000000000003</v>
      </c>
      <c r="G34" s="1453">
        <v>32.880000000000003</v>
      </c>
      <c r="H34" s="1453">
        <v>31.37</v>
      </c>
      <c r="I34" s="1454">
        <v>27.63</v>
      </c>
      <c r="J34" s="79"/>
      <c r="L34" s="190"/>
      <c r="M34" s="190"/>
    </row>
    <row r="35" spans="1:15" ht="15" customHeight="1" thickBot="1">
      <c r="A35" s="1212" t="s">
        <v>7</v>
      </c>
      <c r="B35" s="1251">
        <f t="shared" ref="B35:I35" si="4">AVERAGE(B31:B34)</f>
        <v>34.915000000000006</v>
      </c>
      <c r="C35" s="1251">
        <f t="shared" si="4"/>
        <v>34.442499999999995</v>
      </c>
      <c r="D35" s="1251">
        <f t="shared" si="4"/>
        <v>32.927499999999995</v>
      </c>
      <c r="E35" s="1251">
        <f t="shared" si="4"/>
        <v>29.197499999999998</v>
      </c>
      <c r="F35" s="1251">
        <f t="shared" si="4"/>
        <v>33.824999999999996</v>
      </c>
      <c r="G35" s="1251">
        <f t="shared" si="4"/>
        <v>33.417499999999997</v>
      </c>
      <c r="H35" s="1251">
        <f t="shared" si="4"/>
        <v>31.915000000000003</v>
      </c>
      <c r="I35" s="1251">
        <f t="shared" si="4"/>
        <v>28.167499999999997</v>
      </c>
      <c r="J35" s="79"/>
      <c r="L35" s="190"/>
      <c r="M35" s="190"/>
    </row>
    <row r="36" spans="1:15" s="548" customFormat="1">
      <c r="A36" s="1447">
        <v>45446</v>
      </c>
      <c r="B36" s="1455">
        <v>34.04</v>
      </c>
      <c r="C36" s="1456">
        <v>33.53</v>
      </c>
      <c r="D36" s="1456">
        <v>32.03</v>
      </c>
      <c r="E36" s="1457">
        <v>28.32</v>
      </c>
      <c r="F36" s="1453">
        <v>32.950000000000003</v>
      </c>
      <c r="G36" s="1453">
        <v>32.51</v>
      </c>
      <c r="H36" s="1453">
        <v>31.01</v>
      </c>
      <c r="I36" s="1454">
        <v>27.31</v>
      </c>
      <c r="L36" s="1354"/>
      <c r="M36" s="1354"/>
    </row>
    <row r="37" spans="1:15" s="548" customFormat="1">
      <c r="A37" s="1443">
        <v>45453</v>
      </c>
      <c r="B37" s="1444">
        <v>33.950000000000003</v>
      </c>
      <c r="C37" s="1445">
        <v>33.4</v>
      </c>
      <c r="D37" s="1445">
        <v>31.89</v>
      </c>
      <c r="E37" s="1446">
        <v>28.17</v>
      </c>
      <c r="F37" s="1445">
        <v>32.880000000000003</v>
      </c>
      <c r="G37" s="1445">
        <v>32.380000000000003</v>
      </c>
      <c r="H37" s="1445">
        <v>30.88</v>
      </c>
      <c r="I37" s="1446">
        <v>27.18</v>
      </c>
      <c r="L37" s="1354"/>
      <c r="M37" s="1354"/>
    </row>
    <row r="38" spans="1:15" s="548" customFormat="1">
      <c r="A38" s="1447">
        <v>45460</v>
      </c>
      <c r="B38" s="1459">
        <v>33.94</v>
      </c>
      <c r="C38" s="1453">
        <v>33.39</v>
      </c>
      <c r="D38" s="1453">
        <v>31.87</v>
      </c>
      <c r="E38" s="1454">
        <v>28.55</v>
      </c>
      <c r="F38" s="1453">
        <v>32.880000000000003</v>
      </c>
      <c r="G38" s="1453">
        <v>32.380000000000003</v>
      </c>
      <c r="H38" s="1453">
        <v>30.88</v>
      </c>
      <c r="I38" s="1454">
        <v>27.56</v>
      </c>
      <c r="L38" s="1354"/>
      <c r="M38" s="1354"/>
    </row>
    <row r="39" spans="1:15" s="548" customFormat="1" ht="13.5" thickBot="1">
      <c r="A39" s="1443">
        <v>45467</v>
      </c>
      <c r="B39" s="1449">
        <v>33.93</v>
      </c>
      <c r="C39" s="1450">
        <v>33.39</v>
      </c>
      <c r="D39" s="1450">
        <v>31.87</v>
      </c>
      <c r="E39" s="1451">
        <v>28.62</v>
      </c>
      <c r="F39" s="1445">
        <v>32.9</v>
      </c>
      <c r="G39" s="1445">
        <v>32.4</v>
      </c>
      <c r="H39" s="1445">
        <v>30.91</v>
      </c>
      <c r="I39" s="1446">
        <v>27.68</v>
      </c>
    </row>
    <row r="40" spans="1:15" s="548" customFormat="1" ht="13.5" thickBot="1">
      <c r="A40" s="1212" t="s">
        <v>7</v>
      </c>
      <c r="B40" s="1486">
        <f>AVERAGE(B36:B39)</f>
        <v>33.965000000000003</v>
      </c>
      <c r="C40" s="1486">
        <f t="shared" ref="C40:I40" si="5">AVERAGE(C36:C39)</f>
        <v>33.427500000000002</v>
      </c>
      <c r="D40" s="1486">
        <f t="shared" si="5"/>
        <v>31.915000000000003</v>
      </c>
      <c r="E40" s="1486">
        <f t="shared" si="5"/>
        <v>28.415000000000003</v>
      </c>
      <c r="F40" s="1486">
        <f t="shared" si="5"/>
        <v>32.902500000000003</v>
      </c>
      <c r="G40" s="1486">
        <f t="shared" si="5"/>
        <v>32.417500000000004</v>
      </c>
      <c r="H40" s="1486">
        <f t="shared" si="5"/>
        <v>30.919999999999998</v>
      </c>
      <c r="I40" s="1486">
        <f t="shared" si="5"/>
        <v>27.432499999999997</v>
      </c>
      <c r="L40" s="1354"/>
      <c r="M40" s="1354"/>
    </row>
    <row r="41" spans="1:15" s="548" customFormat="1">
      <c r="A41" s="1452">
        <v>45476</v>
      </c>
      <c r="B41" s="1453">
        <v>34.22</v>
      </c>
      <c r="C41" s="1453">
        <v>33.659999999999997</v>
      </c>
      <c r="D41" s="1453">
        <v>32.14</v>
      </c>
      <c r="E41" s="1453">
        <v>29.53</v>
      </c>
      <c r="F41" s="1455">
        <v>33.18</v>
      </c>
      <c r="G41" s="1456">
        <v>32.67</v>
      </c>
      <c r="H41" s="1456">
        <v>31.17</v>
      </c>
      <c r="I41" s="1457">
        <v>28.53</v>
      </c>
      <c r="L41" s="1354"/>
      <c r="M41" s="1354"/>
    </row>
    <row r="42" spans="1:15" s="548" customFormat="1">
      <c r="A42" s="1458">
        <v>45481</v>
      </c>
      <c r="B42" s="1445">
        <v>34.24</v>
      </c>
      <c r="C42" s="1445">
        <v>33.659999999999997</v>
      </c>
      <c r="D42" s="1445">
        <v>32.14</v>
      </c>
      <c r="E42" s="1445">
        <v>29.16</v>
      </c>
      <c r="F42" s="1444">
        <v>33.17</v>
      </c>
      <c r="G42" s="1445">
        <v>32.68</v>
      </c>
      <c r="H42" s="1445">
        <v>31.17</v>
      </c>
      <c r="I42" s="1446">
        <v>28.16</v>
      </c>
    </row>
    <row r="43" spans="1:15" s="548" customFormat="1" ht="13.5" customHeight="1">
      <c r="A43" s="1452">
        <v>45488</v>
      </c>
      <c r="B43" s="1453">
        <v>34.85</v>
      </c>
      <c r="C43" s="1453">
        <v>34.22</v>
      </c>
      <c r="D43" s="1453">
        <v>32.69</v>
      </c>
      <c r="E43" s="1453">
        <v>29.53</v>
      </c>
      <c r="F43" s="1459">
        <v>33.78</v>
      </c>
      <c r="G43" s="1453">
        <v>33.229999999999997</v>
      </c>
      <c r="H43" s="1453">
        <v>31.73</v>
      </c>
      <c r="I43" s="1454">
        <v>28.55</v>
      </c>
    </row>
    <row r="44" spans="1:15" s="548" customFormat="1" ht="13.5" customHeight="1">
      <c r="A44" s="1458">
        <v>45495</v>
      </c>
      <c r="B44" s="1445">
        <v>34.5</v>
      </c>
      <c r="C44" s="1445">
        <v>33.770000000000003</v>
      </c>
      <c r="D44" s="1445">
        <v>32.26</v>
      </c>
      <c r="E44" s="1445">
        <v>29.06</v>
      </c>
      <c r="F44" s="1444">
        <v>33.25</v>
      </c>
      <c r="G44" s="1445">
        <v>32.79</v>
      </c>
      <c r="H44" s="1445">
        <v>31.29</v>
      </c>
      <c r="I44" s="1446">
        <v>28.09</v>
      </c>
    </row>
    <row r="45" spans="1:15" s="548" customFormat="1" ht="13.5" thickBot="1">
      <c r="A45" s="1452">
        <v>45502</v>
      </c>
      <c r="B45" s="1453">
        <v>34.24</v>
      </c>
      <c r="C45" s="1453">
        <v>33.64</v>
      </c>
      <c r="D45" s="1453">
        <v>32.119999999999997</v>
      </c>
      <c r="E45" s="1453">
        <v>28.91</v>
      </c>
      <c r="F45" s="1460">
        <v>33.1</v>
      </c>
      <c r="G45" s="1461">
        <v>32.630000000000003</v>
      </c>
      <c r="H45" s="1461">
        <v>31.13</v>
      </c>
      <c r="I45" s="1462">
        <v>27.93</v>
      </c>
    </row>
    <row r="46" spans="1:15" s="548" customFormat="1" ht="13.5" thickBot="1">
      <c r="A46" s="1212" t="s">
        <v>7</v>
      </c>
      <c r="B46" s="1213">
        <f>AVERAGE(B41:B45)</f>
        <v>34.410000000000004</v>
      </c>
      <c r="C46" s="1213">
        <f t="shared" ref="C46:I46" si="6">AVERAGE(C41:C45)</f>
        <v>33.79</v>
      </c>
      <c r="D46" s="1213">
        <f t="shared" si="6"/>
        <v>32.269999999999996</v>
      </c>
      <c r="E46" s="1213">
        <f t="shared" si="6"/>
        <v>29.238</v>
      </c>
      <c r="F46" s="1213">
        <f t="shared" si="6"/>
        <v>33.295999999999999</v>
      </c>
      <c r="G46" s="1213">
        <f t="shared" si="6"/>
        <v>32.799999999999997</v>
      </c>
      <c r="H46" s="1213">
        <f t="shared" si="6"/>
        <v>31.298000000000002</v>
      </c>
      <c r="I46" s="1213">
        <f t="shared" si="6"/>
        <v>28.251999999999999</v>
      </c>
    </row>
    <row r="47" spans="1:15" s="548" customFormat="1">
      <c r="A47" s="1452">
        <v>45509</v>
      </c>
      <c r="B47" s="1453">
        <v>34.090000000000003</v>
      </c>
      <c r="C47" s="1453">
        <v>33.6</v>
      </c>
      <c r="D47" s="1453">
        <v>32.07</v>
      </c>
      <c r="E47" s="1453">
        <v>28.76</v>
      </c>
      <c r="F47" s="1455">
        <v>33.01</v>
      </c>
      <c r="G47" s="1456">
        <v>32.65</v>
      </c>
      <c r="H47" s="1456">
        <v>31.14</v>
      </c>
      <c r="I47" s="1457">
        <v>27.8</v>
      </c>
    </row>
    <row r="48" spans="1:15" s="548" customFormat="1">
      <c r="A48" s="1458">
        <v>45516</v>
      </c>
      <c r="B48" s="1444">
        <v>34.549999999999997</v>
      </c>
      <c r="C48" s="1445">
        <v>33.799999999999997</v>
      </c>
      <c r="D48" s="1445">
        <v>32.25</v>
      </c>
      <c r="E48" s="1446">
        <v>28.2</v>
      </c>
      <c r="F48" s="1444">
        <v>33.49</v>
      </c>
      <c r="G48" s="1445">
        <v>32.9</v>
      </c>
      <c r="H48" s="1445">
        <v>31.41</v>
      </c>
      <c r="I48" s="1446">
        <v>27.34</v>
      </c>
    </row>
    <row r="49" spans="1:15" s="548" customFormat="1">
      <c r="A49" s="1452">
        <v>45523</v>
      </c>
      <c r="B49" s="1467">
        <v>34.53</v>
      </c>
      <c r="C49" s="1467">
        <v>33.93</v>
      </c>
      <c r="D49" s="1467">
        <v>32.4</v>
      </c>
      <c r="E49" s="1467">
        <v>28.25</v>
      </c>
      <c r="F49" s="1465">
        <v>33.450000000000003</v>
      </c>
      <c r="G49" s="1467">
        <v>32.96</v>
      </c>
      <c r="H49" s="1467">
        <v>31.46</v>
      </c>
      <c r="I49" s="1448">
        <v>27.31</v>
      </c>
    </row>
    <row r="50" spans="1:15" s="548" customFormat="1" ht="13.5" thickBot="1">
      <c r="A50" s="1458">
        <v>45530</v>
      </c>
      <c r="B50" s="1444">
        <v>33.840000000000003</v>
      </c>
      <c r="C50" s="1445">
        <v>33.26</v>
      </c>
      <c r="D50" s="1445">
        <v>31.73</v>
      </c>
      <c r="E50" s="1446">
        <v>28.19</v>
      </c>
      <c r="F50" s="1444">
        <v>32.74</v>
      </c>
      <c r="G50" s="1445">
        <v>32.28</v>
      </c>
      <c r="H50" s="1445">
        <v>30.78</v>
      </c>
      <c r="I50" s="1446">
        <v>27.24</v>
      </c>
    </row>
    <row r="51" spans="1:15" s="548" customFormat="1" ht="13.5" thickBot="1">
      <c r="A51" s="1212" t="s">
        <v>7</v>
      </c>
      <c r="B51" s="1213">
        <f>AVERAGE(B47:B50)</f>
        <v>34.252499999999998</v>
      </c>
      <c r="C51" s="1213">
        <f t="shared" ref="C51:I51" si="7">AVERAGE(C47:C50)</f>
        <v>33.647500000000001</v>
      </c>
      <c r="D51" s="1213">
        <f>AVERAGE(D47:D50)</f>
        <v>32.112499999999997</v>
      </c>
      <c r="E51" s="1213">
        <f t="shared" si="7"/>
        <v>28.35</v>
      </c>
      <c r="F51" s="1213">
        <f t="shared" si="7"/>
        <v>33.172499999999999</v>
      </c>
      <c r="G51" s="1213">
        <f t="shared" si="7"/>
        <v>32.697499999999998</v>
      </c>
      <c r="H51" s="1213">
        <f t="shared" si="7"/>
        <v>31.197499999999998</v>
      </c>
      <c r="I51" s="1213">
        <f t="shared" si="7"/>
        <v>27.422499999999999</v>
      </c>
    </row>
    <row r="52" spans="1:15" s="548" customFormat="1">
      <c r="A52" s="1452">
        <v>45537</v>
      </c>
      <c r="B52" s="1455">
        <v>33.28</v>
      </c>
      <c r="C52" s="1456">
        <v>32.69</v>
      </c>
      <c r="D52" s="1456">
        <v>31.16</v>
      </c>
      <c r="E52" s="1457">
        <v>28.15</v>
      </c>
      <c r="F52" s="1456">
        <v>32.19</v>
      </c>
      <c r="G52" s="1456">
        <v>31.71</v>
      </c>
      <c r="H52" s="1456">
        <v>30.21</v>
      </c>
      <c r="I52" s="1457">
        <v>27.2</v>
      </c>
    </row>
    <row r="53" spans="1:15" s="548" customFormat="1">
      <c r="A53" s="1458" t="s">
        <v>740</v>
      </c>
      <c r="B53" s="1444">
        <v>32.78</v>
      </c>
      <c r="C53" s="1445">
        <v>32.18</v>
      </c>
      <c r="D53" s="1445">
        <v>30.65</v>
      </c>
      <c r="E53" s="1446">
        <v>27.88</v>
      </c>
      <c r="F53" s="1445">
        <v>31.73</v>
      </c>
      <c r="G53" s="1445">
        <v>31.18</v>
      </c>
      <c r="H53" s="1445">
        <v>29.68</v>
      </c>
      <c r="I53" s="1446">
        <v>26.91</v>
      </c>
    </row>
    <row r="54" spans="1:15" s="548" customFormat="1">
      <c r="A54" s="1452">
        <v>45552</v>
      </c>
      <c r="B54" s="1459">
        <v>31.1</v>
      </c>
      <c r="C54" s="1453">
        <v>30.99</v>
      </c>
      <c r="D54" s="1453">
        <v>29.47</v>
      </c>
      <c r="E54" s="1454">
        <v>26.95</v>
      </c>
      <c r="F54" s="1467">
        <v>30.09</v>
      </c>
      <c r="G54" s="1467">
        <v>30.01</v>
      </c>
      <c r="H54" s="1467">
        <v>28.51</v>
      </c>
      <c r="I54" s="1448">
        <v>25.98</v>
      </c>
    </row>
    <row r="55" spans="1:15" s="548" customFormat="1">
      <c r="A55" s="1458">
        <v>45558</v>
      </c>
      <c r="B55" s="1444">
        <v>31.15</v>
      </c>
      <c r="C55" s="1445">
        <v>30.51</v>
      </c>
      <c r="D55" s="1445">
        <v>28.99</v>
      </c>
      <c r="E55" s="1446">
        <v>26.46</v>
      </c>
      <c r="F55" s="1445">
        <v>30.09</v>
      </c>
      <c r="G55" s="1445">
        <v>29.51</v>
      </c>
      <c r="H55" s="1445">
        <v>27.99</v>
      </c>
      <c r="I55" s="1446">
        <v>25.5</v>
      </c>
      <c r="L55" s="1039"/>
      <c r="M55" s="1039"/>
      <c r="N55" s="1039"/>
      <c r="O55" s="1039"/>
    </row>
    <row r="56" spans="1:15" s="548" customFormat="1" ht="13.5" thickBot="1">
      <c r="A56" s="1452">
        <v>45565</v>
      </c>
      <c r="B56" s="1460">
        <v>31.13</v>
      </c>
      <c r="C56" s="1461">
        <v>30.5</v>
      </c>
      <c r="D56" s="1461">
        <v>28.98</v>
      </c>
      <c r="E56" s="1462">
        <v>26.46</v>
      </c>
      <c r="F56" s="1453">
        <v>30.01</v>
      </c>
      <c r="G56" s="1453">
        <v>29.5</v>
      </c>
      <c r="H56" s="1453">
        <v>28</v>
      </c>
      <c r="I56" s="1453">
        <v>25.5</v>
      </c>
      <c r="L56" s="548">
        <v>11</v>
      </c>
    </row>
    <row r="57" spans="1:15" s="548" customFormat="1" ht="13.5" thickBot="1">
      <c r="A57" s="1212" t="s">
        <v>7</v>
      </c>
      <c r="B57" s="1213">
        <f>AVERAGE(B52:B56)</f>
        <v>31.887999999999998</v>
      </c>
      <c r="C57" s="1213">
        <f t="shared" ref="C57:I57" si="8">AVERAGE(C52:C56)</f>
        <v>31.374000000000002</v>
      </c>
      <c r="D57" s="1213">
        <f t="shared" si="8"/>
        <v>29.85</v>
      </c>
      <c r="E57" s="1213">
        <f t="shared" si="8"/>
        <v>27.18</v>
      </c>
      <c r="F57" s="1213">
        <f t="shared" si="8"/>
        <v>30.822000000000003</v>
      </c>
      <c r="G57" s="1213">
        <f t="shared" si="8"/>
        <v>30.382000000000005</v>
      </c>
      <c r="H57" s="1213">
        <f t="shared" si="8"/>
        <v>28.877999999999997</v>
      </c>
      <c r="I57" s="1213">
        <f t="shared" si="8"/>
        <v>26.218</v>
      </c>
      <c r="J57" s="651"/>
      <c r="K57" s="1039"/>
      <c r="L57" s="1039">
        <v>30</v>
      </c>
      <c r="M57" s="1039"/>
      <c r="N57" s="1039"/>
    </row>
    <row r="58" spans="1:15" s="548" customFormat="1">
      <c r="A58" s="1452">
        <v>45572</v>
      </c>
      <c r="B58" s="1455">
        <v>30.61</v>
      </c>
      <c r="C58" s="1456">
        <v>30.15</v>
      </c>
      <c r="D58" s="1456">
        <v>28.62</v>
      </c>
      <c r="E58" s="1457">
        <v>26.4</v>
      </c>
      <c r="F58" s="1456">
        <v>29.56</v>
      </c>
      <c r="G58" s="1456">
        <v>29.16</v>
      </c>
      <c r="H58" s="1456">
        <v>27.66</v>
      </c>
      <c r="I58" s="1457">
        <v>25.43</v>
      </c>
      <c r="J58" s="651"/>
      <c r="L58" s="548">
        <v>38</v>
      </c>
    </row>
    <row r="59" spans="1:15" s="548" customFormat="1">
      <c r="A59" s="1458">
        <v>45579</v>
      </c>
      <c r="B59" s="1444">
        <v>32</v>
      </c>
      <c r="C59" s="1445">
        <v>31.46</v>
      </c>
      <c r="D59" s="1445">
        <v>29.93</v>
      </c>
      <c r="E59" s="1446">
        <v>27.75</v>
      </c>
      <c r="F59" s="1445">
        <v>30.97</v>
      </c>
      <c r="G59" s="1445">
        <v>30.48</v>
      </c>
      <c r="H59" s="1445">
        <v>29.01</v>
      </c>
      <c r="I59" s="1446">
        <v>26.77</v>
      </c>
      <c r="J59" s="651"/>
      <c r="L59" s="548" cm="1">
        <f t="array" ref="L59:L61">+(L56:L58)</f>
        <v>11</v>
      </c>
    </row>
    <row r="60" spans="1:15" s="548" customFormat="1">
      <c r="A60" s="1452">
        <v>45587</v>
      </c>
      <c r="B60" s="1459">
        <v>31.19</v>
      </c>
      <c r="C60" s="1453">
        <v>31.11</v>
      </c>
      <c r="D60" s="1453">
        <v>29.58</v>
      </c>
      <c r="E60" s="1454">
        <v>27.38</v>
      </c>
      <c r="F60" s="1453">
        <v>30.09</v>
      </c>
      <c r="G60" s="1453">
        <v>30.11</v>
      </c>
      <c r="H60" s="1453">
        <v>28.62</v>
      </c>
      <c r="I60" s="1454">
        <v>26.39</v>
      </c>
      <c r="J60" s="651"/>
      <c r="L60" s="548">
        <v>30</v>
      </c>
    </row>
    <row r="61" spans="1:15" s="548" customFormat="1" ht="13.5" thickBot="1">
      <c r="A61" s="1458">
        <v>45593</v>
      </c>
      <c r="B61" s="1444">
        <v>31.62</v>
      </c>
      <c r="C61" s="1445">
        <v>30.98</v>
      </c>
      <c r="D61" s="1445">
        <v>29.46</v>
      </c>
      <c r="E61" s="1446">
        <v>27.27</v>
      </c>
      <c r="F61" s="1444">
        <v>30.49</v>
      </c>
      <c r="G61" s="1445">
        <v>29.98</v>
      </c>
      <c r="H61" s="1445">
        <v>28.48</v>
      </c>
      <c r="I61" s="1446">
        <v>26.28</v>
      </c>
      <c r="J61" s="651"/>
      <c r="L61" s="548">
        <v>38</v>
      </c>
    </row>
    <row r="62" spans="1:15" s="548" customFormat="1" ht="13.5" thickBot="1">
      <c r="A62" s="1463" t="s">
        <v>7</v>
      </c>
      <c r="B62" s="1213">
        <f t="shared" ref="B62:I62" si="9">AVERAGE(B58:B61)</f>
        <v>31.355</v>
      </c>
      <c r="C62" s="1213">
        <f t="shared" si="9"/>
        <v>30.925000000000001</v>
      </c>
      <c r="D62" s="1213">
        <f t="shared" si="9"/>
        <v>29.397500000000001</v>
      </c>
      <c r="E62" s="1213">
        <f t="shared" si="9"/>
        <v>27.2</v>
      </c>
      <c r="F62" s="1213">
        <f t="shared" si="9"/>
        <v>30.2775</v>
      </c>
      <c r="G62" s="1213">
        <f t="shared" si="9"/>
        <v>29.932500000000001</v>
      </c>
      <c r="H62" s="1213">
        <f t="shared" si="9"/>
        <v>28.442500000000003</v>
      </c>
      <c r="I62" s="1214">
        <f t="shared" si="9"/>
        <v>26.217500000000001</v>
      </c>
      <c r="J62" s="651"/>
    </row>
    <row r="63" spans="1:15" s="548" customFormat="1">
      <c r="A63" s="1452"/>
      <c r="B63" s="1453"/>
      <c r="C63" s="1453"/>
      <c r="D63" s="1453"/>
      <c r="E63" s="1453"/>
      <c r="F63" s="1455"/>
      <c r="G63" s="1456"/>
      <c r="H63" s="1456"/>
      <c r="I63" s="1457"/>
      <c r="J63" s="651"/>
    </row>
    <row r="64" spans="1:15" s="548" customFormat="1">
      <c r="A64" s="1458"/>
      <c r="B64" s="1444"/>
      <c r="C64" s="1445"/>
      <c r="D64" s="1445"/>
      <c r="E64" s="1446"/>
      <c r="F64" s="1444"/>
      <c r="G64" s="1445"/>
      <c r="H64" s="1445"/>
      <c r="I64" s="1446"/>
      <c r="J64" s="651"/>
    </row>
    <row r="65" spans="1:10" s="548" customFormat="1" ht="13.5" customHeight="1">
      <c r="A65" s="1452"/>
      <c r="B65" s="1467"/>
      <c r="C65" s="1467"/>
      <c r="D65" s="1467"/>
      <c r="E65" s="1467"/>
      <c r="F65" s="1465"/>
      <c r="G65" s="1467"/>
      <c r="H65" s="1467"/>
      <c r="I65" s="1448"/>
      <c r="J65" s="651"/>
    </row>
    <row r="66" spans="1:10" s="548" customFormat="1" ht="13.5" thickBot="1">
      <c r="A66" s="1458"/>
      <c r="B66" s="1444"/>
      <c r="C66" s="1445"/>
      <c r="D66" s="1445"/>
      <c r="E66" s="1446"/>
      <c r="F66" s="1444"/>
      <c r="G66" s="1445"/>
      <c r="H66" s="1445"/>
      <c r="I66" s="1446"/>
      <c r="J66" s="651"/>
    </row>
    <row r="67" spans="1:10" s="548" customFormat="1" ht="13.5" thickBot="1">
      <c r="A67" s="1463" t="s">
        <v>130</v>
      </c>
      <c r="B67" s="1464" t="e">
        <f>AVERAGE(B63:B66)</f>
        <v>#DIV/0!</v>
      </c>
      <c r="C67" s="1464" t="e">
        <f t="shared" ref="C67:I67" si="10">AVERAGE(C63:C66)</f>
        <v>#DIV/0!</v>
      </c>
      <c r="D67" s="1464" t="e">
        <f t="shared" si="10"/>
        <v>#DIV/0!</v>
      </c>
      <c r="E67" s="1464" t="e">
        <f t="shared" si="10"/>
        <v>#DIV/0!</v>
      </c>
      <c r="F67" s="1464" t="e">
        <f t="shared" si="10"/>
        <v>#DIV/0!</v>
      </c>
      <c r="G67" s="1464" t="e">
        <f t="shared" si="10"/>
        <v>#DIV/0!</v>
      </c>
      <c r="H67" s="1464" t="e">
        <f t="shared" si="10"/>
        <v>#DIV/0!</v>
      </c>
      <c r="I67" s="1466" t="e">
        <f t="shared" si="10"/>
        <v>#DIV/0!</v>
      </c>
      <c r="J67" s="651"/>
    </row>
    <row r="68" spans="1:10" s="548" customFormat="1" ht="12.75" customHeight="1">
      <c r="A68" s="1452"/>
      <c r="B68" s="1453"/>
      <c r="C68" s="1453"/>
      <c r="D68" s="1453"/>
      <c r="E68" s="1453"/>
      <c r="F68" s="1455"/>
      <c r="G68" s="1456"/>
      <c r="H68" s="1456"/>
      <c r="I68" s="1457"/>
      <c r="J68" s="651"/>
    </row>
    <row r="69" spans="1:10" s="548" customFormat="1" ht="12.75" customHeight="1">
      <c r="A69" s="1458"/>
      <c r="B69" s="1444"/>
      <c r="C69" s="1445"/>
      <c r="D69" s="1445"/>
      <c r="E69" s="1446"/>
      <c r="F69" s="1444"/>
      <c r="G69" s="1445"/>
      <c r="H69" s="1445"/>
      <c r="I69" s="1446"/>
      <c r="J69" s="651"/>
    </row>
    <row r="70" spans="1:10" s="548" customFormat="1" ht="12.75" customHeight="1">
      <c r="A70" s="1452"/>
      <c r="B70" s="1467"/>
      <c r="C70" s="1467"/>
      <c r="D70" s="1467"/>
      <c r="E70" s="1467"/>
      <c r="F70" s="1465"/>
      <c r="G70" s="1467"/>
      <c r="H70" s="1467"/>
      <c r="I70" s="1448"/>
      <c r="J70" s="651"/>
    </row>
    <row r="71" spans="1:10" s="548" customFormat="1" ht="12.75" customHeight="1" thickBot="1">
      <c r="A71" s="1458"/>
      <c r="B71" s="1444"/>
      <c r="C71" s="1445"/>
      <c r="D71" s="1445"/>
      <c r="E71" s="1446"/>
      <c r="F71" s="1444"/>
      <c r="G71" s="1445"/>
      <c r="H71" s="1445"/>
      <c r="I71" s="1446"/>
      <c r="J71" s="651"/>
    </row>
    <row r="72" spans="1:10" s="548" customFormat="1" ht="13.5" thickBot="1">
      <c r="A72" s="1463" t="s">
        <v>130</v>
      </c>
      <c r="B72" s="1464" t="e">
        <f>AVERAGE(B68:B71)</f>
        <v>#DIV/0!</v>
      </c>
      <c r="C72" s="1464" t="e">
        <f t="shared" ref="C72:I72" si="11">AVERAGE(C68:C71)</f>
        <v>#DIV/0!</v>
      </c>
      <c r="D72" s="1464" t="e">
        <f t="shared" si="11"/>
        <v>#DIV/0!</v>
      </c>
      <c r="E72" s="1464" t="e">
        <f t="shared" si="11"/>
        <v>#DIV/0!</v>
      </c>
      <c r="F72" s="1464" t="e">
        <f t="shared" si="11"/>
        <v>#DIV/0!</v>
      </c>
      <c r="G72" s="1464" t="e">
        <f t="shared" si="11"/>
        <v>#DIV/0!</v>
      </c>
      <c r="H72" s="1464" t="e">
        <f t="shared" si="11"/>
        <v>#DIV/0!</v>
      </c>
      <c r="I72" s="1466" t="e">
        <f t="shared" si="11"/>
        <v>#DIV/0!</v>
      </c>
      <c r="J72" s="651"/>
    </row>
    <row r="73" spans="1:10" s="548" customFormat="1">
      <c r="A73" s="1434"/>
      <c r="B73" s="1434"/>
      <c r="C73" s="1434"/>
      <c r="D73" s="1434"/>
      <c r="E73" s="1434"/>
      <c r="F73" s="1434"/>
      <c r="G73" s="1434"/>
      <c r="H73" s="1434"/>
      <c r="I73" s="1434"/>
      <c r="J73" s="651"/>
    </row>
    <row r="74" spans="1:10" s="548" customFormat="1" ht="15">
      <c r="A74" s="1434"/>
      <c r="B74" s="1435"/>
      <c r="C74" s="1434"/>
      <c r="D74" s="1434"/>
      <c r="E74" s="1434"/>
      <c r="F74" s="1434"/>
      <c r="G74" s="1434"/>
      <c r="H74" s="1434"/>
      <c r="I74" s="1434"/>
      <c r="J74" s="651"/>
    </row>
    <row r="75" spans="1:10">
      <c r="A75" s="1436"/>
      <c r="B75" s="1436"/>
      <c r="C75" s="1436"/>
      <c r="D75" s="1436"/>
      <c r="E75" s="1436"/>
      <c r="F75" s="1436"/>
      <c r="G75" s="1436"/>
      <c r="H75" s="1436"/>
      <c r="I75" s="1436"/>
      <c r="J75" s="127"/>
    </row>
    <row r="76" spans="1:10">
      <c r="A76" s="1436"/>
      <c r="B76" s="1436"/>
      <c r="C76" s="1436"/>
      <c r="D76" s="1436"/>
      <c r="E76" s="1436"/>
      <c r="F76" s="1436"/>
      <c r="G76" s="1436"/>
      <c r="H76" s="1436"/>
      <c r="I76" s="1436"/>
      <c r="J76" s="127"/>
    </row>
    <row r="77" spans="1:10">
      <c r="A77" s="1436"/>
      <c r="B77" s="1436"/>
      <c r="C77" s="1436"/>
      <c r="D77" s="1436"/>
      <c r="E77" s="1436"/>
      <c r="F77" s="1436"/>
      <c r="G77" s="1436"/>
      <c r="H77" s="1436"/>
      <c r="I77" s="1436"/>
      <c r="J77" s="127"/>
    </row>
    <row r="78" spans="1:10">
      <c r="A78" s="1436"/>
      <c r="B78" s="1436"/>
      <c r="C78" s="1436"/>
      <c r="D78" s="1436"/>
      <c r="E78" s="1436"/>
      <c r="F78" s="1436"/>
      <c r="G78" s="1436"/>
      <c r="H78" s="1436"/>
      <c r="I78" s="1436"/>
      <c r="J78" s="127"/>
    </row>
    <row r="79" spans="1:10">
      <c r="A79" s="127"/>
      <c r="B79" s="127"/>
      <c r="C79" s="127"/>
      <c r="D79" s="127"/>
      <c r="E79" s="127"/>
      <c r="F79" s="127"/>
      <c r="G79" s="127"/>
      <c r="H79" s="127"/>
      <c r="I79" s="127"/>
      <c r="J79" s="127"/>
    </row>
    <row r="80" spans="1:10">
      <c r="A80" s="127"/>
      <c r="B80" s="127"/>
      <c r="C80" s="127"/>
      <c r="D80" s="127"/>
      <c r="E80" s="127"/>
      <c r="F80" s="127"/>
      <c r="G80" s="127"/>
      <c r="H80" s="127"/>
      <c r="I80" s="127"/>
      <c r="J80" s="127"/>
    </row>
    <row r="81" spans="1:10">
      <c r="A81" s="127"/>
      <c r="B81" s="127"/>
      <c r="C81" s="127"/>
      <c r="D81" s="127"/>
      <c r="E81" s="127"/>
      <c r="F81" s="127"/>
      <c r="G81" s="127"/>
      <c r="H81" s="127"/>
      <c r="I81" s="127"/>
      <c r="J81" s="127"/>
    </row>
    <row r="82" spans="1:10">
      <c r="A82" s="127"/>
      <c r="B82" s="127"/>
      <c r="C82" s="127"/>
      <c r="D82" s="127"/>
      <c r="E82" s="127"/>
      <c r="F82" s="127"/>
      <c r="G82" s="127"/>
      <c r="H82" s="127"/>
      <c r="I82" s="127"/>
      <c r="J82" s="127"/>
    </row>
    <row r="83" spans="1:10">
      <c r="A83" s="127"/>
      <c r="B83" s="127"/>
      <c r="C83" s="127"/>
      <c r="D83" s="127"/>
      <c r="E83" s="127"/>
      <c r="F83" s="127"/>
      <c r="G83" s="127"/>
      <c r="H83" s="127"/>
      <c r="I83" s="127"/>
      <c r="J83" s="127"/>
    </row>
    <row r="84" spans="1:10">
      <c r="A84" s="127"/>
      <c r="B84" s="127"/>
      <c r="C84" s="127"/>
      <c r="D84" s="127"/>
      <c r="E84" s="127"/>
      <c r="F84" s="127"/>
      <c r="G84" s="127"/>
      <c r="H84" s="127"/>
      <c r="I84" s="127"/>
      <c r="J84" s="127"/>
    </row>
    <row r="85" spans="1:10">
      <c r="A85" s="127"/>
      <c r="B85" s="127"/>
      <c r="C85" s="127"/>
      <c r="D85" s="127"/>
      <c r="E85" s="127"/>
      <c r="F85" s="127"/>
      <c r="G85" s="127"/>
      <c r="H85" s="127"/>
      <c r="I85" s="127"/>
      <c r="J85" s="127"/>
    </row>
    <row r="86" spans="1:10">
      <c r="A86" s="127"/>
      <c r="B86" s="127"/>
      <c r="C86" s="127"/>
      <c r="D86" s="127"/>
      <c r="E86" s="127"/>
      <c r="F86" s="127"/>
      <c r="G86" s="127"/>
      <c r="H86" s="127"/>
      <c r="I86" s="127"/>
      <c r="J86" s="127"/>
    </row>
    <row r="87" spans="1:10">
      <c r="A87" s="127"/>
      <c r="B87" s="127"/>
      <c r="C87" s="127"/>
      <c r="D87" s="127"/>
      <c r="E87" s="127"/>
      <c r="F87" s="127"/>
      <c r="G87" s="127"/>
      <c r="H87" s="127"/>
      <c r="I87" s="127"/>
      <c r="J87" s="127"/>
    </row>
    <row r="88" spans="1:10">
      <c r="A88" s="127"/>
      <c r="B88" s="127"/>
      <c r="C88" s="127"/>
      <c r="D88" s="127"/>
      <c r="E88" s="127"/>
      <c r="F88" s="127"/>
      <c r="G88" s="127"/>
      <c r="H88" s="127"/>
      <c r="I88" s="127"/>
      <c r="J88" s="127"/>
    </row>
    <row r="89" spans="1:10">
      <c r="A89" s="127"/>
      <c r="B89" s="127"/>
      <c r="C89" s="127"/>
      <c r="D89" s="127"/>
      <c r="E89" s="127"/>
      <c r="F89" s="127"/>
      <c r="G89" s="127"/>
      <c r="H89" s="127"/>
      <c r="I89" s="127"/>
      <c r="J89" s="127"/>
    </row>
    <row r="90" spans="1:10">
      <c r="A90" s="127"/>
      <c r="B90" s="127"/>
      <c r="C90" s="127"/>
      <c r="D90" s="127"/>
      <c r="E90" s="127"/>
      <c r="F90" s="127"/>
      <c r="G90" s="127"/>
      <c r="H90" s="127"/>
      <c r="I90" s="127"/>
      <c r="J90" s="127"/>
    </row>
    <row r="91" spans="1:10">
      <c r="A91" s="127"/>
      <c r="B91" s="127"/>
      <c r="C91" s="127"/>
      <c r="D91" s="127"/>
      <c r="E91" s="127"/>
      <c r="F91" s="127"/>
      <c r="G91" s="127"/>
      <c r="H91" s="127"/>
      <c r="I91" s="127"/>
      <c r="J91" s="127"/>
    </row>
    <row r="92" spans="1:10">
      <c r="A92" s="127"/>
      <c r="B92" s="127"/>
      <c r="C92" s="127"/>
      <c r="D92" s="127"/>
      <c r="E92" s="127"/>
      <c r="F92" s="127"/>
      <c r="G92" s="127"/>
      <c r="H92" s="127"/>
      <c r="I92" s="127"/>
      <c r="J92" s="127"/>
    </row>
    <row r="93" spans="1:10">
      <c r="A93" s="127"/>
      <c r="B93" s="127"/>
      <c r="C93" s="127"/>
      <c r="D93" s="127"/>
      <c r="E93" s="127"/>
      <c r="F93" s="127"/>
      <c r="G93" s="127"/>
      <c r="H93" s="127"/>
      <c r="I93" s="127"/>
      <c r="J93" s="127"/>
    </row>
    <row r="94" spans="1:10">
      <c r="A94" s="127"/>
      <c r="B94" s="127"/>
      <c r="C94" s="127"/>
      <c r="D94" s="127"/>
      <c r="E94" s="127"/>
      <c r="F94" s="127"/>
      <c r="G94" s="127"/>
      <c r="H94" s="127"/>
      <c r="I94" s="127"/>
      <c r="J94" s="127"/>
    </row>
    <row r="95" spans="1:10">
      <c r="A95" s="127"/>
      <c r="B95" s="127"/>
      <c r="C95" s="127"/>
      <c r="D95" s="127"/>
      <c r="E95" s="127"/>
      <c r="F95" s="127"/>
      <c r="G95" s="127"/>
      <c r="H95" s="127"/>
      <c r="I95" s="127"/>
      <c r="J95" s="127"/>
    </row>
    <row r="96" spans="1:10">
      <c r="A96" s="127"/>
      <c r="B96" s="127"/>
      <c r="C96" s="127"/>
      <c r="D96" s="127"/>
      <c r="E96" s="127"/>
      <c r="F96" s="127"/>
      <c r="G96" s="127"/>
      <c r="H96" s="127"/>
      <c r="I96" s="127"/>
      <c r="J96" s="127"/>
    </row>
    <row r="97" spans="1:10">
      <c r="A97" s="127"/>
      <c r="B97" s="127"/>
      <c r="C97" s="127"/>
      <c r="D97" s="127"/>
      <c r="E97" s="127"/>
      <c r="F97" s="127"/>
      <c r="G97" s="127"/>
      <c r="H97" s="127"/>
      <c r="I97" s="127"/>
      <c r="J97" s="127"/>
    </row>
    <row r="98" spans="1:10">
      <c r="A98" s="127"/>
      <c r="B98" s="127"/>
      <c r="C98" s="127"/>
      <c r="D98" s="127"/>
      <c r="E98" s="127"/>
      <c r="F98" s="127"/>
      <c r="G98" s="127"/>
      <c r="H98" s="127"/>
      <c r="I98" s="127"/>
      <c r="J98" s="127"/>
    </row>
    <row r="99" spans="1:10">
      <c r="A99" s="127"/>
      <c r="B99" s="127"/>
      <c r="C99" s="127"/>
      <c r="D99" s="127"/>
      <c r="E99" s="127"/>
      <c r="F99" s="127"/>
      <c r="G99" s="127"/>
      <c r="H99" s="127"/>
      <c r="I99" s="127"/>
      <c r="J99" s="127"/>
    </row>
    <row r="100" spans="1:10">
      <c r="A100" s="127"/>
      <c r="B100" s="127"/>
      <c r="C100" s="127"/>
      <c r="D100" s="127"/>
      <c r="E100" s="127"/>
      <c r="F100" s="127"/>
      <c r="G100" s="127"/>
      <c r="H100" s="127"/>
      <c r="I100" s="127"/>
      <c r="J100" s="127"/>
    </row>
    <row r="101" spans="1:10">
      <c r="A101" s="127"/>
      <c r="B101" s="127"/>
      <c r="C101" s="127"/>
      <c r="D101" s="127"/>
      <c r="E101" s="127"/>
      <c r="F101" s="127"/>
      <c r="G101" s="127"/>
      <c r="H101" s="127"/>
      <c r="I101" s="127"/>
      <c r="J101" s="127"/>
    </row>
    <row r="102" spans="1:10">
      <c r="A102" s="127"/>
      <c r="B102" s="127"/>
      <c r="C102" s="127"/>
      <c r="D102" s="127"/>
      <c r="E102" s="127"/>
      <c r="F102" s="127"/>
      <c r="G102" s="127"/>
      <c r="H102" s="127"/>
      <c r="I102" s="127"/>
      <c r="J102" s="127"/>
    </row>
    <row r="103" spans="1:10">
      <c r="A103" s="127"/>
      <c r="B103" s="127"/>
      <c r="C103" s="127"/>
      <c r="D103" s="127"/>
      <c r="E103" s="127"/>
      <c r="F103" s="127"/>
      <c r="G103" s="127"/>
      <c r="H103" s="127"/>
      <c r="I103" s="127"/>
      <c r="J103" s="127"/>
    </row>
    <row r="104" spans="1:10">
      <c r="A104" s="127"/>
      <c r="B104" s="127"/>
      <c r="C104" s="127"/>
      <c r="D104" s="127"/>
      <c r="E104" s="127"/>
      <c r="F104" s="127"/>
      <c r="G104" s="127"/>
      <c r="H104" s="127"/>
      <c r="I104" s="127"/>
      <c r="J104" s="127"/>
    </row>
    <row r="105" spans="1:10">
      <c r="A105" s="127"/>
      <c r="B105" s="127"/>
      <c r="C105" s="127"/>
      <c r="D105" s="127"/>
      <c r="E105" s="127"/>
      <c r="F105" s="127"/>
      <c r="G105" s="127"/>
      <c r="H105" s="127"/>
      <c r="I105" s="127"/>
      <c r="J105" s="127"/>
    </row>
    <row r="106" spans="1:10">
      <c r="A106" s="127"/>
      <c r="B106" s="127"/>
      <c r="C106" s="127"/>
      <c r="D106" s="127"/>
      <c r="E106" s="127"/>
      <c r="F106" s="127"/>
      <c r="G106" s="127"/>
      <c r="H106" s="127"/>
      <c r="I106" s="127"/>
      <c r="J106" s="127"/>
    </row>
    <row r="107" spans="1:10">
      <c r="A107" s="127"/>
      <c r="B107" s="127"/>
      <c r="C107" s="127"/>
      <c r="D107" s="127"/>
      <c r="E107" s="127"/>
      <c r="F107" s="127"/>
      <c r="G107" s="127"/>
      <c r="H107" s="127"/>
      <c r="I107" s="127"/>
      <c r="J107" s="127"/>
    </row>
    <row r="108" spans="1:10">
      <c r="A108" s="127"/>
      <c r="B108" s="127"/>
      <c r="C108" s="127"/>
      <c r="D108" s="127"/>
      <c r="E108" s="127"/>
      <c r="F108" s="127"/>
      <c r="G108" s="127"/>
      <c r="H108" s="127"/>
      <c r="I108" s="127"/>
      <c r="J108" s="127"/>
    </row>
    <row r="109" spans="1:10">
      <c r="A109" s="127"/>
      <c r="B109" s="127"/>
      <c r="C109" s="127"/>
      <c r="D109" s="127"/>
      <c r="E109" s="127"/>
      <c r="F109" s="127"/>
      <c r="G109" s="127"/>
      <c r="H109" s="127"/>
      <c r="I109" s="127"/>
      <c r="J109" s="127"/>
    </row>
  </sheetData>
  <mergeCells count="8">
    <mergeCell ref="B7:E7"/>
    <mergeCell ref="F7:I7"/>
    <mergeCell ref="A1:I1"/>
    <mergeCell ref="A2:I2"/>
    <mergeCell ref="A3:I3"/>
    <mergeCell ref="A4:I4"/>
    <mergeCell ref="A5:I5"/>
    <mergeCell ref="A6:I6"/>
  </mergeCells>
  <pageMargins left="1.2598425196850394" right="0.43307086614173229" top="0.59055118110236227" bottom="0.98425196850393704" header="0" footer="0"/>
  <pageSetup scale="71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A5DB4-4A90-4167-9DAA-88C28EB507BA}">
  <dimension ref="A1:BA81"/>
  <sheetViews>
    <sheetView view="pageBreakPreview" topLeftCell="A43" zoomScale="85" zoomScaleNormal="100" zoomScaleSheetLayoutView="85" workbookViewId="0">
      <selection activeCell="AS21" sqref="AS21"/>
    </sheetView>
  </sheetViews>
  <sheetFormatPr baseColWidth="10" defaultColWidth="11.42578125" defaultRowHeight="12.75"/>
  <cols>
    <col min="1" max="1" width="17.42578125" style="1267" customWidth="1"/>
    <col min="2" max="13" width="13.85546875" style="1267" hidden="1" customWidth="1"/>
    <col min="14" max="14" width="9.140625" style="1267" hidden="1" customWidth="1"/>
    <col min="15" max="15" width="9" style="1267" hidden="1" customWidth="1"/>
    <col min="16" max="16" width="9.28515625" style="1267" hidden="1" customWidth="1"/>
    <col min="17" max="17" width="10.7109375" style="1267" hidden="1" customWidth="1"/>
    <col min="18" max="18" width="10" style="1267" hidden="1" customWidth="1"/>
    <col min="19" max="20" width="9.28515625" style="1267" hidden="1" customWidth="1"/>
    <col min="21" max="21" width="6.7109375" style="1267" hidden="1" customWidth="1"/>
    <col min="22" max="22" width="8.7109375" style="1267" hidden="1" customWidth="1"/>
    <col min="23" max="45" width="8.7109375" style="1267" customWidth="1"/>
    <col min="46" max="46" width="13.5703125" style="1267" bestFit="1" customWidth="1"/>
    <col min="47" max="16384" width="11.42578125" style="1267"/>
  </cols>
  <sheetData>
    <row r="1" spans="1:53" ht="14.25" customHeight="1">
      <c r="A1" s="1621"/>
      <c r="B1" s="1621"/>
      <c r="C1" s="1621"/>
      <c r="D1" s="1621"/>
      <c r="E1" s="1621"/>
      <c r="F1" s="1621"/>
      <c r="G1" s="1621"/>
      <c r="H1" s="1621"/>
      <c r="I1" s="1621"/>
      <c r="J1" s="1621"/>
      <c r="K1" s="1621"/>
      <c r="L1" s="1621"/>
      <c r="M1" s="1621"/>
      <c r="N1" s="1621"/>
      <c r="O1" s="1621"/>
      <c r="P1" s="1621"/>
      <c r="Q1" s="1621"/>
      <c r="R1" s="1621"/>
      <c r="S1" s="1621"/>
      <c r="T1" s="1621"/>
      <c r="U1" s="1622"/>
      <c r="V1" s="1622"/>
      <c r="W1" s="1622"/>
      <c r="X1" s="1622"/>
      <c r="Y1" s="1622"/>
      <c r="Z1" s="1622"/>
      <c r="AA1" s="1622"/>
      <c r="AB1" s="1622"/>
      <c r="AC1" s="1622"/>
      <c r="AD1" s="1622"/>
      <c r="AE1" s="1622"/>
      <c r="AF1" s="1622"/>
      <c r="AG1" s="1622"/>
      <c r="AH1" s="1622"/>
      <c r="AI1" s="1622"/>
      <c r="AJ1" s="1622"/>
      <c r="AK1" s="1622"/>
      <c r="AL1" s="1622"/>
      <c r="AM1" s="1623"/>
      <c r="AN1" s="1623"/>
      <c r="AO1" s="1266"/>
      <c r="AP1" s="1266"/>
      <c r="AQ1" s="1266"/>
      <c r="AR1" s="1305"/>
      <c r="AS1" s="1305"/>
    </row>
    <row r="2" spans="1:53" ht="27" customHeight="1">
      <c r="A2" s="1603" t="s">
        <v>54</v>
      </c>
      <c r="B2" s="1603"/>
      <c r="C2" s="1603"/>
      <c r="D2" s="1603"/>
      <c r="E2" s="1603"/>
      <c r="F2" s="1603"/>
      <c r="G2" s="1603"/>
      <c r="H2" s="1603"/>
      <c r="I2" s="1603"/>
      <c r="J2" s="1603"/>
      <c r="K2" s="1603"/>
      <c r="L2" s="1603"/>
      <c r="M2" s="1603"/>
      <c r="N2" s="1603"/>
      <c r="O2" s="1603"/>
      <c r="P2" s="1603"/>
      <c r="Q2" s="1603"/>
      <c r="R2" s="1603"/>
      <c r="S2" s="1603"/>
      <c r="T2" s="1603"/>
      <c r="U2" s="1604"/>
      <c r="V2" s="1604"/>
      <c r="W2" s="1604"/>
      <c r="X2" s="1604"/>
      <c r="Y2" s="1604"/>
      <c r="Z2" s="1604"/>
      <c r="AA2" s="1604"/>
      <c r="AB2" s="1604"/>
      <c r="AC2" s="1604"/>
      <c r="AD2" s="1604"/>
      <c r="AE2" s="1604"/>
      <c r="AF2" s="1604"/>
      <c r="AG2" s="1604"/>
      <c r="AH2" s="1604"/>
      <c r="AI2" s="1604"/>
      <c r="AJ2" s="1604"/>
      <c r="AK2" s="1604"/>
      <c r="AL2" s="1604"/>
      <c r="AM2" s="1605"/>
      <c r="AN2" s="1605"/>
      <c r="AO2" s="1605"/>
      <c r="AP2" s="1605"/>
      <c r="AQ2" s="1605"/>
      <c r="AR2" s="1606"/>
      <c r="AS2" s="1305"/>
    </row>
    <row r="3" spans="1:53" ht="18" customHeight="1">
      <c r="A3" s="1607" t="s">
        <v>543</v>
      </c>
      <c r="B3" s="1607"/>
      <c r="C3" s="1607"/>
      <c r="D3" s="1607"/>
      <c r="E3" s="1607"/>
      <c r="F3" s="1607"/>
      <c r="G3" s="1607"/>
      <c r="H3" s="1607"/>
      <c r="I3" s="1607"/>
      <c r="J3" s="1607"/>
      <c r="K3" s="1607"/>
      <c r="L3" s="1607"/>
      <c r="M3" s="1607"/>
      <c r="N3" s="1607"/>
      <c r="O3" s="1607"/>
      <c r="P3" s="1607"/>
      <c r="Q3" s="1607"/>
      <c r="R3" s="1607"/>
      <c r="S3" s="1607"/>
      <c r="T3" s="1607"/>
      <c r="U3" s="1608"/>
      <c r="V3" s="1608"/>
      <c r="W3" s="1608"/>
      <c r="X3" s="1608"/>
      <c r="Y3" s="1608"/>
      <c r="Z3" s="1608"/>
      <c r="AA3" s="1608"/>
      <c r="AB3" s="1608"/>
      <c r="AC3" s="1608"/>
      <c r="AD3" s="1608"/>
      <c r="AE3" s="1608"/>
      <c r="AF3" s="1608"/>
      <c r="AG3" s="1608"/>
      <c r="AH3" s="1608"/>
      <c r="AI3" s="1608"/>
      <c r="AJ3" s="1608"/>
      <c r="AK3" s="1608"/>
      <c r="AL3" s="1608"/>
      <c r="AM3" s="1609"/>
      <c r="AN3" s="1609"/>
      <c r="AO3" s="1609"/>
      <c r="AP3" s="1609"/>
      <c r="AQ3" s="1609"/>
      <c r="AR3" s="1610"/>
      <c r="AS3" s="1305"/>
    </row>
    <row r="4" spans="1:53" ht="6" customHeight="1">
      <c r="A4" s="1603"/>
      <c r="B4" s="1603"/>
      <c r="C4" s="1603"/>
      <c r="D4" s="1603"/>
      <c r="E4" s="1603"/>
      <c r="F4" s="1603"/>
      <c r="G4" s="1603"/>
      <c r="H4" s="1603"/>
      <c r="I4" s="1603"/>
      <c r="J4" s="1603"/>
      <c r="K4" s="1603"/>
      <c r="L4" s="1603"/>
      <c r="M4" s="1603"/>
      <c r="N4" s="1603"/>
      <c r="O4" s="1603"/>
      <c r="P4" s="1603"/>
      <c r="Q4" s="1603"/>
      <c r="R4" s="1603"/>
      <c r="S4" s="1603"/>
      <c r="T4" s="1603"/>
      <c r="U4" s="1604"/>
      <c r="V4" s="1604"/>
      <c r="W4" s="1604"/>
      <c r="X4" s="1604"/>
      <c r="Y4" s="1604"/>
      <c r="Z4" s="1604"/>
      <c r="AA4" s="1604"/>
      <c r="AB4" s="1604"/>
      <c r="AC4" s="1604"/>
      <c r="AD4" s="1604"/>
      <c r="AE4" s="1604"/>
      <c r="AF4" s="1604"/>
      <c r="AG4" s="1604"/>
      <c r="AH4" s="1604"/>
      <c r="AI4" s="1604"/>
      <c r="AJ4" s="1604"/>
      <c r="AK4" s="1604"/>
      <c r="AL4" s="1604"/>
      <c r="AM4" s="1605"/>
      <c r="AN4" s="1605"/>
      <c r="AO4" s="1605"/>
      <c r="AP4" s="1605"/>
      <c r="AQ4" s="1605"/>
      <c r="AR4" s="1606"/>
      <c r="AS4" s="1305"/>
    </row>
    <row r="5" spans="1:53" ht="17.25" customHeight="1">
      <c r="A5" s="1611" t="s">
        <v>39</v>
      </c>
      <c r="B5" s="1611"/>
      <c r="C5" s="1611"/>
      <c r="D5" s="1611"/>
      <c r="E5" s="1611"/>
      <c r="F5" s="1611"/>
      <c r="G5" s="1611"/>
      <c r="H5" s="1611"/>
      <c r="I5" s="1611"/>
      <c r="J5" s="1611"/>
      <c r="K5" s="1611"/>
      <c r="L5" s="1611"/>
      <c r="M5" s="1611"/>
      <c r="N5" s="1611"/>
      <c r="O5" s="1611"/>
      <c r="P5" s="1611"/>
      <c r="Q5" s="1611"/>
      <c r="R5" s="1611"/>
      <c r="S5" s="1611"/>
      <c r="T5" s="1611"/>
      <c r="U5" s="1612"/>
      <c r="V5" s="1612"/>
      <c r="W5" s="1612"/>
      <c r="X5" s="1612"/>
      <c r="Y5" s="1612"/>
      <c r="Z5" s="1612"/>
      <c r="AA5" s="1612"/>
      <c r="AB5" s="1612"/>
      <c r="AC5" s="1612"/>
      <c r="AD5" s="1612"/>
      <c r="AE5" s="1612"/>
      <c r="AF5" s="1612"/>
      <c r="AG5" s="1612"/>
      <c r="AH5" s="1612"/>
      <c r="AI5" s="1612"/>
      <c r="AJ5" s="1612"/>
      <c r="AK5" s="1612"/>
      <c r="AL5" s="1612"/>
      <c r="AM5" s="1613"/>
      <c r="AN5" s="1613"/>
      <c r="AO5" s="1613"/>
      <c r="AP5" s="1613"/>
      <c r="AQ5" s="1613"/>
      <c r="AR5" s="1614"/>
      <c r="AS5" s="1305"/>
    </row>
    <row r="6" spans="1:53" s="1268" customFormat="1" ht="12.75" customHeight="1">
      <c r="A6" s="1615" t="s">
        <v>515</v>
      </c>
      <c r="B6" s="1615"/>
      <c r="C6" s="1615"/>
      <c r="D6" s="1615"/>
      <c r="E6" s="1615"/>
      <c r="F6" s="1615"/>
      <c r="G6" s="1615"/>
      <c r="H6" s="1615"/>
      <c r="I6" s="1615"/>
      <c r="J6" s="1615"/>
      <c r="K6" s="1615"/>
      <c r="L6" s="1615"/>
      <c r="M6" s="1615"/>
      <c r="N6" s="1615"/>
      <c r="O6" s="1615"/>
      <c r="P6" s="1615"/>
      <c r="Q6" s="1615"/>
      <c r="R6" s="1615"/>
      <c r="S6" s="1615"/>
      <c r="T6" s="1615"/>
      <c r="U6" s="1616"/>
      <c r="V6" s="1616"/>
      <c r="W6" s="1616"/>
      <c r="X6" s="1616"/>
      <c r="Y6" s="1616"/>
      <c r="Z6" s="1616"/>
      <c r="AA6" s="1616"/>
      <c r="AB6" s="1616"/>
      <c r="AC6" s="1616"/>
      <c r="AD6" s="1616"/>
      <c r="AE6" s="1616"/>
      <c r="AF6" s="1616"/>
      <c r="AG6" s="1616"/>
      <c r="AH6" s="1616"/>
      <c r="AI6" s="1616"/>
      <c r="AJ6" s="1616"/>
      <c r="AK6" s="1616"/>
      <c r="AL6" s="1616"/>
      <c r="AM6" s="1617"/>
      <c r="AN6" s="1617"/>
      <c r="AO6" s="1617"/>
      <c r="AP6" s="1617"/>
      <c r="AQ6" s="1617"/>
      <c r="AR6" s="1606"/>
      <c r="AS6" s="1468"/>
    </row>
    <row r="7" spans="1:53" s="1268" customFormat="1" ht="12.75" customHeight="1">
      <c r="A7" s="1611" t="s">
        <v>40</v>
      </c>
      <c r="B7" s="1611"/>
      <c r="C7" s="1611"/>
      <c r="D7" s="1611"/>
      <c r="E7" s="1611"/>
      <c r="F7" s="1611"/>
      <c r="G7" s="1611"/>
      <c r="H7" s="1611"/>
      <c r="I7" s="1611"/>
      <c r="J7" s="1611"/>
      <c r="K7" s="1611"/>
      <c r="L7" s="1611"/>
      <c r="M7" s="1611"/>
      <c r="N7" s="1611"/>
      <c r="O7" s="1611"/>
      <c r="P7" s="1611"/>
      <c r="Q7" s="1611"/>
      <c r="R7" s="1611"/>
      <c r="S7" s="1611"/>
      <c r="T7" s="1611"/>
      <c r="U7" s="1612"/>
      <c r="V7" s="1612"/>
      <c r="W7" s="1612"/>
      <c r="X7" s="1612"/>
      <c r="Y7" s="1612"/>
      <c r="Z7" s="1612"/>
      <c r="AA7" s="1612"/>
      <c r="AB7" s="1612"/>
      <c r="AC7" s="1612"/>
      <c r="AD7" s="1612"/>
      <c r="AE7" s="1612"/>
      <c r="AF7" s="1612"/>
      <c r="AG7" s="1612"/>
      <c r="AH7" s="1612"/>
      <c r="AI7" s="1612"/>
      <c r="AJ7" s="1612"/>
      <c r="AK7" s="1612"/>
      <c r="AL7" s="1612"/>
      <c r="AM7" s="1613"/>
      <c r="AN7" s="1613"/>
      <c r="AO7" s="1613"/>
      <c r="AP7" s="1613"/>
      <c r="AQ7" s="1613"/>
      <c r="AR7" s="1606"/>
      <c r="AS7" s="1468"/>
    </row>
    <row r="8" spans="1:53" ht="19.5" customHeight="1">
      <c r="A8" s="1611" t="s">
        <v>728</v>
      </c>
      <c r="B8" s="1611"/>
      <c r="C8" s="1611"/>
      <c r="D8" s="1611"/>
      <c r="E8" s="1611"/>
      <c r="F8" s="1611"/>
      <c r="G8" s="1611"/>
      <c r="H8" s="1611"/>
      <c r="I8" s="1611"/>
      <c r="J8" s="1611"/>
      <c r="K8" s="1611"/>
      <c r="L8" s="1611"/>
      <c r="M8" s="1611"/>
      <c r="N8" s="1611"/>
      <c r="O8" s="1611"/>
      <c r="P8" s="1611"/>
      <c r="Q8" s="1611"/>
      <c r="R8" s="1611"/>
      <c r="S8" s="1611"/>
      <c r="T8" s="1611"/>
      <c r="U8" s="1612"/>
      <c r="V8" s="1612"/>
      <c r="W8" s="1612"/>
      <c r="X8" s="1612"/>
      <c r="Y8" s="1612"/>
      <c r="Z8" s="1612"/>
      <c r="AA8" s="1612"/>
      <c r="AB8" s="1612"/>
      <c r="AC8" s="1612"/>
      <c r="AD8" s="1612"/>
      <c r="AE8" s="1612"/>
      <c r="AF8" s="1612"/>
      <c r="AG8" s="1612"/>
      <c r="AH8" s="1612"/>
      <c r="AI8" s="1612"/>
      <c r="AJ8" s="1612"/>
      <c r="AK8" s="1612"/>
      <c r="AL8" s="1612"/>
      <c r="AM8" s="1613"/>
      <c r="AN8" s="1613"/>
      <c r="AO8" s="1613"/>
      <c r="AP8" s="1613"/>
      <c r="AQ8" s="1613"/>
      <c r="AR8" s="1606"/>
      <c r="AS8" s="1305"/>
    </row>
    <row r="9" spans="1:53" ht="13.5">
      <c r="A9" s="1270" t="s">
        <v>671</v>
      </c>
      <c r="B9" s="1270"/>
      <c r="C9" s="1270"/>
      <c r="D9" s="1270"/>
      <c r="E9" s="1270"/>
      <c r="F9" s="1270"/>
      <c r="G9" s="1270"/>
      <c r="H9" s="1270"/>
      <c r="I9" s="1270"/>
      <c r="J9" s="1270"/>
      <c r="K9" s="1270"/>
      <c r="L9" s="1270"/>
      <c r="M9" s="1270"/>
      <c r="N9" s="1270"/>
      <c r="O9" s="1270"/>
      <c r="P9" s="1270"/>
      <c r="Q9" s="1270"/>
      <c r="R9" s="1270"/>
      <c r="S9" s="1270"/>
      <c r="T9" s="1270"/>
      <c r="U9" s="1270"/>
      <c r="V9" s="1270"/>
      <c r="W9" s="1271"/>
      <c r="X9" s="1272"/>
      <c r="Y9" s="1272"/>
      <c r="Z9" s="1272"/>
      <c r="AA9" s="1272"/>
      <c r="AB9" s="1272"/>
      <c r="AC9" s="1272"/>
      <c r="AD9" s="1272"/>
      <c r="AE9" s="1272"/>
      <c r="AF9" s="1272"/>
      <c r="AG9" s="1272"/>
      <c r="AH9" s="1272"/>
      <c r="AI9" s="1272"/>
      <c r="AJ9" s="1272"/>
      <c r="AK9" s="1272"/>
      <c r="AL9" s="1272"/>
      <c r="AM9" s="1266"/>
      <c r="AN9" s="1266"/>
      <c r="AO9" s="1266"/>
      <c r="AP9" s="1266"/>
      <c r="AQ9" s="1266"/>
      <c r="AR9" s="1305"/>
      <c r="AS9" s="1305"/>
    </row>
    <row r="10" spans="1:53" ht="12.75" customHeight="1">
      <c r="A10" s="1620" t="s">
        <v>517</v>
      </c>
      <c r="B10" s="1601"/>
      <c r="C10" s="1601"/>
      <c r="D10" s="1601"/>
      <c r="E10" s="1601"/>
      <c r="F10" s="1601"/>
      <c r="G10" s="1601"/>
      <c r="H10" s="1601"/>
      <c r="I10" s="1601"/>
      <c r="J10" s="1601"/>
      <c r="K10" s="1601"/>
      <c r="L10" s="1601"/>
      <c r="M10" s="1601"/>
      <c r="N10" s="1601"/>
      <c r="O10" s="1601"/>
      <c r="P10" s="1601"/>
      <c r="Q10" s="1601"/>
      <c r="R10" s="1601"/>
      <c r="S10" s="1601"/>
      <c r="T10" s="1601"/>
      <c r="U10" s="1624">
        <v>2000</v>
      </c>
      <c r="V10" s="1601">
        <v>2001</v>
      </c>
      <c r="W10" s="1601">
        <v>2002</v>
      </c>
      <c r="X10" s="1601">
        <v>2003</v>
      </c>
      <c r="Y10" s="1601">
        <v>2004</v>
      </c>
      <c r="Z10" s="1601">
        <v>2005</v>
      </c>
      <c r="AA10" s="1601">
        <v>2006</v>
      </c>
      <c r="AB10" s="1601">
        <v>2007</v>
      </c>
      <c r="AC10" s="1601">
        <v>2008</v>
      </c>
      <c r="AD10" s="1601">
        <v>2009</v>
      </c>
      <c r="AE10" s="1601">
        <v>2010</v>
      </c>
      <c r="AF10" s="1601">
        <v>2011</v>
      </c>
      <c r="AG10" s="1601">
        <v>2012</v>
      </c>
      <c r="AH10" s="1601">
        <v>2013</v>
      </c>
      <c r="AI10" s="1601">
        <v>2014</v>
      </c>
      <c r="AJ10" s="1601">
        <v>2015</v>
      </c>
      <c r="AK10" s="1601">
        <v>2016</v>
      </c>
      <c r="AL10" s="1601">
        <v>2017</v>
      </c>
      <c r="AM10" s="1601">
        <v>2018</v>
      </c>
      <c r="AN10" s="1601">
        <v>2019</v>
      </c>
      <c r="AO10" s="1601">
        <v>2020</v>
      </c>
      <c r="AP10" s="1601">
        <v>2021</v>
      </c>
      <c r="AQ10" s="1601">
        <v>2022</v>
      </c>
      <c r="AR10" s="1601">
        <v>2023</v>
      </c>
      <c r="AS10" s="1601">
        <v>2024</v>
      </c>
    </row>
    <row r="11" spans="1:53" ht="12.75" customHeight="1">
      <c r="A11" s="1620"/>
      <c r="B11" s="1602"/>
      <c r="C11" s="1602"/>
      <c r="D11" s="1602"/>
      <c r="E11" s="1602"/>
      <c r="F11" s="1602"/>
      <c r="G11" s="1602"/>
      <c r="H11" s="1602"/>
      <c r="I11" s="1602"/>
      <c r="J11" s="1602"/>
      <c r="K11" s="1602"/>
      <c r="L11" s="1602"/>
      <c r="M11" s="1602"/>
      <c r="N11" s="1602"/>
      <c r="O11" s="1602"/>
      <c r="P11" s="1602"/>
      <c r="Q11" s="1602"/>
      <c r="R11" s="1602"/>
      <c r="S11" s="1602"/>
      <c r="T11" s="1602"/>
      <c r="U11" s="1624"/>
      <c r="V11" s="1602"/>
      <c r="W11" s="1602"/>
      <c r="X11" s="1602"/>
      <c r="Y11" s="1602"/>
      <c r="Z11" s="1602"/>
      <c r="AA11" s="1602"/>
      <c r="AB11" s="1602"/>
      <c r="AC11" s="1602"/>
      <c r="AD11" s="1602"/>
      <c r="AE11" s="1602"/>
      <c r="AF11" s="1602"/>
      <c r="AG11" s="1602"/>
      <c r="AH11" s="1602"/>
      <c r="AI11" s="1602"/>
      <c r="AJ11" s="1602"/>
      <c r="AK11" s="1602"/>
      <c r="AL11" s="1602"/>
      <c r="AM11" s="1602"/>
      <c r="AN11" s="1602"/>
      <c r="AO11" s="1602"/>
      <c r="AP11" s="1602"/>
      <c r="AQ11" s="1602"/>
      <c r="AR11" s="1602"/>
      <c r="AS11" s="1602"/>
    </row>
    <row r="12" spans="1:53" ht="13.5">
      <c r="A12" s="1273" t="s">
        <v>41</v>
      </c>
      <c r="B12" s="1274"/>
      <c r="C12" s="1274"/>
      <c r="D12" s="1274"/>
      <c r="E12" s="1274"/>
      <c r="F12" s="1274"/>
      <c r="G12" s="1274"/>
      <c r="H12" s="1274"/>
      <c r="I12" s="1274"/>
      <c r="J12" s="1274"/>
      <c r="K12" s="1274"/>
      <c r="L12" s="1274"/>
      <c r="M12" s="1274"/>
      <c r="N12" s="1274"/>
      <c r="O12" s="1274"/>
      <c r="P12" s="1274"/>
      <c r="Q12" s="1274"/>
      <c r="R12" s="1274"/>
      <c r="S12" s="1274"/>
      <c r="T12" s="1274"/>
      <c r="U12" s="1275" t="s">
        <v>541</v>
      </c>
      <c r="V12" s="1276">
        <v>14.916000000000002</v>
      </c>
      <c r="W12" s="1276">
        <v>13.374000000000001</v>
      </c>
      <c r="X12" s="1276">
        <v>16.342500000000001</v>
      </c>
      <c r="Y12" s="1276">
        <v>16.8</v>
      </c>
      <c r="Z12" s="1276">
        <v>19.8</v>
      </c>
      <c r="AA12" s="1276">
        <v>23.31</v>
      </c>
      <c r="AB12" s="1276">
        <v>23.62</v>
      </c>
      <c r="AC12" s="1276">
        <v>29.55</v>
      </c>
      <c r="AD12" s="1276">
        <v>22.86</v>
      </c>
      <c r="AE12" s="1276">
        <v>29.62</v>
      </c>
      <c r="AF12" s="1276">
        <v>32.177500000000002</v>
      </c>
      <c r="AG12" s="1276">
        <v>33.875999999999998</v>
      </c>
      <c r="AH12" s="1276">
        <f>+'[1]Gasolinas 2013'!B14</f>
        <v>34.431529411764714</v>
      </c>
      <c r="AI12" s="1276">
        <v>35.26</v>
      </c>
      <c r="AJ12" s="1276">
        <f>+'[1]Gasolinas 2015'!B15</f>
        <v>22.355</v>
      </c>
      <c r="AK12" s="1276">
        <f>+'[1]Gasolinas 2016'!B13</f>
        <v>21.004999999999999</v>
      </c>
      <c r="AL12" s="1276">
        <f>+'[1]Gasolinas 2017'!B14</f>
        <v>25.31</v>
      </c>
      <c r="AM12" s="1276">
        <f>+'[1]Gasolinas 2018'!B14</f>
        <v>26.466000000000001</v>
      </c>
      <c r="AN12" s="1276">
        <f>+'[1]Gasolinas 2019'!B14</f>
        <v>23.723999999999997</v>
      </c>
      <c r="AO12" s="1276">
        <f>+'[1]Gasolinas 2020'!B13</f>
        <v>26.17</v>
      </c>
      <c r="AP12" s="1276">
        <v>24.337499999999999</v>
      </c>
      <c r="AQ12" s="1276">
        <v>32.049999999999997</v>
      </c>
      <c r="AR12" s="1276">
        <f>+'Gasolineras 2023'!B14</f>
        <v>35.756000000000007</v>
      </c>
      <c r="AS12" s="1276">
        <f>+'Gasolineras 2024'!B14</f>
        <v>32.166000000000004</v>
      </c>
    </row>
    <row r="13" spans="1:53" ht="13.5">
      <c r="A13" s="1277" t="s">
        <v>42</v>
      </c>
      <c r="B13" s="1278"/>
      <c r="C13" s="1278"/>
      <c r="D13" s="1278"/>
      <c r="E13" s="1278"/>
      <c r="F13" s="1278"/>
      <c r="G13" s="1278"/>
      <c r="H13" s="1278"/>
      <c r="I13" s="1278"/>
      <c r="J13" s="1278"/>
      <c r="K13" s="1278"/>
      <c r="L13" s="1278"/>
      <c r="M13" s="1278"/>
      <c r="N13" s="1278"/>
      <c r="O13" s="1278"/>
      <c r="P13" s="1278"/>
      <c r="Q13" s="1278"/>
      <c r="R13" s="1278"/>
      <c r="S13" s="1278"/>
      <c r="T13" s="1278"/>
      <c r="U13" s="1279" t="s">
        <v>541</v>
      </c>
      <c r="V13" s="1280">
        <v>15.172499999999999</v>
      </c>
      <c r="W13" s="1280">
        <v>13.225</v>
      </c>
      <c r="X13" s="1280">
        <v>17.204999999999998</v>
      </c>
      <c r="Y13" s="1280">
        <v>18.052499999999998</v>
      </c>
      <c r="Z13" s="1280">
        <v>19.252500000000001</v>
      </c>
      <c r="AA13" s="1280">
        <v>22.975000000000001</v>
      </c>
      <c r="AB13" s="1280">
        <v>22.65</v>
      </c>
      <c r="AC13" s="1280">
        <v>29.45</v>
      </c>
      <c r="AD13" s="1280">
        <v>22.71</v>
      </c>
      <c r="AE13" s="1280">
        <v>29.135000000000002</v>
      </c>
      <c r="AF13" s="1280">
        <v>32.9</v>
      </c>
      <c r="AG13" s="1280">
        <v>36.18</v>
      </c>
      <c r="AH13" s="1280">
        <f>+'[1]Gasolinas 2013'!B19</f>
        <v>36.307500000000005</v>
      </c>
      <c r="AI13" s="1280">
        <v>34.457499999999996</v>
      </c>
      <c r="AJ13" s="1280">
        <f>+'[1]Gasolinas 2015'!B21</f>
        <v>25.92</v>
      </c>
      <c r="AK13" s="1280">
        <f>+'[1]Gasolinas 2016'!B19</f>
        <v>20.032</v>
      </c>
      <c r="AL13" s="1280">
        <f>+'[1]Gasolinas 2017'!B19</f>
        <v>24.505000000000003</v>
      </c>
      <c r="AM13" s="1280">
        <f>+'[1]Gasolinas 2018'!B19</f>
        <v>26.265000000000001</v>
      </c>
      <c r="AN13" s="1280">
        <f>+'[1]Gasolinas 2019'!B19</f>
        <v>24.538250000000001</v>
      </c>
      <c r="AO13" s="1280">
        <f>+'[1]Gasolinas 2020'!B18</f>
        <v>25.114999999999998</v>
      </c>
      <c r="AP13" s="1280">
        <v>26.07</v>
      </c>
      <c r="AQ13" s="1280">
        <v>34.552499999999995</v>
      </c>
      <c r="AR13" s="1280">
        <f>+'Gasolineras 2023'!B19</f>
        <v>35.542500000000004</v>
      </c>
      <c r="AS13" s="1280">
        <f>+'Gasolineras 2024'!B19</f>
        <v>33.369999999999997</v>
      </c>
    </row>
    <row r="14" spans="1:53" ht="18">
      <c r="A14" s="1273" t="s">
        <v>43</v>
      </c>
      <c r="B14" s="1274"/>
      <c r="C14" s="1274"/>
      <c r="D14" s="1274"/>
      <c r="E14" s="1274"/>
      <c r="F14" s="1274"/>
      <c r="G14" s="1274"/>
      <c r="H14" s="1274"/>
      <c r="I14" s="1274"/>
      <c r="J14" s="1274"/>
      <c r="K14" s="1274"/>
      <c r="L14" s="1274"/>
      <c r="M14" s="1274"/>
      <c r="N14" s="1274"/>
      <c r="O14" s="1274"/>
      <c r="P14" s="1274"/>
      <c r="Q14" s="1274"/>
      <c r="R14" s="1274"/>
      <c r="S14" s="1274"/>
      <c r="T14" s="1274"/>
      <c r="U14" s="1275" t="s">
        <v>541</v>
      </c>
      <c r="V14" s="1276">
        <v>14.97</v>
      </c>
      <c r="W14" s="1276">
        <v>13.6275</v>
      </c>
      <c r="X14" s="1276">
        <v>18.3</v>
      </c>
      <c r="Y14" s="1276">
        <v>18.68</v>
      </c>
      <c r="Z14" s="1276">
        <v>20.454999999999998</v>
      </c>
      <c r="AA14" s="1276">
        <v>22.85</v>
      </c>
      <c r="AB14" s="1276">
        <v>23.997499999999999</v>
      </c>
      <c r="AC14" s="1276">
        <v>30.832000000000001</v>
      </c>
      <c r="AD14" s="1276">
        <v>22.385999999999999</v>
      </c>
      <c r="AE14" s="1276">
        <v>30.712</v>
      </c>
      <c r="AF14" s="1276">
        <v>35.590000000000003</v>
      </c>
      <c r="AG14" s="1276">
        <v>37.537500000000001</v>
      </c>
      <c r="AH14" s="1276">
        <f>+'[1]Gasolinas 2013'!B24</f>
        <v>36.314999999999998</v>
      </c>
      <c r="AI14" s="1276">
        <v>34.805999999999997</v>
      </c>
      <c r="AJ14" s="1276">
        <f>+'[1]Gasolinas 2015'!B26</f>
        <v>25.613999999999997</v>
      </c>
      <c r="AK14" s="1276">
        <f>+'[1]Gasolinas 2016'!B24</f>
        <v>21.702500000000001</v>
      </c>
      <c r="AL14" s="1276">
        <f>+'[1]Gasolinas 2017'!B24</f>
        <v>24.024999999999999</v>
      </c>
      <c r="AM14" s="1276">
        <f>+'[1]Gasolinas 2018'!B24</f>
        <v>26.432499999999997</v>
      </c>
      <c r="AN14" s="1276">
        <f>+'[1]Gasolinas 2019'!B24</f>
        <v>26.484999999999999</v>
      </c>
      <c r="AO14" s="1276">
        <f>+'[1]Gasolinas 2020'!B24</f>
        <v>24.146000000000001</v>
      </c>
      <c r="AP14" s="1276">
        <v>28.236000000000001</v>
      </c>
      <c r="AQ14" s="1276">
        <v>39.83</v>
      </c>
      <c r="AR14" s="1276">
        <f>+'Gasolineras 2023'!B24</f>
        <v>34.952500000000001</v>
      </c>
      <c r="AS14" s="1276">
        <f>+'Gasolineras 2024'!B24</f>
        <v>35.527499999999996</v>
      </c>
      <c r="AT14" s="1366">
        <v>28.535000000000004</v>
      </c>
      <c r="AU14" s="1366">
        <v>28.025000000000002</v>
      </c>
      <c r="AV14" s="1366">
        <v>27.22</v>
      </c>
      <c r="AW14" s="1366">
        <v>21.767500000000002</v>
      </c>
      <c r="AX14" s="1366">
        <v>27.357500000000002</v>
      </c>
      <c r="AY14" s="1366">
        <v>26.922499999999999</v>
      </c>
      <c r="AZ14" s="1366">
        <v>26.13</v>
      </c>
      <c r="BA14" s="1366">
        <v>20.650000000000002</v>
      </c>
    </row>
    <row r="15" spans="1:53" ht="13.5">
      <c r="A15" s="1281" t="s">
        <v>44</v>
      </c>
      <c r="B15" s="1282"/>
      <c r="C15" s="1282"/>
      <c r="D15" s="1282"/>
      <c r="E15" s="1282"/>
      <c r="F15" s="1282"/>
      <c r="G15" s="1282"/>
      <c r="H15" s="1282"/>
      <c r="I15" s="1282"/>
      <c r="J15" s="1282"/>
      <c r="K15" s="1282"/>
      <c r="L15" s="1282"/>
      <c r="M15" s="1282"/>
      <c r="N15" s="1282"/>
      <c r="O15" s="1282"/>
      <c r="P15" s="1282"/>
      <c r="Q15" s="1282"/>
      <c r="R15" s="1282"/>
      <c r="S15" s="1282"/>
      <c r="T15" s="1282"/>
      <c r="U15" s="1283" t="s">
        <v>541</v>
      </c>
      <c r="V15" s="1284">
        <v>14.9125</v>
      </c>
      <c r="W15" s="1284">
        <v>15.181999999999999</v>
      </c>
      <c r="X15" s="1284">
        <v>17.414999999999999</v>
      </c>
      <c r="Y15" s="1284">
        <v>19.16</v>
      </c>
      <c r="Z15" s="1284">
        <v>22.695</v>
      </c>
      <c r="AA15" s="1284">
        <v>25.357500000000002</v>
      </c>
      <c r="AB15" s="1284">
        <v>26.3475</v>
      </c>
      <c r="AC15" s="1284">
        <v>32.452500000000001</v>
      </c>
      <c r="AD15" s="1284">
        <v>23.045000000000002</v>
      </c>
      <c r="AE15" s="1284">
        <v>31.875</v>
      </c>
      <c r="AF15" s="1284">
        <v>36.427500000000002</v>
      </c>
      <c r="AG15" s="1284">
        <v>38.4</v>
      </c>
      <c r="AH15" s="1284">
        <f>+'[1]Gasolinas 2013'!B30</f>
        <v>35.119999999999997</v>
      </c>
      <c r="AI15" s="1284">
        <v>35.657499999999999</v>
      </c>
      <c r="AJ15" s="1284">
        <f>+'[1]Gasolinas 2015'!B31</f>
        <v>26.17</v>
      </c>
      <c r="AK15" s="1284">
        <f>+'[1]Gasolinas 2016'!B29</f>
        <v>22.91</v>
      </c>
      <c r="AL15" s="1284">
        <f>+'[1]Gasolinas 2017'!B29</f>
        <v>24.805</v>
      </c>
      <c r="AM15" s="1284">
        <f>+'[1]Gasolinas 2018'!B29</f>
        <v>27.737499999999997</v>
      </c>
      <c r="AN15" s="1284">
        <f>+'[1]Gasolinas 2019'!B30</f>
        <v>28.48</v>
      </c>
      <c r="AO15" s="1284">
        <f>+'[1]Gasolinas 2020'!B29</f>
        <v>19.442500000000003</v>
      </c>
      <c r="AP15" s="1284">
        <v>28.535000000000004</v>
      </c>
      <c r="AQ15" s="1284">
        <v>39.369999999999997</v>
      </c>
      <c r="AR15" s="1284">
        <f>+'Gasolineras 2023'!B29</f>
        <v>36.869999999999997</v>
      </c>
      <c r="AS15" s="1284">
        <f>+'Gasolineras 2024'!B30</f>
        <v>36.758000000000003</v>
      </c>
    </row>
    <row r="16" spans="1:53" ht="13.5">
      <c r="A16" s="1273" t="s">
        <v>45</v>
      </c>
      <c r="B16" s="1274"/>
      <c r="C16" s="1274"/>
      <c r="D16" s="1274"/>
      <c r="E16" s="1274"/>
      <c r="F16" s="1274"/>
      <c r="G16" s="1274"/>
      <c r="H16" s="1274"/>
      <c r="I16" s="1274"/>
      <c r="J16" s="1274"/>
      <c r="K16" s="1274"/>
      <c r="L16" s="1274"/>
      <c r="M16" s="1274"/>
      <c r="N16" s="1274"/>
      <c r="O16" s="1274"/>
      <c r="P16" s="1274"/>
      <c r="Q16" s="1274"/>
      <c r="R16" s="1274"/>
      <c r="S16" s="1274"/>
      <c r="T16" s="1274"/>
      <c r="U16" s="1275" t="s">
        <v>541</v>
      </c>
      <c r="V16" s="1276">
        <v>16.256666666666671</v>
      </c>
      <c r="W16" s="1276">
        <v>15.1875</v>
      </c>
      <c r="X16" s="1276">
        <v>16.475000000000001</v>
      </c>
      <c r="Y16" s="1276">
        <v>19.484000000000002</v>
      </c>
      <c r="Z16" s="1276">
        <v>23.21</v>
      </c>
      <c r="AA16" s="1276">
        <v>27.681999999999999</v>
      </c>
      <c r="AB16" s="1276">
        <v>28.395999999999997</v>
      </c>
      <c r="AC16" s="1276">
        <v>33.927500000000002</v>
      </c>
      <c r="AD16" s="1276">
        <v>24.2425</v>
      </c>
      <c r="AE16" s="1276">
        <v>30.92</v>
      </c>
      <c r="AF16" s="1276">
        <v>36.328000000000003</v>
      </c>
      <c r="AG16" s="1276">
        <v>36.5</v>
      </c>
      <c r="AH16" s="1276">
        <f>+'[1]Gasolinas 2013'!B35</f>
        <v>35.2575</v>
      </c>
      <c r="AI16" s="1276">
        <f>+'[1]Gasolinas 2014'!B34</f>
        <v>35.25</v>
      </c>
      <c r="AJ16" s="1276">
        <f>+'[1]Gasolinas 2015'!B36</f>
        <v>27.457499999999996</v>
      </c>
      <c r="AK16" s="1276">
        <f>+'[1]Gasolinas 2016'!B35</f>
        <v>23.75</v>
      </c>
      <c r="AL16" s="1276">
        <f>+'[1]Gasolinas 2017'!B35</f>
        <v>24.241999999999997</v>
      </c>
      <c r="AM16" s="1276">
        <f>+'[1]Gasolinas 2018'!B35</f>
        <v>28.566000000000003</v>
      </c>
      <c r="AN16" s="1276">
        <f>+'[1]Gasolinas 2019'!B35</f>
        <v>28.537500000000001</v>
      </c>
      <c r="AO16" s="1276">
        <f>+'[1]Gasolinas 2020'!B34</f>
        <v>19.362500000000001</v>
      </c>
      <c r="AP16" s="1276">
        <v>29.407999999999998</v>
      </c>
      <c r="AQ16" s="1276">
        <v>42.68</v>
      </c>
      <c r="AR16" s="1276">
        <f>+'Gasolineras 2023'!B35</f>
        <v>35.429999999999993</v>
      </c>
      <c r="AS16" s="1276">
        <f>+'Gasolineras 2024'!B35</f>
        <v>34.915000000000006</v>
      </c>
    </row>
    <row r="17" spans="1:48" ht="13.5">
      <c r="A17" s="1281" t="s">
        <v>46</v>
      </c>
      <c r="B17" s="1282"/>
      <c r="C17" s="1282"/>
      <c r="D17" s="1282"/>
      <c r="E17" s="1282"/>
      <c r="F17" s="1282"/>
      <c r="G17" s="1282"/>
      <c r="H17" s="1282"/>
      <c r="I17" s="1282"/>
      <c r="J17" s="1282"/>
      <c r="K17" s="1282"/>
      <c r="L17" s="1282"/>
      <c r="M17" s="1282"/>
      <c r="N17" s="1282"/>
      <c r="O17" s="1282"/>
      <c r="P17" s="1282"/>
      <c r="Q17" s="1282"/>
      <c r="R17" s="1282"/>
      <c r="S17" s="1282"/>
      <c r="T17" s="1282"/>
      <c r="U17" s="1283" t="s">
        <v>541</v>
      </c>
      <c r="V17" s="1284">
        <v>16.309999999999999</v>
      </c>
      <c r="W17" s="1284">
        <v>15.0525</v>
      </c>
      <c r="X17" s="1284">
        <v>15.68</v>
      </c>
      <c r="Y17" s="1284">
        <v>19.899999999999999</v>
      </c>
      <c r="Z17" s="1284">
        <v>22.982500000000002</v>
      </c>
      <c r="AA17" s="1284">
        <v>27.44</v>
      </c>
      <c r="AB17" s="1284">
        <v>29.497499999999999</v>
      </c>
      <c r="AC17" s="1284">
        <v>36.384999999999998</v>
      </c>
      <c r="AD17" s="1284">
        <v>25.15</v>
      </c>
      <c r="AE17" s="1284">
        <v>29.192499999999999</v>
      </c>
      <c r="AF17" s="1284">
        <v>35.592500000000001</v>
      </c>
      <c r="AG17" s="1284">
        <v>35.592500000000001</v>
      </c>
      <c r="AH17" s="1284">
        <f>+'[1]Gasolinas 2013'!B40</f>
        <v>34.842500000000001</v>
      </c>
      <c r="AI17" s="1284">
        <f>+'[1]Gasolinas 2014'!B39</f>
        <v>35.897499999999994</v>
      </c>
      <c r="AJ17" s="1284">
        <f>+'[1]Gasolinas 2015'!B41</f>
        <v>27.84</v>
      </c>
      <c r="AK17" s="1284">
        <f>+'[1]Gasolinas 2016'!B40</f>
        <v>24.310000000000002</v>
      </c>
      <c r="AL17" s="1284">
        <f>+'[1]Gasolinas 2017'!B40</f>
        <v>23.934999999999999</v>
      </c>
      <c r="AM17" s="1284">
        <f>+'[1]Gasolinas 2018'!B40</f>
        <v>28.602499999999999</v>
      </c>
      <c r="AN17" s="1284">
        <f>+'[1]Gasolinas 2019'!B40</f>
        <v>27.089999999999996</v>
      </c>
      <c r="AO17" s="1284">
        <f>+'[1]Gasolinas 2020'!B40</f>
        <v>21.572146241439718</v>
      </c>
      <c r="AP17" s="1284">
        <v>29.3125</v>
      </c>
      <c r="AQ17" s="1284">
        <f>+'Gasolineras 2022'!B40</f>
        <v>41.732500000000002</v>
      </c>
      <c r="AR17" s="1284">
        <f>+'Gasolineras 2023'!B40</f>
        <v>34.927500000000002</v>
      </c>
      <c r="AS17" s="1284">
        <v>33.97</v>
      </c>
    </row>
    <row r="18" spans="1:48" ht="13.5">
      <c r="A18" s="1273" t="s">
        <v>47</v>
      </c>
      <c r="B18" s="1274"/>
      <c r="C18" s="1274"/>
      <c r="D18" s="1274"/>
      <c r="E18" s="1274"/>
      <c r="F18" s="1274"/>
      <c r="G18" s="1274"/>
      <c r="H18" s="1274"/>
      <c r="I18" s="1274"/>
      <c r="J18" s="1274"/>
      <c r="K18" s="1274"/>
      <c r="L18" s="1274"/>
      <c r="M18" s="1274"/>
      <c r="N18" s="1274"/>
      <c r="O18" s="1274"/>
      <c r="P18" s="1274"/>
      <c r="Q18" s="1274"/>
      <c r="R18" s="1274"/>
      <c r="S18" s="1274"/>
      <c r="T18" s="1274"/>
      <c r="U18" s="1275" t="s">
        <v>541</v>
      </c>
      <c r="V18" s="1276">
        <v>15.528</v>
      </c>
      <c r="W18" s="1276">
        <v>15.556000000000001</v>
      </c>
      <c r="X18" s="1276">
        <v>15.584</v>
      </c>
      <c r="Y18" s="1276">
        <v>19.850000000000001</v>
      </c>
      <c r="Z18" s="1276">
        <v>23.077500000000001</v>
      </c>
      <c r="AA18" s="1276">
        <v>27.27</v>
      </c>
      <c r="AB18" s="1276">
        <v>29.192499999999999</v>
      </c>
      <c r="AC18" s="1276">
        <v>37.254000000000005</v>
      </c>
      <c r="AD18" s="1276">
        <v>27.73</v>
      </c>
      <c r="AE18" s="1276">
        <v>28.947500000000002</v>
      </c>
      <c r="AF18" s="1276">
        <v>36.04</v>
      </c>
      <c r="AG18" s="1276">
        <v>35.573999999999998</v>
      </c>
      <c r="AH18" s="1276">
        <f>+'[1]Gasolinas 2013'!B84</f>
        <v>36.275999999999996</v>
      </c>
      <c r="AI18" s="1276">
        <f>+'[1]Gasolinas 2014'!B45</f>
        <v>36.130000000000003</v>
      </c>
      <c r="AJ18" s="1276">
        <f>+'[1]Gasolinas 2015'!B47</f>
        <v>27.744</v>
      </c>
      <c r="AK18" s="1276">
        <f>+'[1]Gasolinas 2016'!B45</f>
        <v>23.162500000000001</v>
      </c>
      <c r="AL18" s="1276">
        <f>+'[1]Gasolinas 2017'!B46</f>
        <v>23.804000000000002</v>
      </c>
      <c r="AM18" s="1276">
        <f>+'[1]Gasolinas 2018'!B46</f>
        <v>28.54</v>
      </c>
      <c r="AN18" s="1276">
        <f>+'[1]Gasolinas 2019'!B46</f>
        <v>27.748000000000001</v>
      </c>
      <c r="AO18" s="1276">
        <f>+'[1]Gasolinas 2020'!B45</f>
        <v>23.167788461538464</v>
      </c>
      <c r="AP18" s="1276">
        <v>30.035365853658536</v>
      </c>
      <c r="AQ18" s="1276">
        <f>+'Gasolineras 2022'!B45</f>
        <v>36.677500000000002</v>
      </c>
      <c r="AR18" s="1276">
        <f>+'Gasolineras 2023'!B46</f>
        <v>35.862000000000002</v>
      </c>
      <c r="AS18" s="1276">
        <f>+'Gasolineras 2024'!B46</f>
        <v>34.410000000000004</v>
      </c>
    </row>
    <row r="19" spans="1:48" ht="13.5">
      <c r="A19" s="1281" t="s">
        <v>48</v>
      </c>
      <c r="B19" s="1282"/>
      <c r="C19" s="1282"/>
      <c r="D19" s="1282"/>
      <c r="E19" s="1282"/>
      <c r="F19" s="1282"/>
      <c r="G19" s="1282"/>
      <c r="H19" s="1282"/>
      <c r="I19" s="1282"/>
      <c r="J19" s="1282"/>
      <c r="K19" s="1282"/>
      <c r="L19" s="1282"/>
      <c r="M19" s="1282"/>
      <c r="N19" s="1282"/>
      <c r="O19" s="1282"/>
      <c r="P19" s="1282"/>
      <c r="Q19" s="1282"/>
      <c r="R19" s="1282"/>
      <c r="S19" s="1282"/>
      <c r="T19" s="1282"/>
      <c r="U19" s="1283" t="s">
        <v>541</v>
      </c>
      <c r="V19" s="1284">
        <v>14.748000000000001</v>
      </c>
      <c r="W19" s="1284">
        <v>16.3125</v>
      </c>
      <c r="X19" s="1284">
        <v>16.055</v>
      </c>
      <c r="Y19" s="1284">
        <v>19.690000000000001</v>
      </c>
      <c r="Z19" s="1284">
        <v>23.632000000000001</v>
      </c>
      <c r="AA19" s="1284">
        <v>28.83</v>
      </c>
      <c r="AB19" s="1284">
        <v>28.472000000000001</v>
      </c>
      <c r="AC19" s="1284">
        <v>36.619999999999997</v>
      </c>
      <c r="AD19" s="1284">
        <v>27.927999999999997</v>
      </c>
      <c r="AE19" s="1284">
        <v>29.24</v>
      </c>
      <c r="AF19" s="1284">
        <v>35.853999999999999</v>
      </c>
      <c r="AG19" s="1284">
        <f>+'[1]Gasolinas 2012'!B89</f>
        <v>36.3125</v>
      </c>
      <c r="AH19" s="1284">
        <f>+'[1]Gasolinas 2013'!B89</f>
        <v>36.905000000000001</v>
      </c>
      <c r="AI19" s="1284">
        <f>+'[1]Gasolinas 2014'!B50</f>
        <v>34.512500000000003</v>
      </c>
      <c r="AJ19" s="1284">
        <f>+'[1]Gasolinas 2015'!B53</f>
        <v>25.812000000000001</v>
      </c>
      <c r="AK19" s="1284">
        <f>+'[1]Gasolinas 2016'!B51</f>
        <v>22.988</v>
      </c>
      <c r="AL19" s="1284">
        <f>+'[1]Gasolinas 2017'!B51</f>
        <v>24.377500000000001</v>
      </c>
      <c r="AM19" s="1284">
        <f>+'[1]Gasolinas 2018'!B51</f>
        <v>28.6</v>
      </c>
      <c r="AN19" s="1284">
        <f>+'[1]Gasolinas 2019'!B51</f>
        <v>26.687500000000004</v>
      </c>
      <c r="AO19" s="1284">
        <v>22.76</v>
      </c>
      <c r="AP19" s="1284">
        <v>30.49</v>
      </c>
      <c r="AQ19" s="1284">
        <f>+'Gasolineras 2022'!B51</f>
        <v>36.284000000000006</v>
      </c>
      <c r="AR19" s="1284">
        <f>+'Gasolineras 2023'!B51</f>
        <v>38.909999999999997</v>
      </c>
      <c r="AS19" s="1284">
        <f>+'Gasolineras 2024'!B51</f>
        <v>34.252499999999998</v>
      </c>
    </row>
    <row r="20" spans="1:48" ht="13.5">
      <c r="A20" s="1273" t="s">
        <v>49</v>
      </c>
      <c r="B20" s="1274"/>
      <c r="C20" s="1274"/>
      <c r="D20" s="1274"/>
      <c r="E20" s="1274"/>
      <c r="F20" s="1274"/>
      <c r="G20" s="1274"/>
      <c r="H20" s="1274"/>
      <c r="I20" s="1274"/>
      <c r="J20" s="1274"/>
      <c r="K20" s="1274"/>
      <c r="L20" s="1274"/>
      <c r="M20" s="1274"/>
      <c r="N20" s="1274"/>
      <c r="O20" s="1274"/>
      <c r="P20" s="1274"/>
      <c r="Q20" s="1274"/>
      <c r="R20" s="1274"/>
      <c r="S20" s="1274"/>
      <c r="T20" s="1274"/>
      <c r="U20" s="1275" t="s">
        <v>541</v>
      </c>
      <c r="V20" s="1276">
        <v>14.952500000000001</v>
      </c>
      <c r="W20" s="1276">
        <v>16.225999999999999</v>
      </c>
      <c r="X20" s="1276">
        <v>17.510000000000002</v>
      </c>
      <c r="Y20" s="1276">
        <v>19.504999999999999</v>
      </c>
      <c r="Z20" s="1276">
        <v>25.797499999999999</v>
      </c>
      <c r="AA20" s="1276">
        <v>27.7225</v>
      </c>
      <c r="AB20" s="1276">
        <v>27.81</v>
      </c>
      <c r="AC20" s="1276">
        <v>35.874000000000002</v>
      </c>
      <c r="AD20" s="1276">
        <v>28.002500000000001</v>
      </c>
      <c r="AE20" s="1276">
        <v>28.022500000000001</v>
      </c>
      <c r="AF20" s="1276">
        <v>35.607500000000002</v>
      </c>
      <c r="AG20" s="1276">
        <f>+'[1]Gasolinas 2012'!B94</f>
        <v>38.44</v>
      </c>
      <c r="AH20" s="1276">
        <f>+'[1]Gasolinas 2013'!B95</f>
        <v>36.543999999999997</v>
      </c>
      <c r="AI20" s="1276">
        <f>+'[1]Gasolinas 2014'!B56</f>
        <v>33.631999999999998</v>
      </c>
      <c r="AJ20" s="1276">
        <f>+'[1]Gasolinas 2015'!B58</f>
        <v>23.8325</v>
      </c>
      <c r="AK20" s="1276">
        <f>+'[1]Gasolinas 2016'!B56</f>
        <v>23.669999999999998</v>
      </c>
      <c r="AL20" s="1276">
        <f>+'[1]Gasolinas 2017'!B56</f>
        <v>25.924999999999997</v>
      </c>
      <c r="AM20" s="1276">
        <f>+'[1]Gasolinas 2018'!B56</f>
        <v>28.857500000000002</v>
      </c>
      <c r="AN20" s="1276">
        <f>+'[1]Gasolinas 2019'!B57</f>
        <v>26.534000000000002</v>
      </c>
      <c r="AO20" s="1276">
        <f>+'[1]Gasolinas 2020'!B56</f>
        <v>22.634999999999998</v>
      </c>
      <c r="AP20" s="1276">
        <v>30.827500000000001</v>
      </c>
      <c r="AQ20" s="1276">
        <f>+'Gasolineras 2022'!B56</f>
        <v>35.767499999999998</v>
      </c>
      <c r="AR20" s="1276">
        <f>+'Gasolineras 2023'!B56</f>
        <v>38.667500000000004</v>
      </c>
      <c r="AS20" s="1276">
        <f>+'Gasolineras 2024'!B57</f>
        <v>31.887999999999998</v>
      </c>
    </row>
    <row r="21" spans="1:48" ht="13.5">
      <c r="A21" s="1281" t="s">
        <v>50</v>
      </c>
      <c r="B21" s="1282"/>
      <c r="C21" s="1282"/>
      <c r="D21" s="1282"/>
      <c r="E21" s="1282"/>
      <c r="F21" s="1282"/>
      <c r="G21" s="1282"/>
      <c r="H21" s="1282"/>
      <c r="I21" s="1282"/>
      <c r="J21" s="1282"/>
      <c r="K21" s="1282"/>
      <c r="L21" s="1282"/>
      <c r="M21" s="1282"/>
      <c r="N21" s="1282"/>
      <c r="O21" s="1282"/>
      <c r="P21" s="1282"/>
      <c r="Q21" s="1282"/>
      <c r="R21" s="1282"/>
      <c r="S21" s="1282"/>
      <c r="T21" s="1282"/>
      <c r="U21" s="1283" t="s">
        <v>541</v>
      </c>
      <c r="V21" s="1284">
        <v>14.942000000000002</v>
      </c>
      <c r="W21" s="1284">
        <v>16.62</v>
      </c>
      <c r="X21" s="1284">
        <v>17.2</v>
      </c>
      <c r="Y21" s="1284">
        <v>20.135000000000002</v>
      </c>
      <c r="Z21" s="1284">
        <v>27.832000000000001</v>
      </c>
      <c r="AA21" s="1284">
        <v>25.43</v>
      </c>
      <c r="AB21" s="1284">
        <v>28.118000000000002</v>
      </c>
      <c r="AC21" s="1284">
        <v>32.482500000000002</v>
      </c>
      <c r="AD21" s="1284">
        <v>27.357500000000002</v>
      </c>
      <c r="AE21" s="1284">
        <v>29.908000000000005</v>
      </c>
      <c r="AF21" s="1284">
        <v>35.004000000000005</v>
      </c>
      <c r="AG21" s="1284">
        <f>+'[1]Gasolinas 2012'!B100</f>
        <v>37.106000000000002</v>
      </c>
      <c r="AH21" s="1284">
        <f>+'[1]Gasolinas 2013'!B100</f>
        <v>34.564999999999998</v>
      </c>
      <c r="AI21" s="1284">
        <f>+'[1]Gasolinas 2014'!B61</f>
        <v>31.820000000000004</v>
      </c>
      <c r="AJ21" s="1284">
        <f>+'[1]Gasolinas 2015'!B63</f>
        <v>23.5</v>
      </c>
      <c r="AK21" s="1284">
        <f>+'[1]Gasolinas 2016'!B62</f>
        <v>24.006</v>
      </c>
      <c r="AL21" s="1284">
        <f>+'[1]Gasolinas 2017'!B62</f>
        <v>25.084</v>
      </c>
      <c r="AM21" s="1284">
        <f>+'[1]Gasolinas 2018'!B62</f>
        <v>29.143999999999998</v>
      </c>
      <c r="AN21" s="1284">
        <f>+'[1]Gasolinas 2019'!F62</f>
        <v>25.21</v>
      </c>
      <c r="AO21" s="1284">
        <v>22.76</v>
      </c>
      <c r="AP21" s="1284">
        <v>32.6</v>
      </c>
      <c r="AQ21" s="1284">
        <f>+'Gasolineras 2022'!B61</f>
        <v>38.049999999999997</v>
      </c>
      <c r="AR21" s="1284">
        <v>37.1</v>
      </c>
      <c r="AS21" s="1284">
        <f>+'Gasolineras 2024'!B62</f>
        <v>31.355</v>
      </c>
    </row>
    <row r="22" spans="1:48" ht="13.5">
      <c r="A22" s="1273" t="s">
        <v>51</v>
      </c>
      <c r="B22" s="1274"/>
      <c r="C22" s="1274"/>
      <c r="D22" s="1274"/>
      <c r="E22" s="1274"/>
      <c r="F22" s="1274"/>
      <c r="G22" s="1274"/>
      <c r="H22" s="1274"/>
      <c r="I22" s="1274"/>
      <c r="J22" s="1274"/>
      <c r="K22" s="1274"/>
      <c r="L22" s="1274"/>
      <c r="M22" s="1274"/>
      <c r="N22" s="1274"/>
      <c r="O22" s="1274"/>
      <c r="P22" s="1274"/>
      <c r="Q22" s="1274"/>
      <c r="R22" s="1274"/>
      <c r="S22" s="1274"/>
      <c r="T22" s="1274"/>
      <c r="U22" s="1275" t="s">
        <v>541</v>
      </c>
      <c r="V22" s="1276">
        <v>14.432499999999999</v>
      </c>
      <c r="W22" s="1276">
        <v>16.745000000000001</v>
      </c>
      <c r="X22" s="1276">
        <v>16.815000000000001</v>
      </c>
      <c r="Y22" s="1276">
        <v>21.026</v>
      </c>
      <c r="Z22" s="1276">
        <v>26.6</v>
      </c>
      <c r="AA22" s="1276">
        <v>23.83</v>
      </c>
      <c r="AB22" s="1276">
        <v>29.15</v>
      </c>
      <c r="AC22" s="1276">
        <v>27.452500000000001</v>
      </c>
      <c r="AD22" s="1276">
        <v>29.173999999999999</v>
      </c>
      <c r="AE22" s="1276">
        <v>30.142000000000003</v>
      </c>
      <c r="AF22" s="1276">
        <v>35.43</v>
      </c>
      <c r="AG22" s="1276">
        <f>+'[1]Gasolinas 2012'!B105</f>
        <v>34.597500000000004</v>
      </c>
      <c r="AH22" s="1276">
        <f>+'[1]Gasolinas 2013'!B105</f>
        <v>33.587499999999999</v>
      </c>
      <c r="AI22" s="1276">
        <f>+'[1]Gasolinas 2014'!B66</f>
        <v>29.982500000000002</v>
      </c>
      <c r="AJ22" s="1276">
        <f>+'[1]Gasolinas 2015'!B69</f>
        <v>22.54</v>
      </c>
      <c r="AK22" s="1276">
        <f>+'[1]Gasolinas 2016'!B67</f>
        <v>23.3125</v>
      </c>
      <c r="AL22" s="1276">
        <f>+'[1]Gasolinas 2017'!B67</f>
        <v>25.982499999999998</v>
      </c>
      <c r="AM22" s="1276">
        <f>+'[1]Gasolinas 2018'!B67</f>
        <v>26.434999999999999</v>
      </c>
      <c r="AN22" s="1276">
        <f>+'[1]Gasolinas 2019'!B67</f>
        <v>26.164999999999999</v>
      </c>
      <c r="AO22" s="1276">
        <v>21.762</v>
      </c>
      <c r="AP22" s="1276">
        <v>32.11</v>
      </c>
      <c r="AQ22" s="1276">
        <f>+'Gasolineras 2022'!B67</f>
        <v>37.845999999999997</v>
      </c>
      <c r="AR22" s="1276">
        <f>+'Gasolineras 2023'!$B$67</f>
        <v>32.405000000000001</v>
      </c>
      <c r="AS22" s="1276"/>
    </row>
    <row r="23" spans="1:48" ht="16.5">
      <c r="A23" s="1281" t="s">
        <v>52</v>
      </c>
      <c r="B23" s="1282"/>
      <c r="C23" s="1282"/>
      <c r="D23" s="1282"/>
      <c r="E23" s="1282"/>
      <c r="F23" s="1282"/>
      <c r="G23" s="1282"/>
      <c r="H23" s="1285"/>
      <c r="I23" s="1285"/>
      <c r="J23" s="1285"/>
      <c r="K23" s="1285"/>
      <c r="L23" s="1285"/>
      <c r="M23" s="1285"/>
      <c r="N23" s="1285"/>
      <c r="O23" s="1285"/>
      <c r="P23" s="1285"/>
      <c r="Q23" s="1285"/>
      <c r="R23" s="1285"/>
      <c r="S23" s="1285"/>
      <c r="T23" s="1285"/>
      <c r="U23" s="1286" t="s">
        <v>541</v>
      </c>
      <c r="V23" s="1287">
        <v>13.5725</v>
      </c>
      <c r="W23" s="1287">
        <v>16.497999999999998</v>
      </c>
      <c r="X23" s="1287">
        <v>16.402000000000001</v>
      </c>
      <c r="Y23" s="1287">
        <v>20.704999999999998</v>
      </c>
      <c r="Z23" s="1287">
        <v>23.925000000000001</v>
      </c>
      <c r="AA23" s="1287">
        <v>23.8675</v>
      </c>
      <c r="AB23" s="1287">
        <v>29.79</v>
      </c>
      <c r="AC23" s="1284">
        <v>23.8</v>
      </c>
      <c r="AD23" s="1284">
        <v>28.702500000000001</v>
      </c>
      <c r="AE23" s="1284">
        <v>31.0825</v>
      </c>
      <c r="AF23" s="1284">
        <v>34.087499999999999</v>
      </c>
      <c r="AG23" s="1284">
        <f>+'[1]Gasolinas 2012'!B110</f>
        <v>34.605000000000004</v>
      </c>
      <c r="AH23" s="1284">
        <f>+'[1]Gasolinas 2013'!B111</f>
        <v>35.64</v>
      </c>
      <c r="AI23" s="1284">
        <f>+'[1]Gasolinas 2014'!B72</f>
        <v>26.462</v>
      </c>
      <c r="AJ23" s="1284">
        <f>+'[1]Gasolinas 2015'!B74</f>
        <v>21.635000000000002</v>
      </c>
      <c r="AK23" s="1284">
        <f>+'[1]Gasolinas 2016'!B72</f>
        <v>24.264649122807018</v>
      </c>
      <c r="AL23" s="1284">
        <f>+'[1]Gasolinas 2017'!B72</f>
        <v>25.75</v>
      </c>
      <c r="AM23" s="1284">
        <f>+'[1]Gasolinas 2018'!B72</f>
        <v>24.495000000000001</v>
      </c>
      <c r="AN23" s="1284">
        <f>+'[1]Gasolinas 2019'!B73</f>
        <v>25.963999999999999</v>
      </c>
      <c r="AO23" s="1284">
        <f>+'[1]Gasolinas 2020'!B72</f>
        <v>23.41</v>
      </c>
      <c r="AP23" s="1284">
        <v>30.375</v>
      </c>
      <c r="AQ23" s="1284">
        <f>+'Gasolineras 2022'!B72</f>
        <v>35.282499999999999</v>
      </c>
      <c r="AR23" s="1284">
        <f>+'Gasolineras 2023'!B72</f>
        <v>31.085000000000001</v>
      </c>
      <c r="AS23" s="1284"/>
    </row>
    <row r="24" spans="1:48" s="1293" customFormat="1" ht="27" customHeight="1">
      <c r="A24" s="1288" t="s">
        <v>7</v>
      </c>
      <c r="B24" s="1289"/>
      <c r="C24" s="1289"/>
      <c r="D24" s="1289"/>
      <c r="E24" s="1289"/>
      <c r="F24" s="1289"/>
      <c r="G24" s="1289"/>
      <c r="H24" s="1289"/>
      <c r="I24" s="1289"/>
      <c r="J24" s="1289"/>
      <c r="K24" s="1289"/>
      <c r="L24" s="1289"/>
      <c r="M24" s="1289"/>
      <c r="N24" s="1289"/>
      <c r="O24" s="1289"/>
      <c r="P24" s="1289"/>
      <c r="Q24" s="1289"/>
      <c r="R24" s="1289"/>
      <c r="S24" s="1289"/>
      <c r="T24" s="1289"/>
      <c r="U24" s="1288" t="s">
        <v>541</v>
      </c>
      <c r="V24" s="1290">
        <f t="shared" ref="V24:AQ24" si="0">AVERAGE(V12:V23)</f>
        <v>15.059430555555558</v>
      </c>
      <c r="W24" s="1290">
        <f t="shared" si="0"/>
        <v>15.3005</v>
      </c>
      <c r="X24" s="1290">
        <f t="shared" si="0"/>
        <v>16.748625000000001</v>
      </c>
      <c r="Y24" s="1290">
        <f t="shared" si="0"/>
        <v>19.415625000000002</v>
      </c>
      <c r="Z24" s="1290">
        <f t="shared" si="0"/>
        <v>23.271583333333329</v>
      </c>
      <c r="AA24" s="1290">
        <f t="shared" si="0"/>
        <v>25.547041666666662</v>
      </c>
      <c r="AB24" s="1290">
        <f t="shared" si="0"/>
        <v>27.253416666666666</v>
      </c>
      <c r="AC24" s="1290">
        <f t="shared" si="0"/>
        <v>32.173333333333339</v>
      </c>
      <c r="AD24" s="1290">
        <f t="shared" si="0"/>
        <v>25.773999999999997</v>
      </c>
      <c r="AE24" s="1290">
        <f t="shared" si="0"/>
        <v>29.899749999999997</v>
      </c>
      <c r="AF24" s="1290">
        <f t="shared" si="0"/>
        <v>35.086541666666669</v>
      </c>
      <c r="AG24" s="1290">
        <f t="shared" si="0"/>
        <v>36.226750000000003</v>
      </c>
      <c r="AH24" s="1290">
        <f t="shared" si="0"/>
        <v>35.482627450980388</v>
      </c>
      <c r="AI24" s="1290">
        <f t="shared" si="0"/>
        <v>33.655624999999993</v>
      </c>
      <c r="AJ24" s="1290">
        <f t="shared" si="0"/>
        <v>25.035</v>
      </c>
      <c r="AK24" s="1290">
        <f t="shared" si="0"/>
        <v>22.926095760233917</v>
      </c>
      <c r="AL24" s="1290">
        <f t="shared" si="0"/>
        <v>24.812083333333334</v>
      </c>
      <c r="AM24" s="1290">
        <f t="shared" si="0"/>
        <v>27.511749999999996</v>
      </c>
      <c r="AN24" s="1290">
        <f t="shared" si="0"/>
        <v>26.430270833333335</v>
      </c>
      <c r="AO24" s="1290">
        <f t="shared" si="0"/>
        <v>22.69191122524818</v>
      </c>
      <c r="AP24" s="1290">
        <v>29.361405487804884</v>
      </c>
      <c r="AQ24" s="1290">
        <f t="shared" si="0"/>
        <v>37.510208333333331</v>
      </c>
      <c r="AR24" s="1290">
        <f>AVERAGE(AR12:AR23)</f>
        <v>35.625666666666667</v>
      </c>
      <c r="AS24" s="1290">
        <f>AVERAGE(AS12:AS23)</f>
        <v>33.861200000000004</v>
      </c>
      <c r="AT24" s="1291"/>
      <c r="AU24" s="1291"/>
      <c r="AV24" s="1292"/>
    </row>
    <row r="25" spans="1:48" ht="6" customHeight="1">
      <c r="A25" s="1294"/>
      <c r="B25" s="1294"/>
      <c r="C25" s="1294"/>
      <c r="D25" s="1294"/>
      <c r="E25" s="1294"/>
      <c r="F25" s="1294"/>
      <c r="G25" s="1294"/>
      <c r="H25" s="1294"/>
      <c r="I25" s="1294"/>
      <c r="J25" s="1294"/>
      <c r="K25" s="1294"/>
      <c r="L25" s="1294"/>
      <c r="M25" s="1294"/>
      <c r="N25" s="1294"/>
      <c r="O25" s="1294"/>
      <c r="P25" s="1294"/>
      <c r="Q25" s="1294"/>
      <c r="R25" s="1294"/>
      <c r="S25" s="1294"/>
      <c r="T25" s="1294"/>
      <c r="U25" s="1294"/>
      <c r="V25" s="1294"/>
      <c r="W25" s="1295"/>
      <c r="X25" s="1295"/>
      <c r="Y25" s="1295"/>
      <c r="Z25" s="1295"/>
      <c r="AA25" s="1295"/>
      <c r="AB25" s="1295"/>
      <c r="AC25" s="1295"/>
      <c r="AD25" s="1295"/>
      <c r="AE25" s="1295"/>
      <c r="AF25" s="1295"/>
      <c r="AG25" s="1295"/>
      <c r="AH25" s="1295"/>
      <c r="AI25" s="1295"/>
      <c r="AJ25" s="1295"/>
      <c r="AK25" s="1296"/>
      <c r="AL25" s="1296"/>
      <c r="AM25" s="1297"/>
      <c r="AN25" s="1297"/>
      <c r="AO25" s="1297"/>
      <c r="AP25" s="1297"/>
      <c r="AQ25" s="1297"/>
      <c r="AR25" s="1297"/>
      <c r="AS25" s="1297"/>
    </row>
    <row r="26" spans="1:48" ht="13.5">
      <c r="A26" s="1269" t="s">
        <v>672</v>
      </c>
      <c r="B26" s="1270"/>
      <c r="C26" s="1270"/>
      <c r="D26" s="1270"/>
      <c r="E26" s="1270"/>
      <c r="F26" s="1270"/>
      <c r="G26" s="1270"/>
      <c r="H26" s="1270"/>
      <c r="I26" s="1270"/>
      <c r="J26" s="1270"/>
      <c r="K26" s="1270"/>
      <c r="L26" s="1270"/>
      <c r="M26" s="1270"/>
      <c r="N26" s="1270"/>
      <c r="O26" s="1270"/>
      <c r="P26" s="1270"/>
      <c r="Q26" s="1270"/>
      <c r="R26" s="1270"/>
      <c r="S26" s="1270"/>
      <c r="T26" s="1270"/>
      <c r="U26" s="1270"/>
      <c r="V26" s="1270"/>
      <c r="W26" s="1271"/>
      <c r="X26" s="1295"/>
      <c r="Y26" s="1295"/>
      <c r="Z26" s="1295"/>
      <c r="AA26" s="1295"/>
      <c r="AB26" s="1295"/>
      <c r="AC26" s="1295"/>
      <c r="AD26" s="1295"/>
      <c r="AE26" s="1295"/>
      <c r="AF26" s="1295"/>
      <c r="AG26" s="1295"/>
      <c r="AH26" s="1295"/>
      <c r="AI26" s="1295"/>
      <c r="AJ26" s="1295"/>
      <c r="AK26" s="1296"/>
      <c r="AL26" s="1296"/>
      <c r="AM26" s="1297"/>
      <c r="AN26" s="1297"/>
      <c r="AO26" s="1297"/>
      <c r="AP26" s="1297"/>
      <c r="AQ26" s="1297"/>
      <c r="AR26" s="1297"/>
      <c r="AS26" s="1297"/>
    </row>
    <row r="27" spans="1:48" ht="12.75" customHeight="1">
      <c r="A27" s="1620" t="s">
        <v>517</v>
      </c>
      <c r="B27" s="1601">
        <v>1981</v>
      </c>
      <c r="C27" s="1601">
        <v>1982</v>
      </c>
      <c r="D27" s="1601">
        <v>1983</v>
      </c>
      <c r="E27" s="1601">
        <v>1984</v>
      </c>
      <c r="F27" s="1601">
        <v>1985</v>
      </c>
      <c r="G27" s="1601">
        <v>1986</v>
      </c>
      <c r="H27" s="1601">
        <v>1987</v>
      </c>
      <c r="I27" s="1601">
        <v>1988</v>
      </c>
      <c r="J27" s="1601">
        <v>1989</v>
      </c>
      <c r="K27" s="1601">
        <v>1990</v>
      </c>
      <c r="L27" s="1601">
        <v>1991</v>
      </c>
      <c r="M27" s="1601">
        <v>1992</v>
      </c>
      <c r="N27" s="1601">
        <v>1993</v>
      </c>
      <c r="O27" s="1601">
        <v>1994</v>
      </c>
      <c r="P27" s="1601">
        <v>1995</v>
      </c>
      <c r="Q27" s="1601">
        <v>1996</v>
      </c>
      <c r="R27" s="1601">
        <v>1997</v>
      </c>
      <c r="S27" s="1601">
        <v>1998</v>
      </c>
      <c r="T27" s="1601">
        <v>1999</v>
      </c>
      <c r="U27" s="1624">
        <v>2000</v>
      </c>
      <c r="V27" s="1601">
        <v>2001</v>
      </c>
      <c r="W27" s="1601">
        <v>2002</v>
      </c>
      <c r="X27" s="1601">
        <v>2003</v>
      </c>
      <c r="Y27" s="1601">
        <v>2004</v>
      </c>
      <c r="Z27" s="1601">
        <v>2005</v>
      </c>
      <c r="AA27" s="1601">
        <v>2006</v>
      </c>
      <c r="AB27" s="1601">
        <v>2007</v>
      </c>
      <c r="AC27" s="1601">
        <v>2008</v>
      </c>
      <c r="AD27" s="1601">
        <v>2009</v>
      </c>
      <c r="AE27" s="1601">
        <v>2010</v>
      </c>
      <c r="AF27" s="1601">
        <v>2011</v>
      </c>
      <c r="AG27" s="1601">
        <f>+AG10</f>
        <v>2012</v>
      </c>
      <c r="AH27" s="1601">
        <v>2013</v>
      </c>
      <c r="AI27" s="1601">
        <v>2014</v>
      </c>
      <c r="AJ27" s="1601">
        <v>2015</v>
      </c>
      <c r="AK27" s="1601">
        <v>2016</v>
      </c>
      <c r="AL27" s="1601">
        <v>2017</v>
      </c>
      <c r="AM27" s="1601">
        <v>2018</v>
      </c>
      <c r="AN27" s="1601">
        <v>2019</v>
      </c>
      <c r="AO27" s="1601">
        <v>2020</v>
      </c>
      <c r="AP27" s="1601">
        <v>2021</v>
      </c>
      <c r="AQ27" s="1601">
        <v>2022</v>
      </c>
      <c r="AR27" s="1601">
        <v>2023</v>
      </c>
      <c r="AS27" s="1601">
        <v>2024</v>
      </c>
    </row>
    <row r="28" spans="1:48" ht="13.5" customHeight="1">
      <c r="A28" s="1620"/>
      <c r="B28" s="1602"/>
      <c r="C28" s="1602"/>
      <c r="D28" s="1602"/>
      <c r="E28" s="1602"/>
      <c r="F28" s="1602"/>
      <c r="G28" s="1602"/>
      <c r="H28" s="1602"/>
      <c r="I28" s="1602"/>
      <c r="J28" s="1602"/>
      <c r="K28" s="1602"/>
      <c r="L28" s="1602"/>
      <c r="M28" s="1602"/>
      <c r="N28" s="1602"/>
      <c r="O28" s="1602"/>
      <c r="P28" s="1602"/>
      <c r="Q28" s="1602"/>
      <c r="R28" s="1602"/>
      <c r="S28" s="1602"/>
      <c r="T28" s="1602"/>
      <c r="U28" s="1624"/>
      <c r="V28" s="1602"/>
      <c r="W28" s="1602"/>
      <c r="X28" s="1602"/>
      <c r="Y28" s="1602"/>
      <c r="Z28" s="1602"/>
      <c r="AA28" s="1602"/>
      <c r="AB28" s="1602"/>
      <c r="AC28" s="1602"/>
      <c r="AD28" s="1602"/>
      <c r="AE28" s="1602"/>
      <c r="AF28" s="1602"/>
      <c r="AG28" s="1602"/>
      <c r="AH28" s="1602"/>
      <c r="AI28" s="1602"/>
      <c r="AJ28" s="1602"/>
      <c r="AK28" s="1602"/>
      <c r="AL28" s="1602"/>
      <c r="AM28" s="1602"/>
      <c r="AN28" s="1602"/>
      <c r="AO28" s="1602"/>
      <c r="AP28" s="1602"/>
      <c r="AQ28" s="1602"/>
      <c r="AR28" s="1602"/>
      <c r="AS28" s="1602"/>
    </row>
    <row r="29" spans="1:48" ht="13.5">
      <c r="A29" s="1273" t="s">
        <v>41</v>
      </c>
      <c r="B29" s="1274">
        <v>2.09</v>
      </c>
      <c r="C29" s="1274">
        <v>2.09</v>
      </c>
      <c r="D29" s="1274">
        <v>2.0699999999999998</v>
      </c>
      <c r="E29" s="1274">
        <v>2.0699999999999998</v>
      </c>
      <c r="F29" s="1274">
        <v>2.0699999999999998</v>
      </c>
      <c r="G29" s="1274">
        <v>3.1</v>
      </c>
      <c r="H29" s="1274">
        <v>3.1</v>
      </c>
      <c r="I29" s="1274">
        <v>3.1</v>
      </c>
      <c r="J29" s="1274">
        <v>3.25</v>
      </c>
      <c r="K29" s="1274">
        <v>3.9</v>
      </c>
      <c r="L29" s="1274">
        <v>9.6</v>
      </c>
      <c r="M29" s="1274">
        <v>9.6</v>
      </c>
      <c r="N29" s="1274">
        <v>7.95</v>
      </c>
      <c r="O29" s="1274">
        <v>7.95</v>
      </c>
      <c r="P29" s="1274">
        <v>8.1</v>
      </c>
      <c r="Q29" s="1274">
        <v>9.2799999999999994</v>
      </c>
      <c r="R29" s="1274">
        <v>10.87</v>
      </c>
      <c r="S29" s="1274">
        <v>11.01</v>
      </c>
      <c r="T29" s="1274">
        <v>10.42</v>
      </c>
      <c r="U29" s="1275">
        <v>14.07</v>
      </c>
      <c r="V29" s="1276">
        <v>14.413999999999998</v>
      </c>
      <c r="W29" s="1276">
        <v>12.94</v>
      </c>
      <c r="X29" s="1276">
        <v>15.797499999999999</v>
      </c>
      <c r="Y29" s="1276">
        <v>16.237500000000001</v>
      </c>
      <c r="Z29" s="1276">
        <v>19.088000000000001</v>
      </c>
      <c r="AA29" s="1276">
        <v>22.65</v>
      </c>
      <c r="AB29" s="1276">
        <v>22.99</v>
      </c>
      <c r="AC29" s="1276">
        <v>28.89</v>
      </c>
      <c r="AD29" s="1276">
        <v>21.58</v>
      </c>
      <c r="AE29" s="1276">
        <v>28.36</v>
      </c>
      <c r="AF29" s="1276">
        <v>30.885000000000002</v>
      </c>
      <c r="AG29" s="1276">
        <f>+'[1]Gasolinas 2012'!C14</f>
        <v>33.220000000000006</v>
      </c>
      <c r="AH29" s="1276">
        <f>+'[1]Gasolinas 2013'!C14</f>
        <v>33.694000000000003</v>
      </c>
      <c r="AI29" s="1276">
        <v>34.835000000000008</v>
      </c>
      <c r="AJ29" s="1276">
        <f>+'[1]Gasolinas 2015'!C15</f>
        <v>21.737500000000001</v>
      </c>
      <c r="AK29" s="1276">
        <f>+'[1]Gasolinas 2016'!C13</f>
        <v>20.387499999999999</v>
      </c>
      <c r="AL29" s="1276">
        <f>+'[1]Gasolinas 2017'!C14</f>
        <v>24.687999999999995</v>
      </c>
      <c r="AM29" s="1276">
        <f>+'[1]Gasolinas 2018'!C14</f>
        <v>25.827999999999996</v>
      </c>
      <c r="AN29" s="1276">
        <f>+'[1]Gasolinas 2019'!C14</f>
        <v>23.033999999999999</v>
      </c>
      <c r="AO29" s="1276">
        <f>+'[1]Gasolinas 2020'!C13</f>
        <v>25.602499999999999</v>
      </c>
      <c r="AP29" s="1276">
        <v>23.814999999999998</v>
      </c>
      <c r="AQ29" s="1276">
        <v>31.41</v>
      </c>
      <c r="AR29" s="1276">
        <f>+'Gasolineras 2023'!C14</f>
        <v>35.120000000000005</v>
      </c>
      <c r="AS29" s="1276">
        <f>+'Gasolineras 2024'!C14</f>
        <v>31.588000000000001</v>
      </c>
    </row>
    <row r="30" spans="1:48" ht="13.5">
      <c r="A30" s="1277" t="s">
        <v>42</v>
      </c>
      <c r="B30" s="1278">
        <v>2.09</v>
      </c>
      <c r="C30" s="1278">
        <v>2.09</v>
      </c>
      <c r="D30" s="1278">
        <v>2.0699999999999998</v>
      </c>
      <c r="E30" s="1278">
        <v>2.0699999999999998</v>
      </c>
      <c r="F30" s="1278">
        <v>2.0699999999999998</v>
      </c>
      <c r="G30" s="1278">
        <v>3.1</v>
      </c>
      <c r="H30" s="1278">
        <v>3.1</v>
      </c>
      <c r="I30" s="1278">
        <v>3.1</v>
      </c>
      <c r="J30" s="1278">
        <v>3.25</v>
      </c>
      <c r="K30" s="1278">
        <v>3.9</v>
      </c>
      <c r="L30" s="1278">
        <v>9.6</v>
      </c>
      <c r="M30" s="1278">
        <v>9.6</v>
      </c>
      <c r="N30" s="1278">
        <v>7.95</v>
      </c>
      <c r="O30" s="1278">
        <v>8.0500000000000007</v>
      </c>
      <c r="P30" s="1278">
        <v>8.49</v>
      </c>
      <c r="Q30" s="1278">
        <v>9.4700000000000006</v>
      </c>
      <c r="R30" s="1278">
        <v>10.95</v>
      </c>
      <c r="S30" s="1278">
        <v>10.86</v>
      </c>
      <c r="T30" s="1278">
        <v>10.39</v>
      </c>
      <c r="U30" s="1279">
        <v>14.42</v>
      </c>
      <c r="V30" s="1280">
        <v>14.657500000000001</v>
      </c>
      <c r="W30" s="1280">
        <v>12.7575</v>
      </c>
      <c r="X30" s="1280">
        <v>16.64</v>
      </c>
      <c r="Y30" s="1280">
        <v>17.487500000000001</v>
      </c>
      <c r="Z30" s="1280">
        <v>18.600000000000001</v>
      </c>
      <c r="AA30" s="1280">
        <v>22.35</v>
      </c>
      <c r="AB30" s="1280">
        <v>22.037500000000001</v>
      </c>
      <c r="AC30" s="1280">
        <v>28.704999999999998</v>
      </c>
      <c r="AD30" s="1280">
        <v>21.352499999999999</v>
      </c>
      <c r="AE30" s="1280">
        <v>27.99</v>
      </c>
      <c r="AF30" s="1280">
        <v>31.857500000000002</v>
      </c>
      <c r="AG30" s="1280">
        <f>+'[1]Gasolinas 2012'!C19</f>
        <v>34.797499999999999</v>
      </c>
      <c r="AH30" s="1280">
        <f>+'[1]Gasolinas 2013'!C19</f>
        <v>35.4375</v>
      </c>
      <c r="AI30" s="1280">
        <v>33.927499999999995</v>
      </c>
      <c r="AJ30" s="1280">
        <f>+'[1]Gasolinas 2015'!C20</f>
        <v>23.247499999999999</v>
      </c>
      <c r="AK30" s="1280">
        <f>+'[1]Gasolinas 2016'!C19</f>
        <v>19.380000000000003</v>
      </c>
      <c r="AL30" s="1280">
        <f>+'[1]Gasolinas 2017'!C19</f>
        <v>23.875</v>
      </c>
      <c r="AM30" s="1280">
        <f>+'[1]Gasolinas 2018'!C19</f>
        <v>25.779999999999998</v>
      </c>
      <c r="AN30" s="1280">
        <f>+'[1]Gasolinas 2019'!C19</f>
        <v>23.865000000000002</v>
      </c>
      <c r="AO30" s="1280">
        <f>+'[1]Gasolinas 2020'!C18</f>
        <v>24.505000000000003</v>
      </c>
      <c r="AP30" s="1280">
        <v>25.524999999999999</v>
      </c>
      <c r="AQ30" s="1280">
        <v>33.842500000000001</v>
      </c>
      <c r="AR30" s="1280">
        <f>+'Gasolineras 2023'!C19</f>
        <v>35.025000000000006</v>
      </c>
      <c r="AS30" s="1280">
        <f>+'Gasolineras 2024'!C19</f>
        <v>32.792499999999997</v>
      </c>
    </row>
    <row r="31" spans="1:48" ht="13.5">
      <c r="A31" s="1273" t="s">
        <v>43</v>
      </c>
      <c r="B31" s="1274">
        <v>2.09</v>
      </c>
      <c r="C31" s="1274">
        <f t="shared" ref="C31:C36" si="1">(14*2.09+16*1.96)/30</f>
        <v>2.0206666666666666</v>
      </c>
      <c r="D31" s="1274">
        <v>2.0699999999999998</v>
      </c>
      <c r="E31" s="1274">
        <v>2.0699999999999998</v>
      </c>
      <c r="F31" s="1274">
        <v>2.0699999999999998</v>
      </c>
      <c r="G31" s="1274">
        <v>3.1</v>
      </c>
      <c r="H31" s="1274">
        <v>3.1</v>
      </c>
      <c r="I31" s="1274">
        <v>3.1</v>
      </c>
      <c r="J31" s="1274">
        <v>3.25</v>
      </c>
      <c r="K31" s="1274">
        <v>3.9</v>
      </c>
      <c r="L31" s="1274">
        <v>9.6</v>
      </c>
      <c r="M31" s="1274">
        <v>9.6</v>
      </c>
      <c r="N31" s="1274">
        <v>7.95</v>
      </c>
      <c r="O31" s="1274">
        <v>8.2200000000000006</v>
      </c>
      <c r="P31" s="1274">
        <v>8.64</v>
      </c>
      <c r="Q31" s="1274">
        <v>9.5399999999999991</v>
      </c>
      <c r="R31" s="1274">
        <v>10.61</v>
      </c>
      <c r="S31" s="1274">
        <v>10.77</v>
      </c>
      <c r="T31" s="1274">
        <v>10.54</v>
      </c>
      <c r="U31" s="1275">
        <v>14.82</v>
      </c>
      <c r="V31" s="1276">
        <v>14.487500000000001</v>
      </c>
      <c r="W31" s="1276">
        <v>13.04</v>
      </c>
      <c r="X31" s="1276">
        <v>17.792000000000002</v>
      </c>
      <c r="Y31" s="1276">
        <v>18.11</v>
      </c>
      <c r="Z31" s="1276">
        <v>19.762499999999999</v>
      </c>
      <c r="AA31" s="1276">
        <v>22.16</v>
      </c>
      <c r="AB31" s="1276">
        <v>23.127500000000001</v>
      </c>
      <c r="AC31" s="1276">
        <v>30.036000000000001</v>
      </c>
      <c r="AD31" s="1276">
        <v>21.052</v>
      </c>
      <c r="AE31" s="1276">
        <v>29.39</v>
      </c>
      <c r="AF31" s="1276">
        <v>34.515000000000001</v>
      </c>
      <c r="AG31" s="1276">
        <f>+'[1]Gasolinas 2012'!C24</f>
        <v>36.950000000000003</v>
      </c>
      <c r="AH31" s="1276">
        <f>+'[1]Gasolinas 2013'!C24</f>
        <v>35.362500000000004</v>
      </c>
      <c r="AI31" s="1276">
        <v>34.256</v>
      </c>
      <c r="AJ31" s="1276">
        <f>+'[1]Gasolinas 2015'!C26</f>
        <v>24.990000000000002</v>
      </c>
      <c r="AK31" s="1276">
        <f>+'[1]Gasolinas 2016'!C24</f>
        <v>21.02</v>
      </c>
      <c r="AL31" s="1276">
        <f>+'[1]Gasolinas 2017'!C24</f>
        <v>23.422499999999999</v>
      </c>
      <c r="AM31" s="1276">
        <f>+'[1]Gasolinas 2018'!C24</f>
        <v>25.795000000000002</v>
      </c>
      <c r="AN31" s="1276">
        <f>+'[1]Gasolinas 2019'!C24</f>
        <v>25.8</v>
      </c>
      <c r="AO31" s="1276">
        <f>+'[1]Gasolinas 2020'!C24</f>
        <v>23.596</v>
      </c>
      <c r="AP31" s="1276">
        <v>27.695999999999998</v>
      </c>
      <c r="AQ31" s="1276">
        <v>39.119999999999997</v>
      </c>
      <c r="AR31" s="1276">
        <f>+'Gasolineras 2023'!C24</f>
        <v>34.394999999999996</v>
      </c>
      <c r="AS31" s="1276">
        <f>+'Gasolineras 2024'!C24</f>
        <v>34.922499999999999</v>
      </c>
    </row>
    <row r="32" spans="1:48" ht="13.5">
      <c r="A32" s="1281" t="s">
        <v>44</v>
      </c>
      <c r="B32" s="1282">
        <v>2.09</v>
      </c>
      <c r="C32" s="1282">
        <f t="shared" si="1"/>
        <v>2.0206666666666666</v>
      </c>
      <c r="D32" s="1282">
        <v>2.0699999999999998</v>
      </c>
      <c r="E32" s="1282">
        <v>2.0699999999999998</v>
      </c>
      <c r="F32" s="1282">
        <v>2.0699999999999998</v>
      </c>
      <c r="G32" s="1282">
        <v>3.1</v>
      </c>
      <c r="H32" s="1282">
        <v>3.1</v>
      </c>
      <c r="I32" s="1282">
        <v>3.1</v>
      </c>
      <c r="J32" s="1282">
        <v>3.25</v>
      </c>
      <c r="K32" s="1282">
        <v>4.8</v>
      </c>
      <c r="L32" s="1282">
        <v>9.6</v>
      </c>
      <c r="M32" s="1282">
        <v>9.6</v>
      </c>
      <c r="N32" s="1282">
        <v>7.95</v>
      </c>
      <c r="O32" s="1282">
        <v>8.36</v>
      </c>
      <c r="P32" s="1282">
        <v>8.83</v>
      </c>
      <c r="Q32" s="1282">
        <v>9.98</v>
      </c>
      <c r="R32" s="1282">
        <v>10.61</v>
      </c>
      <c r="S32" s="1282">
        <v>10.64</v>
      </c>
      <c r="T32" s="1282">
        <v>11.41</v>
      </c>
      <c r="U32" s="1283">
        <v>14.56</v>
      </c>
      <c r="V32" s="1284">
        <v>14.4575</v>
      </c>
      <c r="W32" s="1284">
        <v>14.598000000000003</v>
      </c>
      <c r="X32" s="1284">
        <v>17.010000000000002</v>
      </c>
      <c r="Y32" s="1284">
        <v>18.482500000000002</v>
      </c>
      <c r="Z32" s="1284">
        <v>21.942499999999999</v>
      </c>
      <c r="AA32" s="1284">
        <v>24.477499999999999</v>
      </c>
      <c r="AB32" s="1284">
        <v>25.524999999999999</v>
      </c>
      <c r="AC32" s="1284">
        <v>31.692499999999999</v>
      </c>
      <c r="AD32" s="1284">
        <v>21.57</v>
      </c>
      <c r="AE32" s="1284">
        <v>30.557500000000001</v>
      </c>
      <c r="AF32" s="1284">
        <v>35.472499999999997</v>
      </c>
      <c r="AG32" s="1284">
        <f>+'[1]Gasolinas 2012'!C30</f>
        <v>37.56</v>
      </c>
      <c r="AH32" s="1284">
        <f>+'[1]Gasolinas 2013'!C30</f>
        <v>34.448</v>
      </c>
      <c r="AI32" s="1284">
        <v>35.082500000000003</v>
      </c>
      <c r="AJ32" s="1284">
        <f>+'[1]Gasolinas 2015'!C31</f>
        <v>25.547500000000003</v>
      </c>
      <c r="AK32" s="1284">
        <f>+'[1]Gasolinas 2016'!C29</f>
        <v>22.25</v>
      </c>
      <c r="AL32" s="1284">
        <f>+'[1]Gasolinas 2017'!C29</f>
        <v>24.197500000000002</v>
      </c>
      <c r="AM32" s="1284">
        <f>+'[1]Gasolinas 2018'!C29</f>
        <v>27.095000000000002</v>
      </c>
      <c r="AN32" s="1284">
        <f>+'[1]Gasolinas 2019'!C30</f>
        <v>27.818000000000001</v>
      </c>
      <c r="AO32" s="1284">
        <f>+'[1]Gasolinas 2020'!C29</f>
        <v>18.967500000000001</v>
      </c>
      <c r="AP32" s="1284">
        <v>28.025000000000002</v>
      </c>
      <c r="AQ32" s="1284">
        <v>38.83</v>
      </c>
      <c r="AR32" s="1284">
        <f>+'Gasolineras 2023'!C29</f>
        <v>36.324999999999996</v>
      </c>
      <c r="AS32" s="1284">
        <f>+'Gasolineras 2024'!C30</f>
        <v>36.208000000000006</v>
      </c>
    </row>
    <row r="33" spans="1:45" ht="13.5">
      <c r="A33" s="1273" t="s">
        <v>45</v>
      </c>
      <c r="B33" s="1274">
        <v>2.09</v>
      </c>
      <c r="C33" s="1274">
        <f t="shared" si="1"/>
        <v>2.0206666666666666</v>
      </c>
      <c r="D33" s="1274">
        <v>2.0699999999999998</v>
      </c>
      <c r="E33" s="1274">
        <v>2.0699999999999998</v>
      </c>
      <c r="F33" s="1274">
        <v>2.0699999999999998</v>
      </c>
      <c r="G33" s="1274">
        <v>3.1</v>
      </c>
      <c r="H33" s="1274">
        <v>3.1</v>
      </c>
      <c r="I33" s="1274">
        <v>3.1</v>
      </c>
      <c r="J33" s="1274">
        <v>3.25</v>
      </c>
      <c r="K33" s="1274">
        <v>4.8</v>
      </c>
      <c r="L33" s="1274">
        <v>9.6</v>
      </c>
      <c r="M33" s="1274">
        <v>9.6</v>
      </c>
      <c r="N33" s="1274">
        <v>7.95</v>
      </c>
      <c r="O33" s="1274">
        <v>8.4</v>
      </c>
      <c r="P33" s="1274">
        <v>9.44</v>
      </c>
      <c r="Q33" s="1274">
        <v>10.36</v>
      </c>
      <c r="R33" s="1274">
        <v>10.65</v>
      </c>
      <c r="S33" s="1274">
        <v>10.9</v>
      </c>
      <c r="T33" s="1274">
        <v>11.91</v>
      </c>
      <c r="U33" s="1275">
        <v>14.97</v>
      </c>
      <c r="V33" s="1276">
        <v>15.756666666666668</v>
      </c>
      <c r="W33" s="1276">
        <v>14.645</v>
      </c>
      <c r="X33" s="1276">
        <v>15.9175</v>
      </c>
      <c r="Y33" s="1276">
        <v>18.893999999999998</v>
      </c>
      <c r="Z33" s="1276">
        <v>22.476000000000003</v>
      </c>
      <c r="AA33" s="1276">
        <v>26.846</v>
      </c>
      <c r="AB33" s="1276">
        <v>27.59</v>
      </c>
      <c r="AC33" s="1276">
        <v>33.122500000000002</v>
      </c>
      <c r="AD33" s="1276">
        <v>22.8125</v>
      </c>
      <c r="AE33" s="1276">
        <v>29.84</v>
      </c>
      <c r="AF33" s="1276">
        <v>35.606000000000002</v>
      </c>
      <c r="AG33" s="1276">
        <f>+'[1]Gasolinas 2012'!C35</f>
        <v>35.85</v>
      </c>
      <c r="AH33" s="1276">
        <f>+'[1]Gasolinas 2013'!C35</f>
        <v>34.597499999999997</v>
      </c>
      <c r="AI33" s="1276">
        <f>+'[1]Gasolinas 2014'!C34</f>
        <v>34.700000000000003</v>
      </c>
      <c r="AJ33" s="1276">
        <f>+'[1]Gasolinas 2015'!C36</f>
        <v>26.86</v>
      </c>
      <c r="AK33" s="1276">
        <f>+'[1]Gasolinas 2016'!C35</f>
        <v>23.103999999999999</v>
      </c>
      <c r="AL33" s="1276">
        <f>+'[1]Gasolinas 2017'!C35</f>
        <v>23.635999999999999</v>
      </c>
      <c r="AM33" s="1276">
        <f>+'[1]Gasolinas 2018'!C35</f>
        <v>28.294</v>
      </c>
      <c r="AN33" s="1276">
        <f>+'[1]Gasolinas 2019'!C35</f>
        <v>27.8825</v>
      </c>
      <c r="AO33" s="1276">
        <f>+'[1]Gasolinas 2020'!C34</f>
        <v>18.7425</v>
      </c>
      <c r="AP33" s="1276">
        <v>28.8</v>
      </c>
      <c r="AQ33" s="1276">
        <v>42.14</v>
      </c>
      <c r="AR33" s="1276">
        <f>+'Gasolineras 2023'!C35</f>
        <v>34.904000000000003</v>
      </c>
      <c r="AS33" s="1276">
        <f>+'Gasolineras 2024'!C35</f>
        <v>34.442499999999995</v>
      </c>
    </row>
    <row r="34" spans="1:45" ht="13.5">
      <c r="A34" s="1281" t="s">
        <v>46</v>
      </c>
      <c r="B34" s="1282">
        <v>2.09</v>
      </c>
      <c r="C34" s="1282">
        <f t="shared" si="1"/>
        <v>2.0206666666666666</v>
      </c>
      <c r="D34" s="1282">
        <v>2.0699999999999998</v>
      </c>
      <c r="E34" s="1282">
        <v>2.0699999999999998</v>
      </c>
      <c r="F34" s="1282">
        <v>2.0699999999999998</v>
      </c>
      <c r="G34" s="1282">
        <v>3.1</v>
      </c>
      <c r="H34" s="1282">
        <v>3.1</v>
      </c>
      <c r="I34" s="1282">
        <v>3.1</v>
      </c>
      <c r="J34" s="1282">
        <v>3.25</v>
      </c>
      <c r="K34" s="1282">
        <v>4.8</v>
      </c>
      <c r="L34" s="1282">
        <v>9.6</v>
      </c>
      <c r="M34" s="1282">
        <v>9.6</v>
      </c>
      <c r="N34" s="1282">
        <v>7.95</v>
      </c>
      <c r="O34" s="1282">
        <v>8.4499999999999993</v>
      </c>
      <c r="P34" s="1282">
        <v>9.44</v>
      </c>
      <c r="Q34" s="1282">
        <v>10.31</v>
      </c>
      <c r="R34" s="1282">
        <v>10.71</v>
      </c>
      <c r="S34" s="1282">
        <v>11.01</v>
      </c>
      <c r="T34" s="1282">
        <v>11.91</v>
      </c>
      <c r="U34" s="1283">
        <v>15.61</v>
      </c>
      <c r="V34" s="1284">
        <v>15.76</v>
      </c>
      <c r="W34" s="1284">
        <v>14.4925</v>
      </c>
      <c r="X34" s="1284">
        <v>15.0725</v>
      </c>
      <c r="Y34" s="1284">
        <v>19.2425</v>
      </c>
      <c r="Z34" s="1284">
        <v>22.2225</v>
      </c>
      <c r="AA34" s="1284">
        <v>26.765000000000001</v>
      </c>
      <c r="AB34" s="1284">
        <v>28.6875</v>
      </c>
      <c r="AC34" s="1284">
        <v>35.5075</v>
      </c>
      <c r="AD34" s="1284">
        <v>23.91</v>
      </c>
      <c r="AE34" s="1284">
        <v>28.032499999999999</v>
      </c>
      <c r="AF34" s="1284">
        <v>34.76</v>
      </c>
      <c r="AG34" s="1284">
        <f>+'[1]Gasolinas 2012'!C40</f>
        <v>33.715000000000003</v>
      </c>
      <c r="AH34" s="1284">
        <f>+'[1]Gasolinas 2013'!C40</f>
        <v>34.247500000000002</v>
      </c>
      <c r="AI34" s="1284">
        <f>+'[1]Gasolinas 2014'!C39</f>
        <v>35.36</v>
      </c>
      <c r="AJ34" s="1284">
        <f>+'[1]Gasolinas 2015'!C41</f>
        <v>27.095000000000002</v>
      </c>
      <c r="AK34" s="1284">
        <f>+'[1]Gasolinas 2016'!C40</f>
        <v>23.66</v>
      </c>
      <c r="AL34" s="1284">
        <f>+'[1]Gasolinas 2017'!C40</f>
        <v>23.332500000000003</v>
      </c>
      <c r="AM34" s="1284">
        <f>+'[1]Gasolinas 2018'!C40</f>
        <v>27.945</v>
      </c>
      <c r="AN34" s="1284">
        <f>+'[1]Gasolinas 2019'!C40</f>
        <v>26.4375</v>
      </c>
      <c r="AO34" s="1284">
        <f>+'[1]Gasolinas 2020'!C40</f>
        <v>21.08284068662913</v>
      </c>
      <c r="AP34" s="1284">
        <v>28.844999999999999</v>
      </c>
      <c r="AQ34" s="1284">
        <f>+'Gasolineras 2022'!C40</f>
        <v>41.185000000000002</v>
      </c>
      <c r="AR34" s="1284">
        <f>+'Gasolineras 2023'!C40</f>
        <v>34.405000000000001</v>
      </c>
      <c r="AS34" s="1284">
        <v>33.43</v>
      </c>
    </row>
    <row r="35" spans="1:45" ht="13.5">
      <c r="A35" s="1273" t="s">
        <v>47</v>
      </c>
      <c r="B35" s="1274">
        <v>2.09</v>
      </c>
      <c r="C35" s="1274">
        <f t="shared" si="1"/>
        <v>2.0206666666666666</v>
      </c>
      <c r="D35" s="1274">
        <v>2.0699999999999998</v>
      </c>
      <c r="E35" s="1274">
        <v>2.0699999999999998</v>
      </c>
      <c r="F35" s="1274">
        <v>2.0699999999999998</v>
      </c>
      <c r="G35" s="1274">
        <v>3.1</v>
      </c>
      <c r="H35" s="1274">
        <v>3.1</v>
      </c>
      <c r="I35" s="1274">
        <v>3.35</v>
      </c>
      <c r="J35" s="1274">
        <v>3.25</v>
      </c>
      <c r="K35" s="1274">
        <v>4.8</v>
      </c>
      <c r="L35" s="1274">
        <v>9.6</v>
      </c>
      <c r="M35" s="1274">
        <v>7.95</v>
      </c>
      <c r="N35" s="1274">
        <v>7.95</v>
      </c>
      <c r="O35" s="1274">
        <v>8.5500000000000007</v>
      </c>
      <c r="P35" s="1274">
        <v>9.1999999999999993</v>
      </c>
      <c r="Q35" s="1274">
        <v>10.210000000000001</v>
      </c>
      <c r="R35" s="1274">
        <v>10.57</v>
      </c>
      <c r="S35" s="1274">
        <v>10.9</v>
      </c>
      <c r="T35" s="1274">
        <v>12.15</v>
      </c>
      <c r="U35" s="1275">
        <v>15.8</v>
      </c>
      <c r="V35" s="1276">
        <v>15.12</v>
      </c>
      <c r="W35" s="1276">
        <v>14.863999999999999</v>
      </c>
      <c r="X35" s="1276">
        <v>15.097999999999999</v>
      </c>
      <c r="Y35" s="1276">
        <v>19.157499999999999</v>
      </c>
      <c r="Z35" s="1276">
        <v>22.232500000000002</v>
      </c>
      <c r="AA35" s="1276">
        <v>26.577999999999999</v>
      </c>
      <c r="AB35" s="1276">
        <v>28.405000000000001</v>
      </c>
      <c r="AC35" s="1276">
        <v>36.42</v>
      </c>
      <c r="AD35" s="1276">
        <v>26.556000000000001</v>
      </c>
      <c r="AE35" s="1276">
        <v>27.93</v>
      </c>
      <c r="AF35" s="1276">
        <v>34.972499999999997</v>
      </c>
      <c r="AG35" s="1276">
        <f>+'[1]Gasolinas 2012'!C84</f>
        <v>34.713999999999999</v>
      </c>
      <c r="AH35" s="1276">
        <f>+'[1]Gasolinas 2013'!C84</f>
        <v>35.644000000000005</v>
      </c>
      <c r="AI35" s="1276">
        <f>+'[1]Gasolinas 2014'!C45</f>
        <v>35.606000000000009</v>
      </c>
      <c r="AJ35" s="1276">
        <f>+'[1]Gasolinas 2015'!C47</f>
        <v>27.143999999999998</v>
      </c>
      <c r="AK35" s="1276">
        <f>+'[1]Gasolinas 2016'!C45</f>
        <v>22.53</v>
      </c>
      <c r="AL35" s="1276">
        <f>+'[1]Gasolinas 2017'!C46</f>
        <v>23.148000000000003</v>
      </c>
      <c r="AM35" s="1276">
        <f>+'[1]Gasolinas 2018'!C46</f>
        <v>27.868000000000002</v>
      </c>
      <c r="AN35" s="1276">
        <f>+'[1]Gasolinas 2019'!C46</f>
        <v>27.129999999999995</v>
      </c>
      <c r="AO35" s="1276">
        <f>+'[1]Gasolinas 2020'!C45</f>
        <v>22.552500000000002</v>
      </c>
      <c r="AP35" s="1276">
        <v>29.49</v>
      </c>
      <c r="AQ35" s="1276">
        <f>+'Gasolineras 2022'!C45</f>
        <v>36.407499999999999</v>
      </c>
      <c r="AR35" s="1276">
        <f>+'Gasolineras 2023'!C46</f>
        <v>35.353999999999999</v>
      </c>
      <c r="AS35" s="1276">
        <v>33.79</v>
      </c>
    </row>
    <row r="36" spans="1:45" ht="13.5">
      <c r="A36" s="1281" t="s">
        <v>48</v>
      </c>
      <c r="B36" s="1282">
        <v>2.09</v>
      </c>
      <c r="C36" s="1282">
        <f t="shared" si="1"/>
        <v>2.0206666666666666</v>
      </c>
      <c r="D36" s="1282">
        <v>2.0699999999999998</v>
      </c>
      <c r="E36" s="1282">
        <v>2.0699999999999998</v>
      </c>
      <c r="F36" s="1282">
        <v>3.1</v>
      </c>
      <c r="G36" s="1282">
        <v>3.1</v>
      </c>
      <c r="H36" s="1282">
        <v>3.1</v>
      </c>
      <c r="I36" s="1282">
        <v>3.25</v>
      </c>
      <c r="J36" s="1282">
        <v>3.31</v>
      </c>
      <c r="K36" s="1282">
        <v>4.8</v>
      </c>
      <c r="L36" s="1282">
        <v>9.6</v>
      </c>
      <c r="M36" s="1282">
        <v>7.95</v>
      </c>
      <c r="N36" s="1282">
        <v>7.95</v>
      </c>
      <c r="O36" s="1282">
        <v>8.67</v>
      </c>
      <c r="P36" s="1282">
        <v>8.84</v>
      </c>
      <c r="Q36" s="1282">
        <v>10.199999999999999</v>
      </c>
      <c r="R36" s="1282">
        <v>10.69</v>
      </c>
      <c r="S36" s="1282">
        <v>10.8</v>
      </c>
      <c r="T36" s="1282">
        <v>12.7</v>
      </c>
      <c r="U36" s="1283">
        <v>14.77</v>
      </c>
      <c r="V36" s="1284">
        <v>14.321000000000002</v>
      </c>
      <c r="W36" s="1284">
        <v>15.68</v>
      </c>
      <c r="X36" s="1284">
        <v>15.54</v>
      </c>
      <c r="Y36" s="1284">
        <v>19.04</v>
      </c>
      <c r="Z36" s="1284">
        <v>22.89</v>
      </c>
      <c r="AA36" s="1284">
        <v>28.12</v>
      </c>
      <c r="AB36" s="1284">
        <v>27.905999999999999</v>
      </c>
      <c r="AC36" s="1284">
        <v>35.774999999999999</v>
      </c>
      <c r="AD36" s="1284">
        <v>26.582000000000001</v>
      </c>
      <c r="AE36" s="1284">
        <v>28.133999999999997</v>
      </c>
      <c r="AF36" s="1284">
        <v>35.137999999999998</v>
      </c>
      <c r="AG36" s="1284">
        <f>+'[1]Gasolinas 2012'!C89</f>
        <v>35.274999999999999</v>
      </c>
      <c r="AH36" s="1284">
        <f>+'[1]Gasolinas 2013'!C89</f>
        <v>36.325000000000003</v>
      </c>
      <c r="AI36" s="1284">
        <f>+'[1]Gasolinas 2014'!C50</f>
        <v>34.024999999999999</v>
      </c>
      <c r="AJ36" s="1284">
        <f>+'[1]Gasolinas 2015'!C53</f>
        <v>25.2</v>
      </c>
      <c r="AK36" s="1284">
        <f>+'[1]Gasolinas 2016'!C51</f>
        <v>22.344000000000001</v>
      </c>
      <c r="AL36" s="1284">
        <f>+'[1]Gasolinas 2017'!C51</f>
        <v>23.727499999999999</v>
      </c>
      <c r="AM36" s="1284">
        <f>+'[1]Gasolinas 2018'!C51</f>
        <v>27.945</v>
      </c>
      <c r="AN36" s="1284">
        <f>+'[1]Gasolinas 2019'!C51</f>
        <v>26.07</v>
      </c>
      <c r="AO36" s="1284">
        <v>22.33</v>
      </c>
      <c r="AP36" s="1284">
        <v>29.907999999999998</v>
      </c>
      <c r="AQ36" s="1284">
        <f>+'Gasolineras 2022'!C51</f>
        <v>36.064</v>
      </c>
      <c r="AR36" s="1284">
        <f>+'Gasolineras 2023'!C51</f>
        <v>38.354999999999997</v>
      </c>
      <c r="AS36" s="1284">
        <f>+'Gasolineras 2024'!C51</f>
        <v>33.647500000000001</v>
      </c>
    </row>
    <row r="37" spans="1:45" ht="13.5">
      <c r="A37" s="1273" t="s">
        <v>49</v>
      </c>
      <c r="B37" s="1274">
        <v>2.09</v>
      </c>
      <c r="C37" s="1274">
        <f>(27*1.96+3*1.95)/30</f>
        <v>1.9590000000000001</v>
      </c>
      <c r="D37" s="1274">
        <v>2.0699999999999998</v>
      </c>
      <c r="E37" s="1274">
        <v>2.0699999999999998</v>
      </c>
      <c r="F37" s="1274">
        <v>3.1</v>
      </c>
      <c r="G37" s="1274">
        <v>3.1</v>
      </c>
      <c r="H37" s="1274">
        <v>3.1</v>
      </c>
      <c r="I37" s="1274">
        <v>3.25</v>
      </c>
      <c r="J37" s="1274">
        <v>3.31</v>
      </c>
      <c r="K37" s="1274">
        <v>6.95</v>
      </c>
      <c r="L37" s="1274">
        <v>9.6</v>
      </c>
      <c r="M37" s="1274">
        <v>7.95</v>
      </c>
      <c r="N37" s="1274">
        <v>7.95</v>
      </c>
      <c r="O37" s="1274">
        <v>8.8000000000000007</v>
      </c>
      <c r="P37" s="1274">
        <v>8.89</v>
      </c>
      <c r="Q37" s="1274">
        <v>10.25</v>
      </c>
      <c r="R37" s="1274">
        <v>11.02</v>
      </c>
      <c r="S37" s="1274">
        <v>10.76</v>
      </c>
      <c r="T37" s="1274">
        <v>12.98</v>
      </c>
      <c r="U37" s="1275">
        <v>14.96</v>
      </c>
      <c r="V37" s="1276">
        <v>14.5025</v>
      </c>
      <c r="W37" s="1276">
        <v>15.625999999999999</v>
      </c>
      <c r="X37" s="1276">
        <v>16.808</v>
      </c>
      <c r="Y37" s="1276">
        <v>18.912500000000001</v>
      </c>
      <c r="Z37" s="1276">
        <v>25.272500000000001</v>
      </c>
      <c r="AA37" s="1276">
        <v>27.285</v>
      </c>
      <c r="AB37" s="1276">
        <v>27.155000000000001</v>
      </c>
      <c r="AC37" s="1276">
        <v>34.832000000000001</v>
      </c>
      <c r="AD37" s="1276">
        <v>26.71</v>
      </c>
      <c r="AE37" s="1276">
        <v>27.2225</v>
      </c>
      <c r="AF37" s="1276">
        <v>34.7425</v>
      </c>
      <c r="AG37" s="1276">
        <f>+'[1]Gasolinas 2012'!C94</f>
        <v>37.665000000000006</v>
      </c>
      <c r="AH37" s="1276">
        <f>+'[1]Gasolinas 2013'!C95</f>
        <v>36.027999999999999</v>
      </c>
      <c r="AI37" s="1276">
        <f>+'[1]Gasolinas 2014'!C56</f>
        <v>33.11</v>
      </c>
      <c r="AJ37" s="1276">
        <f>+'[1]Gasolinas 2015'!C58</f>
        <v>23.270000000000003</v>
      </c>
      <c r="AK37" s="1276">
        <f>+'[1]Gasolinas 2016'!C56</f>
        <v>22.985000000000003</v>
      </c>
      <c r="AL37" s="1276">
        <f>+'[1]Gasolinas 2017'!C56</f>
        <v>25.32</v>
      </c>
      <c r="AM37" s="1276">
        <f>+'[1]Gasolinas 2018'!C56</f>
        <v>28.21</v>
      </c>
      <c r="AN37" s="1276">
        <f>+'[1]Gasolinas 2019'!C57</f>
        <v>25.854000000000003</v>
      </c>
      <c r="AO37" s="1276">
        <f>+'[1]Gasolinas 2020'!C56</f>
        <v>22.134999999999998</v>
      </c>
      <c r="AP37" s="1276">
        <v>30.227499999999999</v>
      </c>
      <c r="AQ37" s="1276">
        <f>+'Gasolineras 2022'!C56</f>
        <v>35.21</v>
      </c>
      <c r="AR37" s="1276">
        <f>+'Gasolineras 2023'!C56</f>
        <v>38.117500000000007</v>
      </c>
      <c r="AS37" s="1276">
        <f>+'Gasolineras 2024'!C57</f>
        <v>31.374000000000002</v>
      </c>
    </row>
    <row r="38" spans="1:45" ht="13.5">
      <c r="A38" s="1281" t="s">
        <v>50</v>
      </c>
      <c r="B38" s="1282">
        <v>2.09</v>
      </c>
      <c r="C38" s="1282">
        <v>1.95</v>
      </c>
      <c r="D38" s="1282">
        <v>2.0699999999999998</v>
      </c>
      <c r="E38" s="1282">
        <v>2.0699999999999998</v>
      </c>
      <c r="F38" s="1282">
        <v>3.1</v>
      </c>
      <c r="G38" s="1282">
        <v>3.1</v>
      </c>
      <c r="H38" s="1282">
        <v>3.1</v>
      </c>
      <c r="I38" s="1282">
        <v>3.25</v>
      </c>
      <c r="J38" s="1282">
        <v>3.31</v>
      </c>
      <c r="K38" s="1282">
        <v>6.95</v>
      </c>
      <c r="L38" s="1282">
        <v>9.6</v>
      </c>
      <c r="M38" s="1282">
        <v>7.95</v>
      </c>
      <c r="N38" s="1282">
        <v>7.95</v>
      </c>
      <c r="O38" s="1282">
        <v>8.56</v>
      </c>
      <c r="P38" s="1282">
        <v>8.89</v>
      </c>
      <c r="Q38" s="1282">
        <v>10.28</v>
      </c>
      <c r="R38" s="1282">
        <v>10.77</v>
      </c>
      <c r="S38" s="1282">
        <v>10.87</v>
      </c>
      <c r="T38" s="1282">
        <v>13.6</v>
      </c>
      <c r="U38" s="1283">
        <v>15.398</v>
      </c>
      <c r="V38" s="1284">
        <v>14.478</v>
      </c>
      <c r="W38" s="1284">
        <v>15.994999999999999</v>
      </c>
      <c r="X38" s="1284">
        <v>16.594999999999999</v>
      </c>
      <c r="Y38" s="1284">
        <v>19.477499999999999</v>
      </c>
      <c r="Z38" s="1284">
        <v>27.218</v>
      </c>
      <c r="AA38" s="1284">
        <v>24.73</v>
      </c>
      <c r="AB38" s="1284">
        <v>27.344000000000001</v>
      </c>
      <c r="AC38" s="1284">
        <v>31.285</v>
      </c>
      <c r="AD38" s="1284">
        <v>26.02</v>
      </c>
      <c r="AE38" s="1284">
        <v>28.802000000000003</v>
      </c>
      <c r="AF38" s="1284">
        <v>34.113999999999997</v>
      </c>
      <c r="AG38" s="1284">
        <f>+'[1]Gasolinas 2012'!C100</f>
        <v>36.686</v>
      </c>
      <c r="AH38" s="1284">
        <f>+'[1]Gasolinas 2013'!C100</f>
        <v>34.137500000000003</v>
      </c>
      <c r="AI38" s="1284">
        <f>+'[1]Gasolinas 2014'!C61</f>
        <v>31.352499999999999</v>
      </c>
      <c r="AJ38" s="1284">
        <f>+'[1]Gasolinas 2015'!C63</f>
        <v>22.854999999999997</v>
      </c>
      <c r="AK38" s="1284">
        <f>+'[1]Gasolinas 2016'!C62</f>
        <v>23.355999999999998</v>
      </c>
      <c r="AL38" s="1284">
        <f>+'[1]Gasolinas 2017'!C62</f>
        <v>24.437999999999999</v>
      </c>
      <c r="AM38" s="1284">
        <f>+'[1]Gasolinas 2018'!C62</f>
        <v>28.542000000000002</v>
      </c>
      <c r="AN38" s="1284">
        <f>+'[1]Gasolinas 2019'!C62</f>
        <v>25.612499999999997</v>
      </c>
      <c r="AO38" s="1284">
        <v>22.297499999999999</v>
      </c>
      <c r="AP38" s="1284">
        <v>30.995000000000001</v>
      </c>
      <c r="AQ38" s="1284">
        <f>+'Gasolineras 2022'!C61</f>
        <v>37.33</v>
      </c>
      <c r="AR38" s="1284">
        <v>36.61</v>
      </c>
      <c r="AS38" s="1284">
        <f>+'Gasolineras 2024'!C62</f>
        <v>30.925000000000001</v>
      </c>
    </row>
    <row r="39" spans="1:45" ht="13.5">
      <c r="A39" s="1273" t="s">
        <v>51</v>
      </c>
      <c r="B39" s="1274">
        <v>2.09</v>
      </c>
      <c r="C39" s="1274">
        <f>(14*1.95+16*2.07)/30</f>
        <v>2.0140000000000002</v>
      </c>
      <c r="D39" s="1274">
        <v>2.0699999999999998</v>
      </c>
      <c r="E39" s="1274">
        <v>2.0699999999999998</v>
      </c>
      <c r="F39" s="1274">
        <v>3.1</v>
      </c>
      <c r="G39" s="1274">
        <v>3.1</v>
      </c>
      <c r="H39" s="1274">
        <v>3.1</v>
      </c>
      <c r="I39" s="1274">
        <v>3.25</v>
      </c>
      <c r="J39" s="1274">
        <v>3.9</v>
      </c>
      <c r="K39" s="1274">
        <v>6.95</v>
      </c>
      <c r="L39" s="1274">
        <v>9.6</v>
      </c>
      <c r="M39" s="1274">
        <v>7.95</v>
      </c>
      <c r="N39" s="1274">
        <v>7.95</v>
      </c>
      <c r="O39" s="1274">
        <v>8.44</v>
      </c>
      <c r="P39" s="1274">
        <v>8.83</v>
      </c>
      <c r="Q39" s="1274">
        <v>10.4</v>
      </c>
      <c r="R39" s="1274">
        <v>10.58</v>
      </c>
      <c r="S39" s="1274">
        <v>10.9</v>
      </c>
      <c r="T39" s="1274">
        <v>13.51</v>
      </c>
      <c r="U39" s="1275">
        <v>15.2125</v>
      </c>
      <c r="V39" s="1276">
        <v>13.984999999999999</v>
      </c>
      <c r="W39" s="1276">
        <v>16.1175</v>
      </c>
      <c r="X39" s="1276">
        <v>16.274999999999999</v>
      </c>
      <c r="Y39" s="1276">
        <v>20.306000000000001</v>
      </c>
      <c r="Z39" s="1276">
        <v>25.95</v>
      </c>
      <c r="AA39" s="1276">
        <v>23.18</v>
      </c>
      <c r="AB39" s="1276">
        <v>28.237500000000001</v>
      </c>
      <c r="AC39" s="1276">
        <v>26.29</v>
      </c>
      <c r="AD39" s="1276">
        <v>27.731999999999999</v>
      </c>
      <c r="AE39" s="1276">
        <v>28.957999999999998</v>
      </c>
      <c r="AF39" s="1276">
        <v>34.555</v>
      </c>
      <c r="AG39" s="1276">
        <f>+'[1]Gasolinas 2012'!C105</f>
        <v>33.879999999999995</v>
      </c>
      <c r="AH39" s="1276">
        <f>+'[1]Gasolinas 2013'!C105</f>
        <v>32.957499999999996</v>
      </c>
      <c r="AI39" s="1276">
        <f>+'[1]Gasolinas 2014'!C66</f>
        <v>29.375</v>
      </c>
      <c r="AJ39" s="1276">
        <f>+'[1]Gasolinas 2015'!C69</f>
        <v>21.97</v>
      </c>
      <c r="AK39" s="1276">
        <f>+'[1]Gasolinas 2016'!C67</f>
        <v>22.68</v>
      </c>
      <c r="AL39" s="1276">
        <f>+'[1]Gasolinas 2017'!C67</f>
        <v>25.365000000000002</v>
      </c>
      <c r="AM39" s="1276">
        <f>+'[1]Gasolinas 2018'!C67</f>
        <v>25.87</v>
      </c>
      <c r="AN39" s="1276">
        <f>+'[1]Gasolinas 2019'!C67</f>
        <v>25.537500000000001</v>
      </c>
      <c r="AO39" s="1276">
        <v>21.21</v>
      </c>
      <c r="AP39" s="1276">
        <v>31.545999999999999</v>
      </c>
      <c r="AQ39" s="1276">
        <f>+'Gasolineras 2022'!C67</f>
        <v>37.392000000000003</v>
      </c>
      <c r="AR39" s="1276">
        <f>+'Gasolineras 2023'!$C$67</f>
        <v>32.07</v>
      </c>
      <c r="AS39" s="1276"/>
    </row>
    <row r="40" spans="1:45" ht="16.5">
      <c r="A40" s="1281" t="s">
        <v>52</v>
      </c>
      <c r="B40" s="1282">
        <v>2.09</v>
      </c>
      <c r="C40" s="1282">
        <v>2.0699999999999998</v>
      </c>
      <c r="D40" s="1282">
        <v>2.0699999999999998</v>
      </c>
      <c r="E40" s="1282">
        <v>2.0699999999999998</v>
      </c>
      <c r="F40" s="1282">
        <v>3.1</v>
      </c>
      <c r="G40" s="1282">
        <v>3.1</v>
      </c>
      <c r="H40" s="1285">
        <v>3.1</v>
      </c>
      <c r="I40" s="1285">
        <v>3.25</v>
      </c>
      <c r="J40" s="1285">
        <v>3.9</v>
      </c>
      <c r="K40" s="1285">
        <v>9.6</v>
      </c>
      <c r="L40" s="1285">
        <v>9.6</v>
      </c>
      <c r="M40" s="1285">
        <v>7.95</v>
      </c>
      <c r="N40" s="1285">
        <v>7.95</v>
      </c>
      <c r="O40" s="1285">
        <v>8.2799999999999994</v>
      </c>
      <c r="P40" s="1285">
        <v>8.84</v>
      </c>
      <c r="Q40" s="1285">
        <v>10.58</v>
      </c>
      <c r="R40" s="1285">
        <v>10.56</v>
      </c>
      <c r="S40" s="1285">
        <v>10.62</v>
      </c>
      <c r="T40" s="1285">
        <v>14.13</v>
      </c>
      <c r="U40" s="1286">
        <v>15.0375</v>
      </c>
      <c r="V40" s="1287">
        <v>13.205</v>
      </c>
      <c r="W40" s="1287">
        <v>15.898</v>
      </c>
      <c r="X40" s="1287">
        <v>15.885999999999999</v>
      </c>
      <c r="Y40" s="1287">
        <v>20.03</v>
      </c>
      <c r="Z40" s="1287">
        <v>23.2925</v>
      </c>
      <c r="AA40" s="1287">
        <v>23.15</v>
      </c>
      <c r="AB40" s="1287">
        <v>29.0425</v>
      </c>
      <c r="AC40" s="1284">
        <v>22.545999999999999</v>
      </c>
      <c r="AD40" s="1284">
        <v>27.4175</v>
      </c>
      <c r="AE40" s="1284">
        <v>29.815000000000001</v>
      </c>
      <c r="AF40" s="1284">
        <v>33.372500000000002</v>
      </c>
      <c r="AG40" s="1284">
        <f>+'[1]Gasolinas 2012'!C110</f>
        <v>33.865000000000002</v>
      </c>
      <c r="AH40" s="1284">
        <f>+'[1]Gasolinas 2013'!C111</f>
        <v>35.049999999999997</v>
      </c>
      <c r="AI40" s="1284">
        <f>+'[1]Gasolinas 2014'!C72</f>
        <v>25.881999999999998</v>
      </c>
      <c r="AJ40" s="1284">
        <f>+'[1]Gasolinas 2015'!C74</f>
        <v>21.03</v>
      </c>
      <c r="AK40" s="1284">
        <f>+'[1]Gasolinas 2016'!C72</f>
        <v>23.605</v>
      </c>
      <c r="AL40" s="1284">
        <f>+'[1]Gasolinas 2017'!C72</f>
        <v>25.112500000000001</v>
      </c>
      <c r="AM40" s="1284">
        <f>+'[1]Gasolinas 2018'!C72</f>
        <v>23.81</v>
      </c>
      <c r="AN40" s="1284">
        <f>+'[1]Gasolinas 2019'!C73</f>
        <v>25.387999999999998</v>
      </c>
      <c r="AO40" s="1284">
        <f>+'[1]Gasolinas 2020'!C72</f>
        <v>22.757499999999997</v>
      </c>
      <c r="AP40" s="1284">
        <v>29.82</v>
      </c>
      <c r="AQ40" s="1284">
        <f>+'Gasolineras 2022'!C72</f>
        <v>34.659999999999997</v>
      </c>
      <c r="AR40" s="1284">
        <f>+'Gasolineras 2023'!C72</f>
        <v>30.57</v>
      </c>
      <c r="AS40" s="1284"/>
    </row>
    <row r="41" spans="1:45" ht="23.25" customHeight="1">
      <c r="A41" s="1288" t="s">
        <v>7</v>
      </c>
      <c r="B41" s="1289">
        <f t="shared" ref="B41:AQ41" si="2">AVERAGE(B29:B40)</f>
        <v>2.09</v>
      </c>
      <c r="C41" s="1289">
        <f t="shared" si="2"/>
        <v>2.02475</v>
      </c>
      <c r="D41" s="1289">
        <f t="shared" si="2"/>
        <v>2.0699999999999998</v>
      </c>
      <c r="E41" s="1289">
        <f t="shared" si="2"/>
        <v>2.0699999999999998</v>
      </c>
      <c r="F41" s="1289">
        <f t="shared" si="2"/>
        <v>2.499166666666667</v>
      </c>
      <c r="G41" s="1289">
        <f t="shared" si="2"/>
        <v>3.100000000000001</v>
      </c>
      <c r="H41" s="1289">
        <f t="shared" si="2"/>
        <v>3.100000000000001</v>
      </c>
      <c r="I41" s="1289">
        <f t="shared" si="2"/>
        <v>3.1833333333333336</v>
      </c>
      <c r="J41" s="1289">
        <f t="shared" si="2"/>
        <v>3.3733333333333331</v>
      </c>
      <c r="K41" s="1289">
        <f t="shared" si="2"/>
        <v>5.5125000000000002</v>
      </c>
      <c r="L41" s="1289">
        <f t="shared" si="2"/>
        <v>9.5999999999999979</v>
      </c>
      <c r="M41" s="1289">
        <f t="shared" si="2"/>
        <v>8.7750000000000004</v>
      </c>
      <c r="N41" s="1289">
        <f t="shared" si="2"/>
        <v>7.950000000000002</v>
      </c>
      <c r="O41" s="1289">
        <f t="shared" si="2"/>
        <v>8.3941666666666652</v>
      </c>
      <c r="P41" s="1289">
        <f t="shared" si="2"/>
        <v>8.8691666666666666</v>
      </c>
      <c r="Q41" s="1289">
        <f t="shared" si="2"/>
        <v>10.071666666666667</v>
      </c>
      <c r="R41" s="1289">
        <f t="shared" si="2"/>
        <v>10.715833333333331</v>
      </c>
      <c r="S41" s="1289">
        <f t="shared" si="2"/>
        <v>10.836666666666668</v>
      </c>
      <c r="T41" s="1289">
        <f t="shared" si="2"/>
        <v>12.137500000000001</v>
      </c>
      <c r="U41" s="1288">
        <f t="shared" si="2"/>
        <v>14.968999999999999</v>
      </c>
      <c r="V41" s="1290">
        <f t="shared" si="2"/>
        <v>14.595388888888893</v>
      </c>
      <c r="W41" s="1290">
        <f t="shared" si="2"/>
        <v>14.721125000000001</v>
      </c>
      <c r="X41" s="1290">
        <f t="shared" si="2"/>
        <v>16.202625000000001</v>
      </c>
      <c r="Y41" s="1290">
        <f t="shared" si="2"/>
        <v>18.781458333333333</v>
      </c>
      <c r="Z41" s="1290">
        <f t="shared" si="2"/>
        <v>22.578916666666668</v>
      </c>
      <c r="AA41" s="1290">
        <f t="shared" si="2"/>
        <v>24.857624999999995</v>
      </c>
      <c r="AB41" s="1290">
        <f t="shared" si="2"/>
        <v>26.50395833333334</v>
      </c>
      <c r="AC41" s="1290">
        <f t="shared" si="2"/>
        <v>31.258458333333333</v>
      </c>
      <c r="AD41" s="1290">
        <f t="shared" si="2"/>
        <v>24.441208333333336</v>
      </c>
      <c r="AE41" s="1290">
        <f t="shared" si="2"/>
        <v>28.752624999999998</v>
      </c>
      <c r="AF41" s="1290">
        <f t="shared" si="2"/>
        <v>34.165875</v>
      </c>
      <c r="AG41" s="1290">
        <f t="shared" si="2"/>
        <v>35.348125000000003</v>
      </c>
      <c r="AH41" s="1290">
        <f t="shared" si="2"/>
        <v>34.827416666666672</v>
      </c>
      <c r="AI41" s="1290">
        <f t="shared" si="2"/>
        <v>33.125958333333337</v>
      </c>
      <c r="AJ41" s="1290">
        <f t="shared" si="2"/>
        <v>24.245541666666668</v>
      </c>
      <c r="AK41" s="1290">
        <f t="shared" si="2"/>
        <v>22.275125000000003</v>
      </c>
      <c r="AL41" s="1290">
        <f t="shared" si="2"/>
        <v>24.188541666666666</v>
      </c>
      <c r="AM41" s="1290">
        <f t="shared" si="2"/>
        <v>26.915166666666668</v>
      </c>
      <c r="AN41" s="1290">
        <f t="shared" si="2"/>
        <v>25.869083333333332</v>
      </c>
      <c r="AO41" s="1290">
        <f t="shared" si="2"/>
        <v>22.148236723885763</v>
      </c>
      <c r="AP41" s="1290">
        <v>28.724374999999998</v>
      </c>
      <c r="AQ41" s="1290">
        <f t="shared" si="2"/>
        <v>36.965916666666658</v>
      </c>
      <c r="AR41" s="1290">
        <f>AVERAGE(AR29:AR40)</f>
        <v>35.104208333333339</v>
      </c>
      <c r="AS41" s="1290">
        <f>AVERAGE(AS29:AS40)</f>
        <v>33.311999999999998</v>
      </c>
    </row>
    <row r="42" spans="1:45" ht="13.5">
      <c r="A42" s="1270"/>
      <c r="B42" s="1298"/>
      <c r="C42" s="1298"/>
      <c r="D42" s="1298"/>
      <c r="E42" s="1298"/>
      <c r="F42" s="1298"/>
      <c r="G42" s="1298"/>
      <c r="H42" s="1298"/>
      <c r="I42" s="1298"/>
      <c r="J42" s="1298"/>
      <c r="K42" s="1298"/>
      <c r="L42" s="1298"/>
      <c r="M42" s="1298"/>
      <c r="N42" s="1298"/>
      <c r="O42" s="1298"/>
      <c r="P42" s="1298"/>
      <c r="Q42" s="1298"/>
      <c r="R42" s="1298"/>
      <c r="S42" s="1298"/>
      <c r="T42" s="1298"/>
      <c r="U42" s="1276"/>
      <c r="V42" s="1276"/>
      <c r="W42" s="1276"/>
      <c r="X42" s="1276"/>
      <c r="Y42" s="1276"/>
      <c r="Z42" s="1276"/>
      <c r="AA42" s="1276"/>
      <c r="AB42" s="1276"/>
      <c r="AC42" s="1276"/>
      <c r="AD42" s="1276"/>
      <c r="AE42" s="1276"/>
      <c r="AF42" s="1276"/>
      <c r="AG42" s="1276"/>
      <c r="AH42" s="1276"/>
      <c r="AI42" s="1276"/>
      <c r="AJ42" s="1276"/>
      <c r="AK42" s="1276"/>
      <c r="AL42" s="1272"/>
      <c r="AM42" s="1266"/>
      <c r="AN42" s="1266"/>
      <c r="AO42" s="1266"/>
      <c r="AP42" s="1266"/>
      <c r="AQ42" s="1266"/>
      <c r="AR42" s="1305"/>
      <c r="AS42" s="1305"/>
    </row>
    <row r="43" spans="1:45" ht="24">
      <c r="A43" s="1611" t="s">
        <v>728</v>
      </c>
      <c r="B43" s="1611"/>
      <c r="C43" s="1611"/>
      <c r="D43" s="1611"/>
      <c r="E43" s="1611"/>
      <c r="F43" s="1611"/>
      <c r="G43" s="1611"/>
      <c r="H43" s="1611"/>
      <c r="I43" s="1611"/>
      <c r="J43" s="1611"/>
      <c r="K43" s="1611"/>
      <c r="L43" s="1611"/>
      <c r="M43" s="1611"/>
      <c r="N43" s="1611"/>
      <c r="O43" s="1611"/>
      <c r="P43" s="1611"/>
      <c r="Q43" s="1611"/>
      <c r="R43" s="1611"/>
      <c r="S43" s="1611"/>
      <c r="T43" s="1611"/>
      <c r="U43" s="1618"/>
      <c r="V43" s="1618"/>
      <c r="W43" s="1618"/>
      <c r="X43" s="1618"/>
      <c r="Y43" s="1618"/>
      <c r="Z43" s="1618"/>
      <c r="AA43" s="1618"/>
      <c r="AB43" s="1618"/>
      <c r="AC43" s="1618"/>
      <c r="AD43" s="1618"/>
      <c r="AE43" s="1618"/>
      <c r="AF43" s="1618"/>
      <c r="AG43" s="1618"/>
      <c r="AH43" s="1618"/>
      <c r="AI43" s="1618"/>
      <c r="AJ43" s="1618"/>
      <c r="AK43" s="1618"/>
      <c r="AL43" s="1618"/>
      <c r="AM43" s="1619"/>
      <c r="AN43" s="1619"/>
      <c r="AO43" s="1619"/>
      <c r="AP43" s="1619"/>
      <c r="AQ43" s="1619"/>
      <c r="AR43" s="1305"/>
      <c r="AS43" s="1305"/>
    </row>
    <row r="44" spans="1:45" ht="13.5">
      <c r="A44" s="1269" t="s">
        <v>560</v>
      </c>
      <c r="B44" s="1299"/>
      <c r="C44" s="1299"/>
      <c r="D44" s="1299"/>
      <c r="E44" s="1299"/>
      <c r="F44" s="1299"/>
      <c r="G44" s="1299"/>
      <c r="H44" s="1299"/>
      <c r="I44" s="1299"/>
      <c r="J44" s="1299"/>
      <c r="K44" s="1299"/>
      <c r="L44" s="1299"/>
      <c r="M44" s="1299"/>
      <c r="N44" s="1299"/>
      <c r="O44" s="1299"/>
      <c r="P44" s="1299"/>
      <c r="Q44" s="1299"/>
      <c r="R44" s="1299"/>
      <c r="S44" s="1299"/>
      <c r="T44" s="1299"/>
      <c r="U44" s="1299"/>
      <c r="V44" s="1299"/>
      <c r="W44" s="1295"/>
      <c r="X44" s="1295"/>
      <c r="Y44" s="1295"/>
      <c r="Z44" s="1295"/>
      <c r="AA44" s="1295"/>
      <c r="AB44" s="1295"/>
      <c r="AC44" s="1295"/>
      <c r="AD44" s="1295"/>
      <c r="AE44" s="1295"/>
      <c r="AF44" s="1295"/>
      <c r="AG44" s="1295"/>
      <c r="AH44" s="1295"/>
      <c r="AI44" s="1295"/>
      <c r="AJ44" s="1295"/>
      <c r="AK44" s="1272"/>
      <c r="AL44" s="1272"/>
      <c r="AM44" s="1272"/>
      <c r="AN44" s="1272"/>
      <c r="AO44" s="1272"/>
      <c r="AP44" s="1272"/>
      <c r="AQ44" s="1272"/>
      <c r="AR44" s="1305"/>
      <c r="AS44" s="1305"/>
    </row>
    <row r="45" spans="1:45" ht="12.75" customHeight="1">
      <c r="A45" s="1620" t="s">
        <v>517</v>
      </c>
      <c r="B45" s="1601">
        <v>1981</v>
      </c>
      <c r="C45" s="1601">
        <v>1982</v>
      </c>
      <c r="D45" s="1601">
        <v>1983</v>
      </c>
      <c r="E45" s="1601">
        <v>1984</v>
      </c>
      <c r="F45" s="1601">
        <v>1985</v>
      </c>
      <c r="G45" s="1601">
        <v>1986</v>
      </c>
      <c r="H45" s="1601">
        <v>1987</v>
      </c>
      <c r="I45" s="1601">
        <v>1988</v>
      </c>
      <c r="J45" s="1601">
        <v>1989</v>
      </c>
      <c r="K45" s="1601">
        <v>1990</v>
      </c>
      <c r="L45" s="1601">
        <v>1991</v>
      </c>
      <c r="M45" s="1601">
        <v>1992</v>
      </c>
      <c r="N45" s="1601">
        <v>1993</v>
      </c>
      <c r="O45" s="1601">
        <v>1994</v>
      </c>
      <c r="P45" s="1601">
        <v>1995</v>
      </c>
      <c r="Q45" s="1601">
        <v>1996</v>
      </c>
      <c r="R45" s="1601">
        <v>1997</v>
      </c>
      <c r="S45" s="1601">
        <v>1998</v>
      </c>
      <c r="T45" s="1601">
        <v>1999</v>
      </c>
      <c r="U45" s="1624">
        <v>2000</v>
      </c>
      <c r="V45" s="1601">
        <v>2001</v>
      </c>
      <c r="W45" s="1601">
        <v>2002</v>
      </c>
      <c r="X45" s="1601">
        <v>2003</v>
      </c>
      <c r="Y45" s="1601">
        <v>2004</v>
      </c>
      <c r="Z45" s="1601">
        <v>2005</v>
      </c>
      <c r="AA45" s="1601">
        <v>2006</v>
      </c>
      <c r="AB45" s="1601">
        <v>2007</v>
      </c>
      <c r="AC45" s="1601">
        <v>2008</v>
      </c>
      <c r="AD45" s="1601">
        <v>2009</v>
      </c>
      <c r="AE45" s="1601">
        <v>2010</v>
      </c>
      <c r="AF45" s="1601">
        <v>2011</v>
      </c>
      <c r="AG45" s="1601">
        <f>+AG10</f>
        <v>2012</v>
      </c>
      <c r="AH45" s="1601">
        <v>2013</v>
      </c>
      <c r="AI45" s="1601">
        <v>2014</v>
      </c>
      <c r="AJ45" s="1601">
        <v>2015</v>
      </c>
      <c r="AK45" s="1601">
        <v>2016</v>
      </c>
      <c r="AL45" s="1601">
        <v>2017</v>
      </c>
      <c r="AM45" s="1601">
        <v>2018</v>
      </c>
      <c r="AN45" s="1601">
        <v>2019</v>
      </c>
      <c r="AO45" s="1601">
        <v>2020</v>
      </c>
      <c r="AP45" s="1601">
        <v>2021</v>
      </c>
      <c r="AQ45" s="1601">
        <v>2022</v>
      </c>
      <c r="AR45" s="1601">
        <v>2023</v>
      </c>
      <c r="AS45" s="1601">
        <v>2024</v>
      </c>
    </row>
    <row r="46" spans="1:45" ht="13.5" customHeight="1">
      <c r="A46" s="1620"/>
      <c r="B46" s="1602"/>
      <c r="C46" s="1602"/>
      <c r="D46" s="1602"/>
      <c r="E46" s="1602"/>
      <c r="F46" s="1602"/>
      <c r="G46" s="1602"/>
      <c r="H46" s="1602"/>
      <c r="I46" s="1602"/>
      <c r="J46" s="1602"/>
      <c r="K46" s="1602"/>
      <c r="L46" s="1602"/>
      <c r="M46" s="1602"/>
      <c r="N46" s="1602"/>
      <c r="O46" s="1602"/>
      <c r="P46" s="1602"/>
      <c r="Q46" s="1602"/>
      <c r="R46" s="1602"/>
      <c r="S46" s="1602"/>
      <c r="T46" s="1602"/>
      <c r="U46" s="1624"/>
      <c r="V46" s="1602"/>
      <c r="W46" s="1602"/>
      <c r="X46" s="1602"/>
      <c r="Y46" s="1602"/>
      <c r="Z46" s="1602"/>
      <c r="AA46" s="1602"/>
      <c r="AB46" s="1602"/>
      <c r="AC46" s="1602"/>
      <c r="AD46" s="1602"/>
      <c r="AE46" s="1602"/>
      <c r="AF46" s="1602"/>
      <c r="AG46" s="1602"/>
      <c r="AH46" s="1602"/>
      <c r="AI46" s="1602"/>
      <c r="AJ46" s="1602"/>
      <c r="AK46" s="1602"/>
      <c r="AL46" s="1602"/>
      <c r="AM46" s="1602"/>
      <c r="AN46" s="1602"/>
      <c r="AO46" s="1602"/>
      <c r="AP46" s="1602"/>
      <c r="AQ46" s="1602"/>
      <c r="AR46" s="1602"/>
      <c r="AS46" s="1602"/>
    </row>
    <row r="47" spans="1:45" ht="13.5">
      <c r="A47" s="1273" t="s">
        <v>41</v>
      </c>
      <c r="B47" s="1274">
        <v>2.04</v>
      </c>
      <c r="C47" s="1274">
        <v>2.04</v>
      </c>
      <c r="D47" s="1274">
        <v>1.9</v>
      </c>
      <c r="E47" s="1274">
        <v>1.9</v>
      </c>
      <c r="F47" s="1274">
        <v>1.9</v>
      </c>
      <c r="G47" s="1274">
        <v>2.9</v>
      </c>
      <c r="H47" s="1274">
        <v>2.9</v>
      </c>
      <c r="I47" s="1274">
        <v>2.9</v>
      </c>
      <c r="J47" s="1274">
        <v>3.05</v>
      </c>
      <c r="K47" s="1274">
        <v>3.7</v>
      </c>
      <c r="L47" s="1274">
        <v>8.9499999999999993</v>
      </c>
      <c r="M47" s="1274">
        <v>8.9499999999999993</v>
      </c>
      <c r="N47" s="1274">
        <v>7.75</v>
      </c>
      <c r="O47" s="1274">
        <v>7.75</v>
      </c>
      <c r="P47" s="1274">
        <v>7.84</v>
      </c>
      <c r="Q47" s="1274">
        <v>8.86</v>
      </c>
      <c r="R47" s="1274">
        <v>10.4</v>
      </c>
      <c r="S47" s="1274">
        <v>10.68</v>
      </c>
      <c r="T47" s="1274">
        <v>10.029999999999999</v>
      </c>
      <c r="U47" s="1275">
        <v>13.52</v>
      </c>
      <c r="V47" s="1276">
        <v>14.15</v>
      </c>
      <c r="W47" s="1276">
        <v>12.566000000000001</v>
      </c>
      <c r="X47" s="1276">
        <v>15.3675</v>
      </c>
      <c r="Y47" s="1276">
        <v>15.795</v>
      </c>
      <c r="Z47" s="1276">
        <v>18.52</v>
      </c>
      <c r="AA47" s="1276">
        <v>22.15</v>
      </c>
      <c r="AB47" s="1276">
        <v>22.484000000000002</v>
      </c>
      <c r="AC47" s="1276">
        <v>28.28</v>
      </c>
      <c r="AD47" s="1276">
        <v>20.68</v>
      </c>
      <c r="AE47" s="1276">
        <v>27.43</v>
      </c>
      <c r="AF47" s="1276">
        <v>29.9025</v>
      </c>
      <c r="AG47" s="1276">
        <f>+'[1]Gasolinas 2012'!D14</f>
        <v>32.570000000000007</v>
      </c>
      <c r="AH47" s="1276">
        <f>+'[1]Gasolinas 2013'!D14</f>
        <v>32.718000000000004</v>
      </c>
      <c r="AI47" s="1276">
        <v>33.33</v>
      </c>
      <c r="AJ47" s="1276">
        <f>+'[1]Gasolinas 2015'!D15</f>
        <v>20.274999999999999</v>
      </c>
      <c r="AK47" s="1276">
        <f>+'[1]Gasolinas 2016'!D13</f>
        <v>18.902500000000003</v>
      </c>
      <c r="AL47" s="1276">
        <f>+'[1]Gasolinas 2017'!D14</f>
        <v>23.187999999999999</v>
      </c>
      <c r="AM47" s="1276">
        <f>+'[1]Gasolinas 2018'!D14</f>
        <v>24.772000000000002</v>
      </c>
      <c r="AN47" s="1276">
        <f>+'[1]Gasolinas 2019'!D14</f>
        <v>21.868000000000002</v>
      </c>
      <c r="AO47" s="1276">
        <f>+'[1]Gasolinas 2020'!D13</f>
        <v>24.585000000000001</v>
      </c>
      <c r="AP47" s="1276">
        <v>23.005000000000003</v>
      </c>
      <c r="AQ47" s="1276">
        <v>30.6</v>
      </c>
      <c r="AR47" s="1276">
        <f>+'Gasolineras 2023'!D14</f>
        <v>33.696000000000005</v>
      </c>
      <c r="AS47" s="1276">
        <f>+'Gasolineras 2024'!D14</f>
        <v>30.076000000000001</v>
      </c>
    </row>
    <row r="48" spans="1:45" ht="13.5">
      <c r="A48" s="1277" t="s">
        <v>42</v>
      </c>
      <c r="B48" s="1278">
        <v>2.04</v>
      </c>
      <c r="C48" s="1278">
        <v>2.04</v>
      </c>
      <c r="D48" s="1278">
        <v>1.9</v>
      </c>
      <c r="E48" s="1278">
        <v>1.9</v>
      </c>
      <c r="F48" s="1278">
        <v>1.9</v>
      </c>
      <c r="G48" s="1278">
        <v>2.9</v>
      </c>
      <c r="H48" s="1278"/>
      <c r="I48" s="1278"/>
      <c r="J48" s="1278"/>
      <c r="K48" s="1278"/>
      <c r="L48" s="1278"/>
      <c r="M48" s="1278"/>
      <c r="N48" s="1278"/>
      <c r="O48" s="1278"/>
      <c r="P48" s="1278"/>
      <c r="Q48" s="1278"/>
      <c r="R48" s="1278"/>
      <c r="S48" s="1278"/>
      <c r="T48" s="1278"/>
      <c r="U48" s="1279"/>
      <c r="V48" s="1280">
        <v>14.282500000000001</v>
      </c>
      <c r="W48" s="1280">
        <v>12.36</v>
      </c>
      <c r="X48" s="1280">
        <v>16.184999999999999</v>
      </c>
      <c r="Y48" s="1280">
        <v>17.077500000000001</v>
      </c>
      <c r="Z48" s="1280">
        <v>18.072500000000002</v>
      </c>
      <c r="AA48" s="1280">
        <v>21.864999999999998</v>
      </c>
      <c r="AB48" s="1280">
        <v>21.522500000000001</v>
      </c>
      <c r="AC48" s="1280">
        <v>28.18</v>
      </c>
      <c r="AD48" s="1280">
        <v>20.462499999999999</v>
      </c>
      <c r="AE48" s="1280">
        <v>27.142499999999998</v>
      </c>
      <c r="AF48" s="1280">
        <v>30.895</v>
      </c>
      <c r="AG48" s="1280">
        <f>+'[1]Gasolinas 2012'!D19</f>
        <v>34.835000000000001</v>
      </c>
      <c r="AH48" s="1280">
        <f>+'[1]Gasolinas 2013'!D19</f>
        <v>34.004999999999995</v>
      </c>
      <c r="AI48" s="1280">
        <v>32.457500000000003</v>
      </c>
      <c r="AJ48" s="1280">
        <f>+'[1]Gasolinas 2015'!D20</f>
        <v>21.747500000000002</v>
      </c>
      <c r="AK48" s="1280">
        <f>+'[1]Gasolinas 2016'!D19</f>
        <v>17.908000000000001</v>
      </c>
      <c r="AL48" s="1280">
        <f>+'[1]Gasolinas 2017'!D19</f>
        <v>22.38</v>
      </c>
      <c r="AM48" s="1280">
        <f>+'[1]Gasolinas 2018'!D19</f>
        <v>24.692499999999999</v>
      </c>
      <c r="AN48" s="1280">
        <f>+'[1]Gasolinas 2019'!D19</f>
        <v>22.675000000000001</v>
      </c>
      <c r="AO48" s="1280">
        <f>+'[1]Gasolinas 2020'!D18</f>
        <v>23.479999999999997</v>
      </c>
      <c r="AP48" s="1280">
        <v>24.74</v>
      </c>
      <c r="AQ48" s="1280">
        <v>33.077500000000001</v>
      </c>
      <c r="AR48" s="1280">
        <f>+'Gasolineras 2023'!D19</f>
        <v>33.53</v>
      </c>
      <c r="AS48" s="1280">
        <f>+'Gasolineras 2024'!D19</f>
        <v>31.2925</v>
      </c>
    </row>
    <row r="49" spans="1:46" ht="13.5">
      <c r="A49" s="1273" t="s">
        <v>43</v>
      </c>
      <c r="B49" s="1274">
        <v>2.04</v>
      </c>
      <c r="C49" s="1274">
        <v>1.9653333333333334</v>
      </c>
      <c r="D49" s="1274">
        <v>1.9</v>
      </c>
      <c r="E49" s="1274">
        <v>1.9</v>
      </c>
      <c r="F49" s="1274">
        <v>1.9</v>
      </c>
      <c r="G49" s="1274">
        <v>2.9</v>
      </c>
      <c r="H49" s="1274">
        <v>2.9</v>
      </c>
      <c r="I49" s="1274">
        <v>2.9</v>
      </c>
      <c r="J49" s="1274">
        <v>3.05</v>
      </c>
      <c r="K49" s="1274">
        <v>3.7</v>
      </c>
      <c r="L49" s="1274">
        <v>8.9499999999999993</v>
      </c>
      <c r="M49" s="1274">
        <v>8.9499999999999993</v>
      </c>
      <c r="N49" s="1274">
        <v>7.75</v>
      </c>
      <c r="O49" s="1274">
        <v>7.86</v>
      </c>
      <c r="P49" s="1274">
        <v>8.2899999999999991</v>
      </c>
      <c r="Q49" s="1274">
        <v>9.2100000000000009</v>
      </c>
      <c r="R49" s="1274">
        <v>10.29</v>
      </c>
      <c r="S49" s="1274">
        <v>10.46</v>
      </c>
      <c r="T49" s="1274">
        <v>10.18</v>
      </c>
      <c r="U49" s="1275">
        <v>14.39</v>
      </c>
      <c r="V49" s="1276">
        <v>14.1325</v>
      </c>
      <c r="W49" s="1276">
        <v>12.647500000000001</v>
      </c>
      <c r="X49" s="1276">
        <v>17.265999999999998</v>
      </c>
      <c r="Y49" s="1276">
        <v>17.706</v>
      </c>
      <c r="Z49" s="1276">
        <v>19.245000000000001</v>
      </c>
      <c r="AA49" s="1276">
        <v>21.69</v>
      </c>
      <c r="AB49" s="1276">
        <v>22.607500000000002</v>
      </c>
      <c r="AC49" s="1276">
        <v>29.546000000000003</v>
      </c>
      <c r="AD49" s="1276">
        <v>20.178000000000001</v>
      </c>
      <c r="AE49" s="1276">
        <v>28.286799999999999</v>
      </c>
      <c r="AF49" s="1276">
        <v>33.822499999999998</v>
      </c>
      <c r="AG49" s="1276">
        <f>+'[1]Gasolinas 2012'!D24</f>
        <v>36.355000000000004</v>
      </c>
      <c r="AH49" s="1276">
        <f>+'[1]Gasolinas 2013'!D24</f>
        <v>33.902500000000003</v>
      </c>
      <c r="AI49" s="1276">
        <v>32.770000000000003</v>
      </c>
      <c r="AJ49" s="1276">
        <f>+'[1]Gasolinas 2015'!D26</f>
        <v>23.486000000000001</v>
      </c>
      <c r="AK49" s="1276">
        <f>+'[1]Gasolinas 2016'!D24</f>
        <v>19.542499999999997</v>
      </c>
      <c r="AL49" s="1276">
        <f>+'[1]Gasolinas 2017'!D24</f>
        <v>21.945</v>
      </c>
      <c r="AM49" s="1276">
        <f>+'[1]Gasolinas 2018'!D24</f>
        <v>24.702500000000001</v>
      </c>
      <c r="AN49" s="1276">
        <f>+'[1]Gasolinas 2019'!D24</f>
        <v>24.607500000000002</v>
      </c>
      <c r="AO49" s="1276">
        <f>+'[1]Gasolinas 2020'!D24</f>
        <v>22.578000000000003</v>
      </c>
      <c r="AP49" s="1276">
        <v>26.892000000000003</v>
      </c>
      <c r="AQ49" s="1276">
        <v>38.51</v>
      </c>
      <c r="AR49" s="1276">
        <f>+'Gasolineras 2023'!D24</f>
        <v>32.809999999999995</v>
      </c>
      <c r="AS49" s="1276">
        <f>+'Gasolineras 2024'!D24</f>
        <v>33.409999999999997</v>
      </c>
    </row>
    <row r="50" spans="1:46" ht="13.5">
      <c r="A50" s="1281" t="s">
        <v>44</v>
      </c>
      <c r="B50" s="1282">
        <v>2.04</v>
      </c>
      <c r="C50" s="1282">
        <v>1.9</v>
      </c>
      <c r="D50" s="1282">
        <v>1.9</v>
      </c>
      <c r="E50" s="1282">
        <v>1.9</v>
      </c>
      <c r="F50" s="1282">
        <v>1.9</v>
      </c>
      <c r="G50" s="1282">
        <v>2.9</v>
      </c>
      <c r="H50" s="1282">
        <v>2.9</v>
      </c>
      <c r="I50" s="1282">
        <v>2.9</v>
      </c>
      <c r="J50" s="1282">
        <v>3.05</v>
      </c>
      <c r="K50" s="1282">
        <v>4.5999999999999996</v>
      </c>
      <c r="L50" s="1282">
        <v>8.9499999999999993</v>
      </c>
      <c r="M50" s="1282">
        <v>8.9499999999999993</v>
      </c>
      <c r="N50" s="1282">
        <v>7.75</v>
      </c>
      <c r="O50" s="1282">
        <v>7.9</v>
      </c>
      <c r="P50" s="1282">
        <v>8.49</v>
      </c>
      <c r="Q50" s="1282">
        <v>9.69</v>
      </c>
      <c r="R50" s="1282">
        <v>10.29</v>
      </c>
      <c r="S50" s="1282">
        <v>10.37</v>
      </c>
      <c r="T50" s="1282">
        <v>11.03</v>
      </c>
      <c r="U50" s="1283">
        <v>14.09</v>
      </c>
      <c r="V50" s="1284">
        <v>14.1</v>
      </c>
      <c r="W50" s="1284">
        <v>14.224</v>
      </c>
      <c r="X50" s="1284">
        <v>16.502500000000001</v>
      </c>
      <c r="Y50" s="1284">
        <v>18.07</v>
      </c>
      <c r="Z50" s="1284">
        <v>21.42</v>
      </c>
      <c r="AA50" s="1284">
        <v>23.984999999999999</v>
      </c>
      <c r="AB50" s="1284">
        <v>25.01</v>
      </c>
      <c r="AC50" s="1284">
        <v>30.984999999999999</v>
      </c>
      <c r="AD50" s="1284">
        <v>20.664999999999999</v>
      </c>
      <c r="AE50" s="1284">
        <v>29.33</v>
      </c>
      <c r="AF50" s="1284">
        <v>34.902500000000003</v>
      </c>
      <c r="AG50" s="1284">
        <f>+'[1]Gasolinas 2012'!D30</f>
        <v>37.015999999999998</v>
      </c>
      <c r="AH50" s="1284">
        <f>+'[1]Gasolinas 2013'!D30</f>
        <v>32.992000000000004</v>
      </c>
      <c r="AI50" s="1284">
        <v>33.587499999999999</v>
      </c>
      <c r="AJ50" s="1284">
        <f>+'[1]Gasolinas 2015'!D31</f>
        <v>24.064999999999998</v>
      </c>
      <c r="AK50" s="1284">
        <f>+'[1]Gasolinas 2016'!D29</f>
        <v>20.7775</v>
      </c>
      <c r="AL50" s="1284">
        <f>+'[1]Gasolinas 2017'!D29</f>
        <v>22.717499999999998</v>
      </c>
      <c r="AM50" s="1284">
        <f>+'[1]Gasolinas 2018'!D29</f>
        <v>25.9925</v>
      </c>
      <c r="AN50" s="1284">
        <f>+'[1]Gasolinas 2019'!D30</f>
        <v>26.630000000000003</v>
      </c>
      <c r="AO50" s="1284">
        <f>+'[1]Gasolinas 2020'!D29</f>
        <v>17.955000000000002</v>
      </c>
      <c r="AP50" s="1284">
        <v>27.22</v>
      </c>
      <c r="AQ50" s="1284">
        <v>35.799999999999997</v>
      </c>
      <c r="AR50" s="1284">
        <f>+'Gasolineras 2023'!D29</f>
        <v>34.707500000000003</v>
      </c>
      <c r="AS50" s="1284">
        <f>+'Gasolineras 2024'!D30</f>
        <v>34.699999999999996</v>
      </c>
    </row>
    <row r="51" spans="1:46" ht="13.5">
      <c r="A51" s="1273" t="s">
        <v>45</v>
      </c>
      <c r="B51" s="1274">
        <v>2.04</v>
      </c>
      <c r="C51" s="1274">
        <v>1.9</v>
      </c>
      <c r="D51" s="1274">
        <v>1.9</v>
      </c>
      <c r="E51" s="1274">
        <v>1.9</v>
      </c>
      <c r="F51" s="1274">
        <v>1.9</v>
      </c>
      <c r="G51" s="1274">
        <v>2.9</v>
      </c>
      <c r="H51" s="1274">
        <v>2.9</v>
      </c>
      <c r="I51" s="1274">
        <v>2.9</v>
      </c>
      <c r="J51" s="1274">
        <v>3.05</v>
      </c>
      <c r="K51" s="1274">
        <v>4.5999999999999996</v>
      </c>
      <c r="L51" s="1274">
        <v>8.9499999999999993</v>
      </c>
      <c r="M51" s="1274">
        <v>8.9499999999999993</v>
      </c>
      <c r="N51" s="1274">
        <v>7.75</v>
      </c>
      <c r="O51" s="1274">
        <v>7.95</v>
      </c>
      <c r="P51" s="1274">
        <v>9.0399999999999991</v>
      </c>
      <c r="Q51" s="1274">
        <v>9.99</v>
      </c>
      <c r="R51" s="1274">
        <v>10.33</v>
      </c>
      <c r="S51" s="1274">
        <v>10.57</v>
      </c>
      <c r="T51" s="1274">
        <v>11.54</v>
      </c>
      <c r="U51" s="1275">
        <v>14.38</v>
      </c>
      <c r="V51" s="1276">
        <v>15.211666666666668</v>
      </c>
      <c r="W51" s="1276">
        <v>14.285</v>
      </c>
      <c r="X51" s="1276">
        <v>15.432499999999999</v>
      </c>
      <c r="Y51" s="1276">
        <v>18.446000000000002</v>
      </c>
      <c r="Z51" s="1276">
        <v>21.971999999999998</v>
      </c>
      <c r="AA51" s="1276">
        <v>26.366</v>
      </c>
      <c r="AB51" s="1276">
        <v>26.992000000000001</v>
      </c>
      <c r="AC51" s="1276">
        <v>32.4375</v>
      </c>
      <c r="AD51" s="1276">
        <v>21.89</v>
      </c>
      <c r="AE51" s="1276">
        <v>28.832000000000001</v>
      </c>
      <c r="AF51" s="1276">
        <v>35.032000000000004</v>
      </c>
      <c r="AG51" s="1276">
        <f>+'[1]Gasolinas 2012'!D35</f>
        <v>35.2575</v>
      </c>
      <c r="AH51" s="1276">
        <f>+'[1]Gasolinas 2013'!D35</f>
        <v>33.1175</v>
      </c>
      <c r="AI51" s="1276">
        <f>+'[1]Gasolinas 2014'!D34</f>
        <v>33.195</v>
      </c>
      <c r="AJ51" s="1276">
        <f>+'[1]Gasolinas 2015'!D36</f>
        <v>25.380000000000003</v>
      </c>
      <c r="AK51" s="1276">
        <f>+'[1]Gasolinas 2016'!D35</f>
        <v>21.630000000000003</v>
      </c>
      <c r="AL51" s="1276">
        <f>+'[1]Gasolinas 2017'!D35</f>
        <v>22.146000000000001</v>
      </c>
      <c r="AM51" s="1276">
        <f>+'[1]Gasolinas 2018'!D35</f>
        <v>27.225999999999999</v>
      </c>
      <c r="AN51" s="1276">
        <f>+'[1]Gasolinas 2019'!D35</f>
        <v>26.6875</v>
      </c>
      <c r="AO51" s="1276">
        <f>+'[1]Gasolinas 2020'!D34</f>
        <v>17.7075</v>
      </c>
      <c r="AP51" s="1276">
        <v>27.981999999999999</v>
      </c>
      <c r="AQ51" s="1276">
        <v>39.369999999999997</v>
      </c>
      <c r="AR51" s="1276">
        <f>+'Gasolineras 2023'!D35</f>
        <v>33.433999999999997</v>
      </c>
      <c r="AS51" s="1276">
        <f>+'Gasolineras 2024'!D35</f>
        <v>32.927499999999995</v>
      </c>
      <c r="AT51" s="1268"/>
    </row>
    <row r="52" spans="1:46" ht="13.5">
      <c r="A52" s="1281" t="s">
        <v>46</v>
      </c>
      <c r="B52" s="1282">
        <v>2.04</v>
      </c>
      <c r="C52" s="1282">
        <v>1.9</v>
      </c>
      <c r="D52" s="1282">
        <v>1.9</v>
      </c>
      <c r="E52" s="1282">
        <v>1.9</v>
      </c>
      <c r="F52" s="1282">
        <v>1.9</v>
      </c>
      <c r="G52" s="1282">
        <v>2.9</v>
      </c>
      <c r="H52" s="1282">
        <v>2.9</v>
      </c>
      <c r="I52" s="1282">
        <v>2.9</v>
      </c>
      <c r="J52" s="1282">
        <v>3.05</v>
      </c>
      <c r="K52" s="1282">
        <v>4.5999999999999996</v>
      </c>
      <c r="L52" s="1282">
        <v>8.9499999999999993</v>
      </c>
      <c r="M52" s="1282">
        <v>8.9499999999999993</v>
      </c>
      <c r="N52" s="1282">
        <v>7.75</v>
      </c>
      <c r="O52" s="1282">
        <v>8</v>
      </c>
      <c r="P52" s="1282">
        <v>9.0500000000000007</v>
      </c>
      <c r="Q52" s="1282">
        <v>9.92</v>
      </c>
      <c r="R52" s="1282">
        <v>10.4</v>
      </c>
      <c r="S52" s="1282">
        <v>10.65</v>
      </c>
      <c r="T52" s="1282">
        <v>11.53</v>
      </c>
      <c r="U52" s="1283">
        <v>15.09</v>
      </c>
      <c r="V52" s="1284">
        <v>15.272500000000001</v>
      </c>
      <c r="W52" s="1284">
        <v>14.135</v>
      </c>
      <c r="X52" s="1284">
        <v>14.6425</v>
      </c>
      <c r="Y52" s="1284">
        <v>18.774999999999999</v>
      </c>
      <c r="Z52" s="1284">
        <v>21.737500000000001</v>
      </c>
      <c r="AA52" s="1284">
        <v>26.26</v>
      </c>
      <c r="AB52" s="1284">
        <v>28.024999999999999</v>
      </c>
      <c r="AC52" s="1284">
        <v>34.82</v>
      </c>
      <c r="AD52" s="1284">
        <v>22.94</v>
      </c>
      <c r="AE52" s="1284">
        <v>27.035</v>
      </c>
      <c r="AF52" s="1284">
        <v>34.172499999999999</v>
      </c>
      <c r="AG52" s="1284">
        <f>+'[1]Gasolinas 2012'!D40</f>
        <v>33.052499999999995</v>
      </c>
      <c r="AH52" s="1284">
        <f>+'[1]Gasolinas 2013'!D40</f>
        <v>32.774999999999999</v>
      </c>
      <c r="AI52" s="1284">
        <f>+'[1]Gasolinas 2014'!D39</f>
        <v>33.835000000000001</v>
      </c>
      <c r="AJ52" s="1284">
        <f>+'[1]Gasolinas 2015'!D41</f>
        <v>25.604999999999997</v>
      </c>
      <c r="AK52" s="1284">
        <f>+'[1]Gasolinas 2016'!D40</f>
        <v>22.184999999999999</v>
      </c>
      <c r="AL52" s="1284">
        <f>+'[1]Gasolinas 2017'!D40</f>
        <v>21.827500000000001</v>
      </c>
      <c r="AM52" s="1284">
        <f>+'[1]Gasolinas 2018'!D40</f>
        <v>26.844999999999999</v>
      </c>
      <c r="AN52" s="1284">
        <f>+'[1]Gasolinas 2019'!D40</f>
        <v>25.252500000000001</v>
      </c>
      <c r="AO52" s="1284">
        <f>+'[1]Gasolinas 2020'!D40</f>
        <v>20.20442521271832</v>
      </c>
      <c r="AP52" s="1284">
        <v>27.9025</v>
      </c>
      <c r="AQ52" s="1284">
        <f>+'Gasolineras 2022'!D40</f>
        <v>40.157499999999999</v>
      </c>
      <c r="AR52" s="1284">
        <f>+'Gasolineras 2023'!D40</f>
        <v>33.024999999999999</v>
      </c>
      <c r="AS52" s="1284">
        <v>31.92</v>
      </c>
      <c r="AT52" s="1300"/>
    </row>
    <row r="53" spans="1:46" ht="13.5">
      <c r="A53" s="1273" t="s">
        <v>47</v>
      </c>
      <c r="B53" s="1274">
        <v>2.04</v>
      </c>
      <c r="C53" s="1274">
        <v>1.9</v>
      </c>
      <c r="D53" s="1274">
        <v>1.9</v>
      </c>
      <c r="E53" s="1274">
        <v>1.9</v>
      </c>
      <c r="F53" s="1274">
        <v>2.9</v>
      </c>
      <c r="G53" s="1274">
        <v>2.9</v>
      </c>
      <c r="H53" s="1274">
        <v>2.9</v>
      </c>
      <c r="I53" s="1274">
        <v>3.15</v>
      </c>
      <c r="J53" s="1274">
        <v>3.05</v>
      </c>
      <c r="K53" s="1274">
        <v>4.5999999999999996</v>
      </c>
      <c r="L53" s="1274">
        <v>8.9499999999999993</v>
      </c>
      <c r="M53" s="1274">
        <v>7.75</v>
      </c>
      <c r="N53" s="1274">
        <v>7.75</v>
      </c>
      <c r="O53" s="1274">
        <v>8.1300000000000008</v>
      </c>
      <c r="P53" s="1274">
        <v>8.81</v>
      </c>
      <c r="Q53" s="1274">
        <v>9.82</v>
      </c>
      <c r="R53" s="1274">
        <v>10.26</v>
      </c>
      <c r="S53" s="1274">
        <v>10.56</v>
      </c>
      <c r="T53" s="1274">
        <v>11.71</v>
      </c>
      <c r="U53" s="1275">
        <v>15.11</v>
      </c>
      <c r="V53" s="1276">
        <v>14.7</v>
      </c>
      <c r="W53" s="1276">
        <v>14.52</v>
      </c>
      <c r="X53" s="1276">
        <v>14.581999999999999</v>
      </c>
      <c r="Y53" s="1276">
        <v>18.695</v>
      </c>
      <c r="Z53" s="1276">
        <v>21.732500000000002</v>
      </c>
      <c r="AA53" s="1276">
        <v>26.068000000000001</v>
      </c>
      <c r="AB53" s="1276">
        <v>27.767499999999998</v>
      </c>
      <c r="AC53" s="1276">
        <v>35.765999999999998</v>
      </c>
      <c r="AD53" s="1276">
        <v>25.574000000000002</v>
      </c>
      <c r="AE53" s="1276">
        <v>26.912500000000001</v>
      </c>
      <c r="AF53" s="1276">
        <v>34.384999999999998</v>
      </c>
      <c r="AG53" s="1276">
        <f>+'[1]Gasolinas 2012'!D84</f>
        <v>34.001999999999995</v>
      </c>
      <c r="AH53" s="1276">
        <f>+'[1]Gasolinas 2013'!D84</f>
        <v>34.188000000000002</v>
      </c>
      <c r="AI53" s="1276">
        <f>+'[1]Gasolinas 2014'!D45</f>
        <v>34.106000000000002</v>
      </c>
      <c r="AJ53" s="1276">
        <f>+'[1]Gasolinas 2015'!D47</f>
        <v>25.673999999999999</v>
      </c>
      <c r="AK53" s="1276">
        <f>+'[1]Gasolinas 2016'!D45</f>
        <v>21.035</v>
      </c>
      <c r="AL53" s="1276">
        <f>+'[1]Gasolinas 2017'!D46</f>
        <v>21.763999999999999</v>
      </c>
      <c r="AM53" s="1276">
        <f>+'[1]Gasolinas 2018'!D46</f>
        <v>26.774000000000001</v>
      </c>
      <c r="AN53" s="1276">
        <f>+'[1]Gasolinas 2019'!D46</f>
        <v>25.929999999999996</v>
      </c>
      <c r="AO53" s="1276">
        <f>+'[1]Gasolinas 2020'!D45</f>
        <v>21.747499999999999</v>
      </c>
      <c r="AP53" s="1276">
        <v>28.685000000000002</v>
      </c>
      <c r="AQ53" s="1276">
        <f>+'Gasolineras 2022'!D45</f>
        <v>35.42</v>
      </c>
      <c r="AR53" s="1276">
        <f>+'Gasolineras 2023'!D46</f>
        <v>33.849999999999994</v>
      </c>
      <c r="AS53" s="1276">
        <v>32.270000000000003</v>
      </c>
    </row>
    <row r="54" spans="1:46" ht="13.5">
      <c r="A54" s="1281" t="s">
        <v>48</v>
      </c>
      <c r="B54" s="1282">
        <v>2.04</v>
      </c>
      <c r="C54" s="1282">
        <v>1.9</v>
      </c>
      <c r="D54" s="1282">
        <v>1.9</v>
      </c>
      <c r="E54" s="1282">
        <v>1.9</v>
      </c>
      <c r="F54" s="1282">
        <v>2.9</v>
      </c>
      <c r="G54" s="1282">
        <v>2.9</v>
      </c>
      <c r="H54" s="1282">
        <v>2.9</v>
      </c>
      <c r="I54" s="1282">
        <v>3.05</v>
      </c>
      <c r="J54" s="1282">
        <v>3.11</v>
      </c>
      <c r="K54" s="1282">
        <v>4.5999999999999996</v>
      </c>
      <c r="L54" s="1282">
        <v>8.9499999999999993</v>
      </c>
      <c r="M54" s="1282">
        <v>7.75</v>
      </c>
      <c r="N54" s="1282">
        <v>7.75</v>
      </c>
      <c r="O54" s="1282">
        <v>8.2200000000000006</v>
      </c>
      <c r="P54" s="1282">
        <v>8.49</v>
      </c>
      <c r="Q54" s="1282">
        <v>9.8000000000000007</v>
      </c>
      <c r="R54" s="1282">
        <v>10.36</v>
      </c>
      <c r="S54" s="1282">
        <v>10.45</v>
      </c>
      <c r="T54" s="1282">
        <v>12.19</v>
      </c>
      <c r="U54" s="1283">
        <v>14.09</v>
      </c>
      <c r="V54" s="1284">
        <v>13.913999999999998</v>
      </c>
      <c r="W54" s="1284">
        <v>15.285</v>
      </c>
      <c r="X54" s="1284">
        <v>15.01</v>
      </c>
      <c r="Y54" s="1284">
        <v>18.57</v>
      </c>
      <c r="Z54" s="1284">
        <v>22.378</v>
      </c>
      <c r="AA54" s="1284">
        <v>27.62</v>
      </c>
      <c r="AB54" s="1284">
        <v>27.207999999999998</v>
      </c>
      <c r="AC54" s="1284">
        <v>35.122500000000002</v>
      </c>
      <c r="AD54" s="1284">
        <v>25.62</v>
      </c>
      <c r="AE54" s="1284">
        <v>27.13</v>
      </c>
      <c r="AF54" s="1284">
        <v>34.561999999999998</v>
      </c>
      <c r="AG54" s="1284">
        <f>+'[1]Gasolinas 2012'!D89</f>
        <v>34.552499999999995</v>
      </c>
      <c r="AH54" s="1284">
        <f>+'[1]Gasolinas 2013'!D89</f>
        <v>34.83</v>
      </c>
      <c r="AI54" s="1284">
        <f>+'[1]Gasolinas 2014'!D50</f>
        <v>32.537499999999994</v>
      </c>
      <c r="AJ54" s="1284">
        <f>+'[1]Gasolinas 2015'!D53</f>
        <v>23.740000000000002</v>
      </c>
      <c r="AK54" s="1284">
        <f>+'[1]Gasolinas 2016'!D51</f>
        <v>20.848000000000003</v>
      </c>
      <c r="AL54" s="1284">
        <f>+'[1]Gasolinas 2017'!D51</f>
        <v>22.434999999999999</v>
      </c>
      <c r="AM54" s="1284">
        <f>+'[1]Gasolinas 2018'!D51</f>
        <v>26.807499999999997</v>
      </c>
      <c r="AN54" s="1284">
        <f>+'[1]Gasolinas 2019'!D51</f>
        <v>24.872499999999999</v>
      </c>
      <c r="AO54" s="1284">
        <f>+'[1]Gasolinas 2020'!D51</f>
        <v>21.401999999999997</v>
      </c>
      <c r="AP54" s="1284">
        <v>29.094000000000001</v>
      </c>
      <c r="AQ54" s="1284">
        <f>+'Gasolineras 2022'!D51</f>
        <v>35.108000000000004</v>
      </c>
      <c r="AR54" s="1284">
        <f>+'Gasolineras 2023'!D51</f>
        <v>36.842500000000001</v>
      </c>
      <c r="AS54" s="1284">
        <f>+'Gasolineras 2024'!D51</f>
        <v>32.112499999999997</v>
      </c>
    </row>
    <row r="55" spans="1:46" ht="13.5">
      <c r="A55" s="1273" t="s">
        <v>49</v>
      </c>
      <c r="B55" s="1274">
        <v>2.04</v>
      </c>
      <c r="C55" s="1274">
        <v>1.9</v>
      </c>
      <c r="D55" s="1274">
        <v>1.9</v>
      </c>
      <c r="E55" s="1274">
        <v>1.9</v>
      </c>
      <c r="F55" s="1274">
        <v>2.9</v>
      </c>
      <c r="G55" s="1274">
        <v>2.9</v>
      </c>
      <c r="H55" s="1274">
        <v>2.9</v>
      </c>
      <c r="I55" s="1274">
        <v>3.05</v>
      </c>
      <c r="J55" s="1274">
        <v>3.11</v>
      </c>
      <c r="K55" s="1274">
        <v>6.75</v>
      </c>
      <c r="L55" s="1274">
        <v>8.9499999999999993</v>
      </c>
      <c r="M55" s="1274">
        <v>7.75</v>
      </c>
      <c r="N55" s="1274">
        <v>7.75</v>
      </c>
      <c r="O55" s="1274">
        <v>8.34</v>
      </c>
      <c r="P55" s="1274">
        <v>8.5299999999999994</v>
      </c>
      <c r="Q55" s="1274">
        <v>9.84</v>
      </c>
      <c r="R55" s="1274">
        <v>10.63</v>
      </c>
      <c r="S55" s="1274">
        <v>10.35</v>
      </c>
      <c r="T55" s="1274">
        <v>12.42</v>
      </c>
      <c r="U55" s="1275">
        <v>14.36</v>
      </c>
      <c r="V55" s="1276">
        <v>14.08</v>
      </c>
      <c r="W55" s="1276">
        <v>15.214000000000002</v>
      </c>
      <c r="X55" s="1276">
        <v>16.315999999999999</v>
      </c>
      <c r="Y55" s="1276">
        <v>18.422499999999999</v>
      </c>
      <c r="Z55" s="1276">
        <v>24.74</v>
      </c>
      <c r="AA55" s="1276">
        <v>26.767499999999998</v>
      </c>
      <c r="AB55" s="1276">
        <v>26.204999999999998</v>
      </c>
      <c r="AC55" s="1276">
        <v>34.200000000000003</v>
      </c>
      <c r="AD55" s="1276">
        <v>25.762499999999999</v>
      </c>
      <c r="AE55" s="1276">
        <v>26.23</v>
      </c>
      <c r="AF55" s="1276">
        <v>34.147500000000001</v>
      </c>
      <c r="AG55" s="1276">
        <f>+'[1]Gasolinas 2012'!D94</f>
        <v>36.842500000000001</v>
      </c>
      <c r="AH55" s="1276">
        <f>+'[1]Gasolinas 2013'!D95</f>
        <v>34.514000000000003</v>
      </c>
      <c r="AI55" s="1276">
        <f>+'[1]Gasolinas 2014'!D56</f>
        <v>31.607999999999997</v>
      </c>
      <c r="AJ55" s="1276">
        <f>+'[1]Gasolinas 2015'!D58</f>
        <v>21.794999999999998</v>
      </c>
      <c r="AK55" s="1276">
        <f>+'[1]Gasolinas 2016'!D56</f>
        <v>21.497499999999995</v>
      </c>
      <c r="AL55" s="1276">
        <f>+'[1]Gasolinas 2017'!D56</f>
        <v>24.024999999999999</v>
      </c>
      <c r="AM55" s="1276">
        <f>+'[1]Gasolinas 2018'!D56</f>
        <v>27.017500000000002</v>
      </c>
      <c r="AN55" s="1276">
        <f>+'[1]Gasolinas 2019'!D57</f>
        <v>24.659999999999997</v>
      </c>
      <c r="AO55" s="1276">
        <f>+'[1]Gasolinas 2020'!D56</f>
        <v>21.314999999999998</v>
      </c>
      <c r="AP55" s="1276">
        <v>29.509999999999998</v>
      </c>
      <c r="AQ55" s="1276">
        <f>+'Gasolineras 2022'!D56</f>
        <v>34.28</v>
      </c>
      <c r="AR55" s="1276">
        <f>+'Gasolineras 2023'!D56</f>
        <v>36.599999999999994</v>
      </c>
      <c r="AS55" s="1276">
        <f>+'Gasolineras 2024'!D57</f>
        <v>29.85</v>
      </c>
    </row>
    <row r="56" spans="1:46" ht="13.5">
      <c r="A56" s="1281" t="s">
        <v>50</v>
      </c>
      <c r="B56" s="1282">
        <v>2.04</v>
      </c>
      <c r="C56" s="1282">
        <v>1.9</v>
      </c>
      <c r="D56" s="1282">
        <v>1.9</v>
      </c>
      <c r="E56" s="1282">
        <v>1.9</v>
      </c>
      <c r="F56" s="1282">
        <v>2.9</v>
      </c>
      <c r="G56" s="1282">
        <v>2.9</v>
      </c>
      <c r="H56" s="1282">
        <v>2.9</v>
      </c>
      <c r="I56" s="1282">
        <v>3.05</v>
      </c>
      <c r="J56" s="1282">
        <v>3.11</v>
      </c>
      <c r="K56" s="1282">
        <v>6.75</v>
      </c>
      <c r="L56" s="1282">
        <v>8.9499999999999993</v>
      </c>
      <c r="M56" s="1282">
        <v>7.75</v>
      </c>
      <c r="N56" s="1282">
        <v>7.75</v>
      </c>
      <c r="O56" s="1282">
        <v>8.23</v>
      </c>
      <c r="P56" s="1282">
        <v>8.5500000000000007</v>
      </c>
      <c r="Q56" s="1282">
        <v>9.8699999999999992</v>
      </c>
      <c r="R56" s="1282">
        <v>10.41</v>
      </c>
      <c r="S56" s="1282">
        <v>10.43</v>
      </c>
      <c r="T56" s="1282">
        <v>12.87</v>
      </c>
      <c r="U56" s="1283">
        <v>14.85</v>
      </c>
      <c r="V56" s="1284">
        <v>14.056000000000001</v>
      </c>
      <c r="W56" s="1284">
        <v>15.5725</v>
      </c>
      <c r="X56" s="1284">
        <v>16.137499999999999</v>
      </c>
      <c r="Y56" s="1284">
        <v>19.0275</v>
      </c>
      <c r="Z56" s="1284">
        <v>26.717999999999996</v>
      </c>
      <c r="AA56" s="1284">
        <v>24.25</v>
      </c>
      <c r="AB56" s="1284">
        <v>26.405999999999995</v>
      </c>
      <c r="AC56" s="1284">
        <v>30.475000000000001</v>
      </c>
      <c r="AD56" s="1284">
        <v>25.087499999999999</v>
      </c>
      <c r="AE56" s="1284">
        <v>27.798000000000002</v>
      </c>
      <c r="AF56" s="1284">
        <v>33.47</v>
      </c>
      <c r="AG56" s="1284">
        <f>+'[1]Gasolinas 2012'!D100</f>
        <v>35.869999999999997</v>
      </c>
      <c r="AH56" s="1284">
        <f>+'[1]Gasolinas 2013'!D100</f>
        <v>32.637500000000003</v>
      </c>
      <c r="AI56" s="1284">
        <f>+'[1]Gasolinas 2014'!D61</f>
        <v>29.857499999999998</v>
      </c>
      <c r="AJ56" s="1284">
        <f>+'[1]Gasolinas 2015'!D63</f>
        <v>21.3675</v>
      </c>
      <c r="AK56" s="1284">
        <f>+'[1]Gasolinas 2016'!D62</f>
        <v>21.871999999999996</v>
      </c>
      <c r="AL56" s="1284">
        <f>+'[1]Gasolinas 2017'!D62</f>
        <v>23.152000000000001</v>
      </c>
      <c r="AM56" s="1284">
        <f>+'[1]Gasolinas 2018'!D62</f>
        <v>27.355999999999995</v>
      </c>
      <c r="AN56" s="1284">
        <f>+'[1]Gasolinas 2019'!D62</f>
        <v>24.4925</v>
      </c>
      <c r="AO56" s="1284">
        <v>21.494999999999997</v>
      </c>
      <c r="AP56" s="1284">
        <v>30.282499999999999</v>
      </c>
      <c r="AQ56" s="1284">
        <f>+'Gasolineras 2022'!D61</f>
        <v>36.4</v>
      </c>
      <c r="AR56" s="1284">
        <v>35.1</v>
      </c>
      <c r="AS56" s="1284">
        <f>+'Gasolineras 2024'!D62</f>
        <v>29.397500000000001</v>
      </c>
    </row>
    <row r="57" spans="1:46" ht="13.5">
      <c r="A57" s="1273" t="s">
        <v>51</v>
      </c>
      <c r="B57" s="1274">
        <v>2.04</v>
      </c>
      <c r="C57" s="1274">
        <v>1.9</v>
      </c>
      <c r="D57" s="1274">
        <v>1.9</v>
      </c>
      <c r="E57" s="1274">
        <v>1.9</v>
      </c>
      <c r="F57" s="1274">
        <v>2.9</v>
      </c>
      <c r="G57" s="1274">
        <v>2.9</v>
      </c>
      <c r="H57" s="1274">
        <v>2.9</v>
      </c>
      <c r="I57" s="1274">
        <v>3.05</v>
      </c>
      <c r="J57" s="1274">
        <v>3.7</v>
      </c>
      <c r="K57" s="1274">
        <v>6.75</v>
      </c>
      <c r="L57" s="1274">
        <v>8.9499999999999993</v>
      </c>
      <c r="M57" s="1274">
        <v>7.75</v>
      </c>
      <c r="N57" s="1274">
        <v>7.75</v>
      </c>
      <c r="O57" s="1274">
        <v>8.1</v>
      </c>
      <c r="P57" s="1274">
        <v>8.5</v>
      </c>
      <c r="Q57" s="1274">
        <v>9.9600000000000009</v>
      </c>
      <c r="R57" s="1274">
        <v>10.27</v>
      </c>
      <c r="S57" s="1274">
        <v>10.46</v>
      </c>
      <c r="T57" s="1274">
        <v>12.89</v>
      </c>
      <c r="U57" s="1275">
        <v>14.755000000000001</v>
      </c>
      <c r="V57" s="1276">
        <v>13.565</v>
      </c>
      <c r="W57" s="1276">
        <v>15.69</v>
      </c>
      <c r="X57" s="1276">
        <v>15.8025</v>
      </c>
      <c r="Y57" s="1276">
        <v>19.821999999999999</v>
      </c>
      <c r="Z57" s="1276">
        <v>25.47</v>
      </c>
      <c r="AA57" s="1276">
        <v>22.71</v>
      </c>
      <c r="AB57" s="1276">
        <v>27.3</v>
      </c>
      <c r="AC57" s="1276">
        <v>25.35</v>
      </c>
      <c r="AD57" s="1276">
        <v>26.757999999999999</v>
      </c>
      <c r="AE57" s="1276">
        <v>27.97</v>
      </c>
      <c r="AF57" s="1276">
        <v>33.93</v>
      </c>
      <c r="AG57" s="1276">
        <f>+'[1]Gasolinas 2012'!D105</f>
        <v>32.93</v>
      </c>
      <c r="AH57" s="1276">
        <f>+'[1]Gasolinas 2013'!D105</f>
        <v>31.4925</v>
      </c>
      <c r="AI57" s="1276">
        <f>+'[1]Gasolinas 2014'!D66</f>
        <v>27.869999999999997</v>
      </c>
      <c r="AJ57" s="1276">
        <f>+'[1]Gasolinas 2015'!D69</f>
        <v>20.47</v>
      </c>
      <c r="AK57" s="1276">
        <f>+'[1]Gasolinas 2016'!D67</f>
        <v>21.202500000000001</v>
      </c>
      <c r="AL57" s="1276">
        <f>+'[1]Gasolinas 2017'!D67</f>
        <v>24.09</v>
      </c>
      <c r="AM57" s="1276">
        <f>+'[1]Gasolinas 2018'!D67</f>
        <v>24.675000000000001</v>
      </c>
      <c r="AN57" s="1276">
        <f>+'[1]Gasolinas 2019'!D67</f>
        <v>24.434999999999995</v>
      </c>
      <c r="AO57" s="1276">
        <v>20.399999999999999</v>
      </c>
      <c r="AP57" s="1276">
        <v>30.822000000000003</v>
      </c>
      <c r="AQ57" s="1276">
        <f>+'Gasolineras 2022'!D67</f>
        <v>35.965999999999994</v>
      </c>
      <c r="AR57" s="1276">
        <f>+'Gasolineras 2023'!$D$67</f>
        <v>30.554999999999996</v>
      </c>
      <c r="AS57" s="1276"/>
    </row>
    <row r="58" spans="1:46" ht="13.5">
      <c r="A58" s="1281" t="s">
        <v>52</v>
      </c>
      <c r="B58" s="1282">
        <v>2.04</v>
      </c>
      <c r="C58" s="1282">
        <v>1.9</v>
      </c>
      <c r="D58" s="1282">
        <v>1.9</v>
      </c>
      <c r="E58" s="1282">
        <v>1.9</v>
      </c>
      <c r="F58" s="1282">
        <v>2.9</v>
      </c>
      <c r="G58" s="1282">
        <v>2.9</v>
      </c>
      <c r="H58" s="1282">
        <v>2.9</v>
      </c>
      <c r="I58" s="1282">
        <v>3.05</v>
      </c>
      <c r="J58" s="1282">
        <v>3.7</v>
      </c>
      <c r="K58" s="1282">
        <v>9.4</v>
      </c>
      <c r="L58" s="1282">
        <v>8.9499999999999993</v>
      </c>
      <c r="M58" s="1282">
        <v>7.75</v>
      </c>
      <c r="N58" s="1282">
        <v>7.75</v>
      </c>
      <c r="O58" s="1282">
        <v>8.02</v>
      </c>
      <c r="P58" s="1282">
        <v>8.51</v>
      </c>
      <c r="Q58" s="1282">
        <v>10.16</v>
      </c>
      <c r="R58" s="1282">
        <v>10.27</v>
      </c>
      <c r="S58" s="1282">
        <v>10.210000000000001</v>
      </c>
      <c r="T58" s="1282">
        <v>13.53</v>
      </c>
      <c r="U58" s="1283">
        <v>14.7475</v>
      </c>
      <c r="V58" s="1284">
        <v>12.8375</v>
      </c>
      <c r="W58" s="1284">
        <v>15.463999999999999</v>
      </c>
      <c r="X58" s="1284">
        <f>+'[1]Gasolinas 2018'!H51</f>
        <v>25.92</v>
      </c>
      <c r="Y58" s="1284">
        <v>19.535</v>
      </c>
      <c r="Z58" s="1284">
        <v>22.795000000000002</v>
      </c>
      <c r="AA58" s="1284">
        <v>22.637499999999999</v>
      </c>
      <c r="AB58" s="1284">
        <v>28.25</v>
      </c>
      <c r="AC58" s="1284">
        <v>21.808</v>
      </c>
      <c r="AD58" s="1284">
        <v>26.452500000000001</v>
      </c>
      <c r="AE58" s="1284">
        <v>28.835000000000001</v>
      </c>
      <c r="AF58" s="1284">
        <v>32.752499999999998</v>
      </c>
      <c r="AG58" s="1284">
        <f>+'[1]Gasolinas 2012'!D110</f>
        <v>32.900000000000006</v>
      </c>
      <c r="AH58" s="1284">
        <f>+'[1]Gasolinas 2013'!D111</f>
        <v>33.58</v>
      </c>
      <c r="AI58" s="1284">
        <f>+'[1]Gasolinas 2014'!D72</f>
        <v>24.41</v>
      </c>
      <c r="AJ58" s="1284">
        <f>+'[1]Gasolinas 2015'!D74</f>
        <v>19.5425</v>
      </c>
      <c r="AK58" s="1284">
        <f>+'[1]Gasolinas 2016'!D72</f>
        <v>22.115000000000002</v>
      </c>
      <c r="AL58" s="1284">
        <f>+'[1]Gasolinas 2017'!D72</f>
        <v>24.105</v>
      </c>
      <c r="AM58" s="1284">
        <f>+'[1]Gasolinas 2018'!D72</f>
        <v>22.62</v>
      </c>
      <c r="AN58" s="1284">
        <f>+'[1]Gasolinas 2019'!D73</f>
        <v>24.367999999999999</v>
      </c>
      <c r="AO58" s="1284">
        <f>+'[1]Gasolinas 2020'!D72</f>
        <v>21.935000000000002</v>
      </c>
      <c r="AP58" s="1284">
        <v>29.06</v>
      </c>
      <c r="AQ58" s="1284">
        <f>+'Gasolineras 2022'!D72</f>
        <v>33.094999999999999</v>
      </c>
      <c r="AR58" s="1284">
        <f>+'Gasolineras 2023'!D72</f>
        <v>29.047499999999999</v>
      </c>
      <c r="AS58" s="1284"/>
    </row>
    <row r="59" spans="1:46" ht="27.75" customHeight="1">
      <c r="A59" s="1288" t="s">
        <v>7</v>
      </c>
      <c r="B59" s="1289">
        <f t="shared" ref="B59:AQ59" si="3">AVERAGE(B47:B58)</f>
        <v>2.0399999999999996</v>
      </c>
      <c r="C59" s="1289">
        <f t="shared" si="3"/>
        <v>1.9287777777777775</v>
      </c>
      <c r="D59" s="1289">
        <f t="shared" si="3"/>
        <v>1.8999999999999997</v>
      </c>
      <c r="E59" s="1289">
        <f t="shared" si="3"/>
        <v>1.8999999999999997</v>
      </c>
      <c r="F59" s="1289">
        <f t="shared" si="3"/>
        <v>2.3999999999999995</v>
      </c>
      <c r="G59" s="1289">
        <f t="shared" si="3"/>
        <v>2.899999999999999</v>
      </c>
      <c r="H59" s="1289">
        <f t="shared" si="3"/>
        <v>2.899999999999999</v>
      </c>
      <c r="I59" s="1289">
        <f t="shared" si="3"/>
        <v>2.9909090909090907</v>
      </c>
      <c r="J59" s="1289">
        <f t="shared" si="3"/>
        <v>3.1845454545454546</v>
      </c>
      <c r="K59" s="1289">
        <f t="shared" si="3"/>
        <v>5.4590909090909099</v>
      </c>
      <c r="L59" s="1289">
        <f t="shared" si="3"/>
        <v>8.9500000000000011</v>
      </c>
      <c r="M59" s="1289">
        <f t="shared" si="3"/>
        <v>8.295454545454545</v>
      </c>
      <c r="N59" s="1289">
        <f t="shared" si="3"/>
        <v>7.75</v>
      </c>
      <c r="O59" s="1289">
        <f t="shared" si="3"/>
        <v>8.045454545454545</v>
      </c>
      <c r="P59" s="1289">
        <f t="shared" si="3"/>
        <v>8.5545454545454547</v>
      </c>
      <c r="Q59" s="1289">
        <f t="shared" si="3"/>
        <v>9.7381818181818183</v>
      </c>
      <c r="R59" s="1289">
        <f t="shared" si="3"/>
        <v>10.355454545454542</v>
      </c>
      <c r="S59" s="1289">
        <f t="shared" si="3"/>
        <v>10.471818181818181</v>
      </c>
      <c r="T59" s="1289">
        <f t="shared" si="3"/>
        <v>11.810909090909092</v>
      </c>
      <c r="U59" s="1288">
        <f t="shared" si="3"/>
        <v>14.489318181818181</v>
      </c>
      <c r="V59" s="1290">
        <f t="shared" si="3"/>
        <v>14.191805555555559</v>
      </c>
      <c r="W59" s="1290">
        <f t="shared" si="3"/>
        <v>14.330249999999999</v>
      </c>
      <c r="X59" s="1290">
        <f t="shared" si="3"/>
        <v>16.596999999999998</v>
      </c>
      <c r="Y59" s="1290">
        <f t="shared" si="3"/>
        <v>18.328458333333334</v>
      </c>
      <c r="Z59" s="1290">
        <f t="shared" si="3"/>
        <v>22.066708333333334</v>
      </c>
      <c r="AA59" s="1290">
        <f t="shared" si="3"/>
        <v>24.36408333333333</v>
      </c>
      <c r="AB59" s="1290">
        <f t="shared" si="3"/>
        <v>25.814791666666668</v>
      </c>
      <c r="AC59" s="1290">
        <f t="shared" si="3"/>
        <v>30.580833333333334</v>
      </c>
      <c r="AD59" s="1290">
        <f t="shared" si="3"/>
        <v>23.505833333333332</v>
      </c>
      <c r="AE59" s="1290">
        <f t="shared" si="3"/>
        <v>27.744316666666666</v>
      </c>
      <c r="AF59" s="1290">
        <f t="shared" si="3"/>
        <v>33.49783333333334</v>
      </c>
      <c r="AG59" s="1290">
        <f t="shared" si="3"/>
        <v>34.681916666666673</v>
      </c>
      <c r="AH59" s="1290">
        <f t="shared" si="3"/>
        <v>33.396000000000001</v>
      </c>
      <c r="AI59" s="1290">
        <f t="shared" si="3"/>
        <v>31.630333333333336</v>
      </c>
      <c r="AJ59" s="1290">
        <f t="shared" si="3"/>
        <v>22.762291666666666</v>
      </c>
      <c r="AK59" s="1290">
        <f t="shared" si="3"/>
        <v>20.792958333333335</v>
      </c>
      <c r="AL59" s="1290">
        <f t="shared" si="3"/>
        <v>22.814583333333335</v>
      </c>
      <c r="AM59" s="1290">
        <f t="shared" si="3"/>
        <v>25.790041666666671</v>
      </c>
      <c r="AN59" s="1290">
        <f t="shared" si="3"/>
        <v>24.706541666666666</v>
      </c>
      <c r="AO59" s="1290">
        <f t="shared" si="3"/>
        <v>21.233702101059858</v>
      </c>
      <c r="AP59" s="1290">
        <v>27.932916666666667</v>
      </c>
      <c r="AQ59" s="1290">
        <f t="shared" si="3"/>
        <v>35.648666666666664</v>
      </c>
      <c r="AR59" s="1290">
        <f>AVERAGE(AR47:AR58)</f>
        <v>33.599791666666668</v>
      </c>
      <c r="AS59" s="1290">
        <f>AVERAGE(AS47:AS58)</f>
        <v>31.7956</v>
      </c>
    </row>
    <row r="60" spans="1:46" ht="13.5">
      <c r="A60" s="1272"/>
      <c r="B60" s="1272"/>
      <c r="C60" s="1272"/>
      <c r="D60" s="1272"/>
      <c r="E60" s="1272"/>
      <c r="F60" s="1272"/>
      <c r="G60" s="1272"/>
      <c r="H60" s="1272"/>
      <c r="I60" s="1272"/>
      <c r="J60" s="1272"/>
      <c r="K60" s="1272"/>
      <c r="L60" s="1272"/>
      <c r="M60" s="1272"/>
      <c r="N60" s="1272"/>
      <c r="O60" s="1272"/>
      <c r="P60" s="1272"/>
      <c r="Q60" s="1272"/>
      <c r="R60" s="1272"/>
      <c r="S60" s="1272"/>
      <c r="T60" s="1272"/>
      <c r="U60" s="1272"/>
      <c r="V60" s="1272"/>
      <c r="W60" s="1272"/>
      <c r="X60" s="1272"/>
      <c r="Y60" s="1272"/>
      <c r="Z60" s="1272"/>
      <c r="AA60" s="1272"/>
      <c r="AB60" s="1272"/>
      <c r="AC60" s="1272"/>
      <c r="AD60" s="1272"/>
      <c r="AE60" s="1272"/>
      <c r="AF60" s="1272"/>
      <c r="AG60" s="1272"/>
      <c r="AH60" s="1272"/>
      <c r="AI60" s="1272"/>
      <c r="AJ60" s="1272"/>
      <c r="AK60" s="1272"/>
      <c r="AL60" s="1296"/>
      <c r="AM60" s="1272"/>
      <c r="AN60" s="1272"/>
      <c r="AO60" s="1272"/>
      <c r="AP60" s="1272"/>
      <c r="AQ60" s="1272"/>
      <c r="AR60" s="1272"/>
      <c r="AS60" s="1272"/>
    </row>
    <row r="61" spans="1:46" ht="13.5">
      <c r="A61" s="1269" t="s">
        <v>727</v>
      </c>
      <c r="B61" s="1302"/>
      <c r="C61" s="1302"/>
      <c r="D61" s="1302"/>
      <c r="E61" s="1302"/>
      <c r="F61" s="1302"/>
      <c r="G61" s="1302"/>
      <c r="H61" s="1302"/>
      <c r="I61" s="1302"/>
      <c r="J61" s="1302"/>
      <c r="K61" s="1302"/>
      <c r="L61" s="1302"/>
      <c r="M61" s="1302"/>
      <c r="N61" s="1302"/>
      <c r="O61" s="1302"/>
      <c r="P61" s="1302"/>
      <c r="Q61" s="1302"/>
      <c r="R61" s="1302"/>
      <c r="S61" s="1302"/>
      <c r="T61" s="1302"/>
      <c r="U61" s="1302"/>
      <c r="V61" s="1302"/>
      <c r="W61" s="1295"/>
      <c r="X61" s="1295"/>
      <c r="Y61" s="1295"/>
      <c r="Z61" s="1295"/>
      <c r="AA61" s="1295"/>
      <c r="AB61" s="1295"/>
      <c r="AC61" s="1295" t="e">
        <f>+#REF!</f>
        <v>#REF!</v>
      </c>
      <c r="AD61" s="1295"/>
      <c r="AE61" s="1295"/>
      <c r="AF61" s="1295"/>
      <c r="AG61" s="1295"/>
      <c r="AH61" s="1295"/>
      <c r="AI61" s="1295"/>
      <c r="AJ61" s="1295"/>
      <c r="AK61" s="1272"/>
      <c r="AL61" s="1296"/>
      <c r="AM61" s="1272"/>
      <c r="AN61" s="1272"/>
      <c r="AO61" s="1272"/>
      <c r="AP61" s="1272"/>
      <c r="AQ61" s="1272"/>
      <c r="AR61" s="1272"/>
      <c r="AS61" s="1272"/>
    </row>
    <row r="62" spans="1:46" ht="12.75" customHeight="1">
      <c r="A62" s="1620" t="s">
        <v>517</v>
      </c>
      <c r="B62" s="1601">
        <v>1981</v>
      </c>
      <c r="C62" s="1601">
        <v>1982</v>
      </c>
      <c r="D62" s="1601">
        <v>1983</v>
      </c>
      <c r="E62" s="1601">
        <v>1984</v>
      </c>
      <c r="F62" s="1601">
        <v>1985</v>
      </c>
      <c r="G62" s="1601">
        <v>1986</v>
      </c>
      <c r="H62" s="1601">
        <v>1987</v>
      </c>
      <c r="I62" s="1601">
        <v>1988</v>
      </c>
      <c r="J62" s="1601">
        <v>1989</v>
      </c>
      <c r="K62" s="1601">
        <v>1990</v>
      </c>
      <c r="L62" s="1601">
        <v>1991</v>
      </c>
      <c r="M62" s="1601">
        <v>1992</v>
      </c>
      <c r="N62" s="1601">
        <v>1993</v>
      </c>
      <c r="O62" s="1601">
        <v>1994</v>
      </c>
      <c r="P62" s="1601">
        <v>1995</v>
      </c>
      <c r="Q62" s="1601">
        <v>1996</v>
      </c>
      <c r="R62" s="1601">
        <v>1997</v>
      </c>
      <c r="S62" s="1601">
        <v>1998</v>
      </c>
      <c r="T62" s="1601">
        <v>1999</v>
      </c>
      <c r="U62" s="1624">
        <v>2000</v>
      </c>
      <c r="V62" s="1601">
        <v>2001</v>
      </c>
      <c r="W62" s="1601">
        <v>2002</v>
      </c>
      <c r="X62" s="1601">
        <v>2003</v>
      </c>
      <c r="Y62" s="1601">
        <v>2004</v>
      </c>
      <c r="Z62" s="1601">
        <v>2005</v>
      </c>
      <c r="AA62" s="1601">
        <v>2006</v>
      </c>
      <c r="AB62" s="1601">
        <v>2007</v>
      </c>
      <c r="AC62" s="1601">
        <v>2008</v>
      </c>
      <c r="AD62" s="1601">
        <v>2009</v>
      </c>
      <c r="AE62" s="1601">
        <v>2010</v>
      </c>
      <c r="AF62" s="1601">
        <v>2011</v>
      </c>
      <c r="AG62" s="1601">
        <f>+AG10</f>
        <v>2012</v>
      </c>
      <c r="AH62" s="1601">
        <v>2013</v>
      </c>
      <c r="AI62" s="1601">
        <v>2014</v>
      </c>
      <c r="AJ62" s="1601">
        <v>2015</v>
      </c>
      <c r="AK62" s="1601">
        <v>2016</v>
      </c>
      <c r="AL62" s="1601">
        <v>2017</v>
      </c>
      <c r="AM62" s="1601">
        <v>2018</v>
      </c>
      <c r="AN62" s="1601">
        <v>2019</v>
      </c>
      <c r="AO62" s="1601">
        <v>2020</v>
      </c>
      <c r="AP62" s="1601">
        <v>2021</v>
      </c>
      <c r="AQ62" s="1601">
        <v>2022</v>
      </c>
      <c r="AR62" s="1601">
        <v>2023</v>
      </c>
      <c r="AS62" s="1601">
        <v>2024</v>
      </c>
    </row>
    <row r="63" spans="1:46" ht="13.5" customHeight="1">
      <c r="A63" s="1620"/>
      <c r="B63" s="1602"/>
      <c r="C63" s="1602"/>
      <c r="D63" s="1602"/>
      <c r="E63" s="1602"/>
      <c r="F63" s="1602"/>
      <c r="G63" s="1602"/>
      <c r="H63" s="1625"/>
      <c r="I63" s="1625"/>
      <c r="J63" s="1625"/>
      <c r="K63" s="1625"/>
      <c r="L63" s="1625"/>
      <c r="M63" s="1625"/>
      <c r="N63" s="1625"/>
      <c r="O63" s="1625"/>
      <c r="P63" s="1625"/>
      <c r="Q63" s="1625"/>
      <c r="R63" s="1625"/>
      <c r="S63" s="1625"/>
      <c r="T63" s="1625"/>
      <c r="U63" s="1628"/>
      <c r="V63" s="1625"/>
      <c r="W63" s="1625"/>
      <c r="X63" s="1625"/>
      <c r="Y63" s="1625"/>
      <c r="Z63" s="1625"/>
      <c r="AA63" s="1625"/>
      <c r="AB63" s="1625"/>
      <c r="AC63" s="1602"/>
      <c r="AD63" s="1602"/>
      <c r="AE63" s="1602"/>
      <c r="AF63" s="1602"/>
      <c r="AG63" s="1602"/>
      <c r="AH63" s="1602"/>
      <c r="AI63" s="1602"/>
      <c r="AJ63" s="1602"/>
      <c r="AK63" s="1602"/>
      <c r="AL63" s="1602"/>
      <c r="AM63" s="1602"/>
      <c r="AN63" s="1602"/>
      <c r="AO63" s="1602"/>
      <c r="AP63" s="1602"/>
      <c r="AQ63" s="1602"/>
      <c r="AR63" s="1602"/>
      <c r="AS63" s="1602"/>
    </row>
    <row r="64" spans="1:46" ht="13.5">
      <c r="A64" s="1273" t="s">
        <v>41</v>
      </c>
      <c r="B64" s="1274">
        <v>1.19</v>
      </c>
      <c r="C64" s="1274">
        <v>1.24</v>
      </c>
      <c r="D64" s="1274">
        <v>1.2</v>
      </c>
      <c r="E64" s="1274">
        <v>1.17</v>
      </c>
      <c r="F64" s="1274">
        <v>1.17</v>
      </c>
      <c r="G64" s="1274">
        <v>1.17</v>
      </c>
      <c r="H64" s="1274">
        <v>1.7</v>
      </c>
      <c r="I64" s="1274">
        <v>1.7</v>
      </c>
      <c r="J64" s="1274">
        <v>2.25</v>
      </c>
      <c r="K64" s="1274">
        <v>2.7</v>
      </c>
      <c r="L64" s="1274">
        <v>5.95</v>
      </c>
      <c r="M64" s="1274">
        <v>5.95</v>
      </c>
      <c r="N64" s="1274">
        <v>5.95</v>
      </c>
      <c r="O64" s="1274">
        <v>5.95</v>
      </c>
      <c r="P64" s="1274">
        <v>6.54</v>
      </c>
      <c r="Q64" s="1274">
        <v>7.39</v>
      </c>
      <c r="R64" s="1274">
        <v>9.09</v>
      </c>
      <c r="S64" s="1274">
        <v>8.2799999999999994</v>
      </c>
      <c r="T64" s="1274">
        <v>7.14</v>
      </c>
      <c r="U64" s="1275">
        <v>10.28</v>
      </c>
      <c r="V64" s="1276">
        <v>11.638</v>
      </c>
      <c r="W64" s="1276">
        <v>9.2899999999999991</v>
      </c>
      <c r="X64" s="1276">
        <v>10.895</v>
      </c>
      <c r="Y64" s="1276">
        <v>11.64</v>
      </c>
      <c r="Z64" s="1276">
        <v>15.928000000000001</v>
      </c>
      <c r="AA64" s="1276">
        <v>19.82</v>
      </c>
      <c r="AB64" s="1276">
        <v>18.89</v>
      </c>
      <c r="AC64" s="1276">
        <v>26.24</v>
      </c>
      <c r="AD64" s="1276">
        <v>19.510000000000002</v>
      </c>
      <c r="AE64" s="1276">
        <v>24.49</v>
      </c>
      <c r="AF64" s="1276">
        <v>27.807500000000001</v>
      </c>
      <c r="AG64" s="1276">
        <f>+'[1]Gasolinas 2012'!E14</f>
        <v>31.120000000000005</v>
      </c>
      <c r="AH64" s="1276">
        <f>+'[1]Gasolinas 2013'!E14</f>
        <v>32.296000000000006</v>
      </c>
      <c r="AI64" s="1276">
        <v>32.024999999999999</v>
      </c>
      <c r="AJ64" s="1276">
        <f>+'[1]Gasolinas 2015'!E15</f>
        <v>19.667499999999997</v>
      </c>
      <c r="AK64" s="1276">
        <f>+'[1]Gasolinas 2016'!E13</f>
        <v>14.467500000000001</v>
      </c>
      <c r="AL64" s="1276">
        <f>+'[1]Gasolinas 2017'!E14</f>
        <v>19.154</v>
      </c>
      <c r="AM64" s="1276">
        <f>+'[1]Gasolinas 2018'!E14</f>
        <v>21.619999999999997</v>
      </c>
      <c r="AN64" s="1276">
        <f>+'[1]Gasolinas 2019'!E14</f>
        <v>20.731999999999999</v>
      </c>
      <c r="AO64" s="1276">
        <f>+'[1]Gasolinas 2020'!E13</f>
        <v>21.934999999999999</v>
      </c>
      <c r="AP64" s="1276">
        <v>19.094999999999999</v>
      </c>
      <c r="AQ64" s="1276">
        <v>27.41</v>
      </c>
      <c r="AR64" s="1276">
        <f>+'Gasolineras 2023'!E14</f>
        <v>36.782000000000004</v>
      </c>
      <c r="AS64" s="1276">
        <f>+'Gasolineras 2024'!E14</f>
        <v>30.124000000000002</v>
      </c>
    </row>
    <row r="65" spans="1:45" ht="13.5">
      <c r="A65" s="1277" t="s">
        <v>42</v>
      </c>
      <c r="B65" s="1278">
        <v>1.19</v>
      </c>
      <c r="C65" s="1278">
        <v>1.24</v>
      </c>
      <c r="D65" s="1278">
        <v>1.2</v>
      </c>
      <c r="E65" s="1278">
        <v>1.17</v>
      </c>
      <c r="F65" s="1278">
        <v>1.17</v>
      </c>
      <c r="G65" s="1278">
        <v>1.17</v>
      </c>
      <c r="H65" s="1278">
        <v>1.7</v>
      </c>
      <c r="I65" s="1278">
        <v>1.7</v>
      </c>
      <c r="J65" s="1278">
        <v>2.25</v>
      </c>
      <c r="K65" s="1278">
        <v>2.7</v>
      </c>
      <c r="L65" s="1278">
        <v>5.95</v>
      </c>
      <c r="M65" s="1278">
        <v>5.95</v>
      </c>
      <c r="N65" s="1278">
        <v>5.95</v>
      </c>
      <c r="O65" s="1278">
        <v>6.3</v>
      </c>
      <c r="P65" s="1278">
        <v>6.63</v>
      </c>
      <c r="Q65" s="1278">
        <v>7.58</v>
      </c>
      <c r="R65" s="1278">
        <v>9.15</v>
      </c>
      <c r="S65" s="1278">
        <v>7.88</v>
      </c>
      <c r="T65" s="1278">
        <v>7.14</v>
      </c>
      <c r="U65" s="1279">
        <v>10.66</v>
      </c>
      <c r="V65" s="1280">
        <v>11.422499999999999</v>
      </c>
      <c r="W65" s="1280">
        <v>9.0124999999999993</v>
      </c>
      <c r="X65" s="1280">
        <v>11.86</v>
      </c>
      <c r="Y65" s="1280">
        <v>12.592499999999999</v>
      </c>
      <c r="Z65" s="1280">
        <v>15.345000000000001</v>
      </c>
      <c r="AA65" s="1280">
        <v>19.28</v>
      </c>
      <c r="AB65" s="1280">
        <v>17.885000000000002</v>
      </c>
      <c r="AC65" s="1280">
        <v>26.31</v>
      </c>
      <c r="AD65" s="1280">
        <v>18.350000000000001</v>
      </c>
      <c r="AE65" s="1280">
        <v>24.032499999999999</v>
      </c>
      <c r="AF65" s="1280">
        <v>28.692499999999999</v>
      </c>
      <c r="AG65" s="1280">
        <f>+'[1]Gasolinas 2012'!E19</f>
        <v>32.612499999999997</v>
      </c>
      <c r="AH65" s="1280">
        <f>+'[1]Gasolinas 2013'!E19</f>
        <v>32.93</v>
      </c>
      <c r="AI65" s="1280">
        <v>31.265000000000001</v>
      </c>
      <c r="AJ65" s="1280">
        <f>+'[1]Gasolinas 2015'!E20</f>
        <v>20.585000000000001</v>
      </c>
      <c r="AK65" s="1280">
        <f>+'[1]Gasolinas 2016'!E19</f>
        <v>13.803999999999998</v>
      </c>
      <c r="AL65" s="1280">
        <f>+'[1]Gasolinas 2017'!E19</f>
        <v>18.695</v>
      </c>
      <c r="AM65" s="1280">
        <f>++'[1]Gasolinas 2018'!E19</f>
        <v>21.282499999999999</v>
      </c>
      <c r="AN65" s="1280">
        <f>+'[1]Gasolinas 2019'!E19</f>
        <v>21.9375</v>
      </c>
      <c r="AO65" s="1280">
        <f>+'[1]Gasolinas 2020'!E18</f>
        <v>19.57</v>
      </c>
      <c r="AP65" s="1280">
        <v>20.53</v>
      </c>
      <c r="AQ65" s="1280">
        <v>30.195</v>
      </c>
      <c r="AR65" s="1280">
        <f>+'Gasolineras 2023'!E19</f>
        <v>34</v>
      </c>
      <c r="AS65" s="1280">
        <f>+'Gasolineras 2024'!E19</f>
        <v>31.677499999999998</v>
      </c>
    </row>
    <row r="66" spans="1:45" ht="13.5">
      <c r="A66" s="1273" t="s">
        <v>43</v>
      </c>
      <c r="B66" s="1274">
        <v>1.19</v>
      </c>
      <c r="C66" s="1274">
        <v>1.2186666666666668</v>
      </c>
      <c r="D66" s="1274">
        <v>1.2</v>
      </c>
      <c r="E66" s="1274">
        <v>1.17</v>
      </c>
      <c r="F66" s="1274">
        <v>1.17</v>
      </c>
      <c r="G66" s="1274">
        <v>1.17</v>
      </c>
      <c r="H66" s="1274"/>
      <c r="I66" s="1274"/>
      <c r="J66" s="1274"/>
      <c r="K66" s="1274"/>
      <c r="L66" s="1274"/>
      <c r="M66" s="1274"/>
      <c r="N66" s="1274"/>
      <c r="O66" s="1274"/>
      <c r="P66" s="1274"/>
      <c r="Q66" s="1274"/>
      <c r="R66" s="1274"/>
      <c r="S66" s="1274"/>
      <c r="T66" s="1274"/>
      <c r="U66" s="1275"/>
      <c r="V66" s="1276">
        <v>11.1975</v>
      </c>
      <c r="W66" s="1276">
        <v>9.1</v>
      </c>
      <c r="X66" s="1276">
        <v>13.125999999999999</v>
      </c>
      <c r="Y66" s="1276">
        <v>12.918000000000001</v>
      </c>
      <c r="Z66" s="1276">
        <v>16.25</v>
      </c>
      <c r="AA66" s="1276">
        <v>18.71</v>
      </c>
      <c r="AB66" s="1276">
        <v>18.9375</v>
      </c>
      <c r="AC66" s="1276">
        <v>28.042000000000002</v>
      </c>
      <c r="AD66" s="1276">
        <v>17.175999999999998</v>
      </c>
      <c r="AE66" s="1276">
        <v>24.288</v>
      </c>
      <c r="AF66" s="1276">
        <v>31.67</v>
      </c>
      <c r="AG66" s="1276">
        <f>+'[1]Gasolinas 2012'!E24</f>
        <v>33.197499999999998</v>
      </c>
      <c r="AH66" s="1276">
        <f>+'[1]Gasolinas 2013'!E24</f>
        <v>32.137499999999996</v>
      </c>
      <c r="AI66" s="1276">
        <v>30.948</v>
      </c>
      <c r="AJ66" s="1276">
        <f>+'[1]Gasolinas 2015'!E26</f>
        <v>20.968</v>
      </c>
      <c r="AK66" s="1276">
        <f>+'[1]Gasolinas 2016'!E24</f>
        <v>15.5725</v>
      </c>
      <c r="AL66" s="1276">
        <f>+'[1]Gasolinas 2017'!E24</f>
        <v>18.43</v>
      </c>
      <c r="AM66" s="1276">
        <f>+'[1]Gasolinas 2018'!E24</f>
        <v>20.9725</v>
      </c>
      <c r="AN66" s="1276">
        <f>+'[1]Gasolinas 2019'!E24</f>
        <v>22.7075</v>
      </c>
      <c r="AO66" s="1276">
        <v>18.079999999999998</v>
      </c>
      <c r="AP66" s="1276">
        <v>22.268000000000001</v>
      </c>
      <c r="AQ66" s="1276">
        <v>37.049999999999997</v>
      </c>
      <c r="AR66" s="1276">
        <f>+'Gasolineras 2023'!E24</f>
        <v>31.662500000000001</v>
      </c>
      <c r="AS66" s="1276">
        <f>+'Gasolineras 2024'!E24</f>
        <v>30.9725</v>
      </c>
    </row>
    <row r="67" spans="1:45" ht="13.5">
      <c r="A67" s="1281" t="s">
        <v>44</v>
      </c>
      <c r="B67" s="1282">
        <v>1.19</v>
      </c>
      <c r="C67" s="1282">
        <v>1.2</v>
      </c>
      <c r="D67" s="1282">
        <v>1.2</v>
      </c>
      <c r="E67" s="1282">
        <v>1.17</v>
      </c>
      <c r="F67" s="1282">
        <v>1.17</v>
      </c>
      <c r="G67" s="1282">
        <v>1.17</v>
      </c>
      <c r="H67" s="1282">
        <v>1.7</v>
      </c>
      <c r="I67" s="1282">
        <v>1.7</v>
      </c>
      <c r="J67" s="1282">
        <v>2.25</v>
      </c>
      <c r="K67" s="1282">
        <v>2.8</v>
      </c>
      <c r="L67" s="1282">
        <v>5.95</v>
      </c>
      <c r="M67" s="1282">
        <v>5.95</v>
      </c>
      <c r="N67" s="1282">
        <v>5.95</v>
      </c>
      <c r="O67" s="1282">
        <v>6.26</v>
      </c>
      <c r="P67" s="1282">
        <v>6.62</v>
      </c>
      <c r="Q67" s="1282">
        <v>8.0500000000000007</v>
      </c>
      <c r="R67" s="1282">
        <v>8.66</v>
      </c>
      <c r="S67" s="1282">
        <v>7.81</v>
      </c>
      <c r="T67" s="1282">
        <v>7.9</v>
      </c>
      <c r="U67" s="1283">
        <v>10.43</v>
      </c>
      <c r="V67" s="1284">
        <v>10.9625</v>
      </c>
      <c r="W67" s="1284">
        <v>9.7440000000000015</v>
      </c>
      <c r="X67" s="1284">
        <v>12.6325</v>
      </c>
      <c r="Y67" s="1284">
        <v>12.54</v>
      </c>
      <c r="Z67" s="1284">
        <v>18.0075</v>
      </c>
      <c r="AA67" s="1284">
        <v>19.625</v>
      </c>
      <c r="AB67" s="1284">
        <v>20.48</v>
      </c>
      <c r="AC67" s="1284">
        <v>30.682500000000001</v>
      </c>
      <c r="AD67" s="1284">
        <f>+'[1]Gasolinas 2009'!D33</f>
        <v>17.674999999999997</v>
      </c>
      <c r="AE67" s="1284">
        <v>24.932500000000001</v>
      </c>
      <c r="AF67" s="1284">
        <v>32.515000000000001</v>
      </c>
      <c r="AG67" s="1284">
        <f>+'[1]Gasolinas 2012'!E30</f>
        <v>33.010000000000005</v>
      </c>
      <c r="AH67" s="1284">
        <f>+'[1]Gasolinas 2013'!E30</f>
        <v>30.1</v>
      </c>
      <c r="AI67" s="1284">
        <f>+'[1]Gasolinas 2014'!D29</f>
        <v>33.587499999999999</v>
      </c>
      <c r="AJ67" s="1284">
        <f>+'[1]Gasolinas 2015'!E31</f>
        <v>20.844999999999999</v>
      </c>
      <c r="AK67" s="1284">
        <f>+'[1]Gasolinas 2016'!E29</f>
        <v>15.9025</v>
      </c>
      <c r="AL67" s="1284">
        <f>+'[1]Gasolinas 2017'!E29</f>
        <v>18.424999999999997</v>
      </c>
      <c r="AM67" s="1284">
        <f>+'[1]Gasolinas 2018'!E29</f>
        <v>22.090000000000003</v>
      </c>
      <c r="AN67" s="1284">
        <f>+'[1]Gasolinas 2019'!E30</f>
        <v>22.794000000000004</v>
      </c>
      <c r="AO67" s="1284">
        <f>+'[1]Gasolinas 2020'!E29</f>
        <v>15.952499999999999</v>
      </c>
      <c r="AP67" s="1284">
        <v>21.767500000000002</v>
      </c>
      <c r="AQ67" s="1284">
        <v>33.9</v>
      </c>
      <c r="AR67" s="1284">
        <f>+'Gasolineras 2023'!E29</f>
        <v>30.767500000000002</v>
      </c>
      <c r="AS67" s="1284">
        <f>+'Gasolineras 2024'!E30</f>
        <v>30.788</v>
      </c>
    </row>
    <row r="68" spans="1:45" ht="13.5">
      <c r="A68" s="1273" t="s">
        <v>45</v>
      </c>
      <c r="B68" s="1274">
        <v>1.19</v>
      </c>
      <c r="C68" s="1274">
        <v>1.2</v>
      </c>
      <c r="D68" s="1274">
        <v>1.2</v>
      </c>
      <c r="E68" s="1274">
        <v>1.17</v>
      </c>
      <c r="F68" s="1274">
        <v>1.17</v>
      </c>
      <c r="G68" s="1274">
        <v>1.17</v>
      </c>
      <c r="H68" s="1274">
        <v>1.7</v>
      </c>
      <c r="I68" s="1274">
        <v>1.7</v>
      </c>
      <c r="J68" s="1274">
        <v>2.25</v>
      </c>
      <c r="K68" s="1274">
        <v>2.8</v>
      </c>
      <c r="L68" s="1274">
        <v>5.95</v>
      </c>
      <c r="M68" s="1274">
        <v>5.95</v>
      </c>
      <c r="N68" s="1274">
        <v>5.95</v>
      </c>
      <c r="O68" s="1274">
        <v>6.48</v>
      </c>
      <c r="P68" s="1274">
        <v>6.78</v>
      </c>
      <c r="Q68" s="1274">
        <v>8.14</v>
      </c>
      <c r="R68" s="1274">
        <v>8.43</v>
      </c>
      <c r="S68" s="1274">
        <v>7.85</v>
      </c>
      <c r="T68" s="1274">
        <v>8.1300000000000008</v>
      </c>
      <c r="U68" s="1275">
        <v>10.27</v>
      </c>
      <c r="V68" s="1276">
        <v>11.0175</v>
      </c>
      <c r="W68" s="1276">
        <v>9.7974999999999994</v>
      </c>
      <c r="X68" s="1276">
        <v>11.1275</v>
      </c>
      <c r="Y68" s="1276">
        <v>12.698000000000002</v>
      </c>
      <c r="Z68" s="1276">
        <v>18.504000000000001</v>
      </c>
      <c r="AA68" s="1276">
        <v>20.603999999999999</v>
      </c>
      <c r="AB68" s="1276">
        <v>21.082000000000001</v>
      </c>
      <c r="AC68" s="1276">
        <v>32.57</v>
      </c>
      <c r="AD68" s="1276">
        <f>+'[1]Gasolinas 2009'!D38</f>
        <v>19.8125</v>
      </c>
      <c r="AE68" s="1276">
        <v>24.848000000000003</v>
      </c>
      <c r="AF68" s="1276">
        <v>32.271999999999998</v>
      </c>
      <c r="AG68" s="1276">
        <f>+'[1]Gasolinas 2012'!E35</f>
        <v>31.660000000000004</v>
      </c>
      <c r="AH68" s="1276">
        <f>+'[1]Gasolinas 2013'!E35</f>
        <v>29.355</v>
      </c>
      <c r="AI68" s="1276">
        <f>+'[1]Gasolinas 2014'!E34</f>
        <v>31.155000000000001</v>
      </c>
      <c r="AJ68" s="1276">
        <f>+'[1]Gasolinas 2015'!E36</f>
        <v>22.094999999999999</v>
      </c>
      <c r="AK68" s="1276">
        <f>+'[1]Gasolinas 2016'!E35</f>
        <v>17.002000000000002</v>
      </c>
      <c r="AL68" s="1276">
        <f>+'[1]Gasolinas 2017'!E35</f>
        <v>17.762</v>
      </c>
      <c r="AM68" s="1276">
        <f>+'[1]Gasolinas 2018'!E35</f>
        <v>23.201999999999998</v>
      </c>
      <c r="AN68" s="1276">
        <f>+'[1]Gasolinas 2019'!E35</f>
        <v>22.83</v>
      </c>
      <c r="AO68" s="1276">
        <f>+'[1]Gasolinas 2020'!E34</f>
        <v>15.058499999999999</v>
      </c>
      <c r="AP68" s="1276">
        <v>22.713999999999999</v>
      </c>
      <c r="AQ68" s="1276">
        <v>35.79</v>
      </c>
      <c r="AR68" s="1276">
        <f>+'Gasolineras 2023'!E35</f>
        <v>28.442</v>
      </c>
      <c r="AS68" s="1276">
        <f>+'Gasolineras 2024'!E35</f>
        <v>29.197499999999998</v>
      </c>
    </row>
    <row r="69" spans="1:45" ht="13.5">
      <c r="A69" s="1281" t="s">
        <v>46</v>
      </c>
      <c r="B69" s="1282">
        <v>1.19</v>
      </c>
      <c r="C69" s="1282">
        <v>1.2</v>
      </c>
      <c r="D69" s="1282">
        <v>1.2</v>
      </c>
      <c r="E69" s="1282">
        <v>1.17</v>
      </c>
      <c r="F69" s="1282">
        <v>1.17</v>
      </c>
      <c r="G69" s="1282">
        <v>1.5409999999999999</v>
      </c>
      <c r="H69" s="1282">
        <v>1.7</v>
      </c>
      <c r="I69" s="1282">
        <v>1.7</v>
      </c>
      <c r="J69" s="1282">
        <v>2.25</v>
      </c>
      <c r="K69" s="1282">
        <v>2.8</v>
      </c>
      <c r="L69" s="1282">
        <v>5.95</v>
      </c>
      <c r="M69" s="1282">
        <v>5.95</v>
      </c>
      <c r="N69" s="1282">
        <v>5.95</v>
      </c>
      <c r="O69" s="1282">
        <v>6.46</v>
      </c>
      <c r="P69" s="1282">
        <v>6.77</v>
      </c>
      <c r="Q69" s="1282">
        <v>8.02</v>
      </c>
      <c r="R69" s="1282">
        <v>8.4499999999999993</v>
      </c>
      <c r="S69" s="1282">
        <v>7.78</v>
      </c>
      <c r="T69" s="1282">
        <v>8.1199999999999992</v>
      </c>
      <c r="U69" s="1283">
        <v>10.27</v>
      </c>
      <c r="V69" s="1284">
        <v>10.932499999999999</v>
      </c>
      <c r="W69" s="1284">
        <v>9.7249999999999996</v>
      </c>
      <c r="X69" s="1284">
        <v>9.91</v>
      </c>
      <c r="Y69" s="1284">
        <v>12.567500000000001</v>
      </c>
      <c r="Z69" s="1284">
        <v>17.247499999999999</v>
      </c>
      <c r="AA69" s="1284">
        <v>20.69</v>
      </c>
      <c r="AB69" s="1284">
        <v>21.53</v>
      </c>
      <c r="AC69" s="1284">
        <v>36.397500000000001</v>
      </c>
      <c r="AD69" s="1284">
        <f>+'[1]Gasolinas 2009'!D44</f>
        <v>20.667999999999999</v>
      </c>
      <c r="AE69" s="1284">
        <v>23.182500000000001</v>
      </c>
      <c r="AF69" s="1284">
        <v>31.285</v>
      </c>
      <c r="AG69" s="1284">
        <f>+'[1]Gasolinas 2012'!E40</f>
        <v>29.202500000000001</v>
      </c>
      <c r="AH69" s="1284">
        <f>+'[1]Gasolinas 2013'!E40</f>
        <v>28.675000000000001</v>
      </c>
      <c r="AI69" s="1284">
        <f>+'[1]Gasolinas 2014'!E39</f>
        <v>31.037500000000001</v>
      </c>
      <c r="AJ69" s="1284">
        <f>+'[1]Gasolinas 2015'!E41</f>
        <v>21.565000000000001</v>
      </c>
      <c r="AK69" s="1284">
        <f>+'[1]Gasolinas 2016'!E40</f>
        <v>17.982500000000002</v>
      </c>
      <c r="AL69" s="1284">
        <f>+'[1]Gasolinas 2017'!E40</f>
        <v>17.327500000000001</v>
      </c>
      <c r="AM69" s="1284">
        <f>+'[1]Gasolinas 2018'!E40</f>
        <v>22.965000000000003</v>
      </c>
      <c r="AN69" s="1284">
        <f>+'[1]Gasolinas 2019'!E40</f>
        <v>21.63</v>
      </c>
      <c r="AO69" s="1284">
        <f>+'[1]Gasolinas 2020'!E40</f>
        <v>16.393826370990659</v>
      </c>
      <c r="AP69" s="1284">
        <v>23.23</v>
      </c>
      <c r="AQ69" s="1284">
        <f>+'Gasolineras 2022'!E40</f>
        <v>36.164999999999999</v>
      </c>
      <c r="AR69" s="1284">
        <f>+'Gasolineras 2023'!E40</f>
        <v>27.5275</v>
      </c>
      <c r="AS69" s="1284">
        <v>28.42</v>
      </c>
    </row>
    <row r="70" spans="1:45" ht="13.5">
      <c r="A70" s="1273" t="s">
        <v>47</v>
      </c>
      <c r="B70" s="1274">
        <v>1.24</v>
      </c>
      <c r="C70" s="1274">
        <v>1.2</v>
      </c>
      <c r="D70" s="1274">
        <v>1.196</v>
      </c>
      <c r="E70" s="1274">
        <v>1.17</v>
      </c>
      <c r="F70" s="1274">
        <v>1.17</v>
      </c>
      <c r="G70" s="1274">
        <v>1.7</v>
      </c>
      <c r="H70" s="1274">
        <v>1.7</v>
      </c>
      <c r="I70" s="1274">
        <v>2.35</v>
      </c>
      <c r="J70" s="1274">
        <v>2.25</v>
      </c>
      <c r="K70" s="1274">
        <v>2.8</v>
      </c>
      <c r="L70" s="1274">
        <v>5.95</v>
      </c>
      <c r="M70" s="1274">
        <v>5.95</v>
      </c>
      <c r="N70" s="1274">
        <v>5.95</v>
      </c>
      <c r="O70" s="1274">
        <v>6.46</v>
      </c>
      <c r="P70" s="1274">
        <v>6.61</v>
      </c>
      <c r="Q70" s="1274">
        <v>7.9</v>
      </c>
      <c r="R70" s="1274">
        <v>8.2799999999999994</v>
      </c>
      <c r="S70" s="1274">
        <v>7.58</v>
      </c>
      <c r="T70" s="1274">
        <v>8.2799999999999994</v>
      </c>
      <c r="U70" s="1275">
        <v>10.46</v>
      </c>
      <c r="V70" s="1276">
        <v>10.698</v>
      </c>
      <c r="W70" s="1276">
        <v>9.8780000000000001</v>
      </c>
      <c r="X70" s="1276">
        <v>9.9079999999999995</v>
      </c>
      <c r="Y70" s="1276">
        <v>12.5525</v>
      </c>
      <c r="Z70" s="1276">
        <v>17.247499999999999</v>
      </c>
      <c r="AA70" s="1276">
        <v>20.76</v>
      </c>
      <c r="AB70" s="1276">
        <v>21.622499999999999</v>
      </c>
      <c r="AC70" s="1276">
        <v>37.167999999999999</v>
      </c>
      <c r="AD70" s="1276">
        <v>20.752000000000002</v>
      </c>
      <c r="AE70" s="1276">
        <v>23.3825</v>
      </c>
      <c r="AF70" s="1276">
        <v>31.477499999999999</v>
      </c>
      <c r="AG70" s="1276">
        <f>+'[1]Gasolinas 2012'!E84</f>
        <v>29.806000000000001</v>
      </c>
      <c r="AH70" s="1276">
        <f>+'[1]Gasolinas 2013'!E84</f>
        <v>30.983999999999998</v>
      </c>
      <c r="AI70" s="1276">
        <f>+'[1]Gasolinas 2014'!E45</f>
        <v>30.934000000000005</v>
      </c>
      <c r="AJ70" s="1276">
        <f>+'[1]Gasolinas 2015'!E47</f>
        <v>20.338000000000001</v>
      </c>
      <c r="AK70" s="1276">
        <f>+'[1]Gasolinas 2016'!E45</f>
        <v>17.145000000000003</v>
      </c>
      <c r="AL70" s="1276">
        <f>+'[1]Gasolinas 2017'!E46</f>
        <v>17.472000000000001</v>
      </c>
      <c r="AM70" s="1276">
        <f>+'[1]Gasolinas 2018'!E46</f>
        <v>22.928000000000001</v>
      </c>
      <c r="AN70" s="1276">
        <f>+'[1]Gasolinas 2019'!E46</f>
        <v>21.854000000000003</v>
      </c>
      <c r="AO70" s="1276">
        <f>+'[1]Gasolinas 2020'!E45</f>
        <v>17.3825</v>
      </c>
      <c r="AP70" s="1276">
        <v>23.635000000000005</v>
      </c>
      <c r="AQ70" s="1276">
        <f>+'Gasolineras 2022'!E45</f>
        <v>32.337499999999999</v>
      </c>
      <c r="AR70" s="1276">
        <f>+'Gasolineras 2023'!E46</f>
        <v>28.904000000000003</v>
      </c>
      <c r="AS70" s="1276">
        <v>29.24</v>
      </c>
    </row>
    <row r="71" spans="1:45" ht="13.5">
      <c r="A71" s="1281" t="s">
        <v>48</v>
      </c>
      <c r="B71" s="1282">
        <v>1.24</v>
      </c>
      <c r="C71" s="1282">
        <v>1.2</v>
      </c>
      <c r="D71" s="1282">
        <v>1.17</v>
      </c>
      <c r="E71" s="1282">
        <v>1.17</v>
      </c>
      <c r="F71" s="1282">
        <v>1.17</v>
      </c>
      <c r="G71" s="1282">
        <v>1.7</v>
      </c>
      <c r="H71" s="1282">
        <v>1.7</v>
      </c>
      <c r="I71" s="1282">
        <v>2.25</v>
      </c>
      <c r="J71" s="1282">
        <v>2.31</v>
      </c>
      <c r="K71" s="1282">
        <v>2.8</v>
      </c>
      <c r="L71" s="1282">
        <v>5.95</v>
      </c>
      <c r="M71" s="1282">
        <v>5.95</v>
      </c>
      <c r="N71" s="1282">
        <v>5.95</v>
      </c>
      <c r="O71" s="1282">
        <v>6.47</v>
      </c>
      <c r="P71" s="1282">
        <v>6.53</v>
      </c>
      <c r="Q71" s="1282">
        <v>7.89</v>
      </c>
      <c r="R71" s="1282">
        <v>8.2200000000000006</v>
      </c>
      <c r="S71" s="1282">
        <v>7.45</v>
      </c>
      <c r="T71" s="1282">
        <v>8.6</v>
      </c>
      <c r="U71" s="1283">
        <v>10.43</v>
      </c>
      <c r="V71" s="1284">
        <v>10.503</v>
      </c>
      <c r="W71" s="1284">
        <v>10.28</v>
      </c>
      <c r="X71" s="1284">
        <v>10.477499999999999</v>
      </c>
      <c r="Y71" s="1284">
        <v>12.952500000000001</v>
      </c>
      <c r="Z71" s="1284">
        <v>17.795999999999999</v>
      </c>
      <c r="AA71" s="1284">
        <v>21.5625</v>
      </c>
      <c r="AB71" s="1284">
        <v>21.834</v>
      </c>
      <c r="AC71" s="1284">
        <v>35.337499999999999</v>
      </c>
      <c r="AD71" s="1284">
        <v>21.748000000000001</v>
      </c>
      <c r="AE71" s="1284">
        <v>23.598000000000003</v>
      </c>
      <c r="AF71" s="1284">
        <v>31.603999999999996</v>
      </c>
      <c r="AG71" s="1284">
        <f>+'[1]Gasolinas 2012'!E89</f>
        <v>31.862500000000001</v>
      </c>
      <c r="AH71" s="1284">
        <f>+'[1]Gasolinas 2013'!E89</f>
        <v>31.395</v>
      </c>
      <c r="AI71" s="1284">
        <f>+'[1]Gasolinas 2014'!E50</f>
        <v>30.414999999999999</v>
      </c>
      <c r="AJ71" s="1284">
        <f>+'[1]Gasolinas 2015'!E53</f>
        <v>18.238</v>
      </c>
      <c r="AK71" s="1284">
        <f>+'[1]Gasolinas 2016'!E51</f>
        <v>16.971999999999998</v>
      </c>
      <c r="AL71" s="1284">
        <f>+'[1]Gasolinas 2017'!E51</f>
        <v>18.434999999999999</v>
      </c>
      <c r="AM71" s="1284">
        <f>+'[1]Gasolinas 2018'!E51</f>
        <v>22.9175</v>
      </c>
      <c r="AN71" s="1284">
        <f>+'[1]Gasolinas 2019'!E51</f>
        <v>21.107500000000002</v>
      </c>
      <c r="AO71" s="1284">
        <f>+'[1]Gasolinas 2020'!E51</f>
        <v>17.606000000000002</v>
      </c>
      <c r="AP71" s="1284">
        <v>23.890000000000004</v>
      </c>
      <c r="AQ71" s="1284">
        <f>+'Gasolineras 2022'!E51</f>
        <v>34.841999999999999</v>
      </c>
      <c r="AR71" s="1284">
        <f>+'Gasolineras 2023'!E51</f>
        <v>32.862499999999997</v>
      </c>
      <c r="AS71" s="1284">
        <f>+'Gasolineras 2024'!E51</f>
        <v>28.35</v>
      </c>
    </row>
    <row r="72" spans="1:45" ht="13.5">
      <c r="A72" s="1273" t="s">
        <v>49</v>
      </c>
      <c r="B72" s="1274">
        <v>1.24</v>
      </c>
      <c r="C72" s="1274">
        <v>1.2</v>
      </c>
      <c r="D72" s="1274">
        <v>1.17</v>
      </c>
      <c r="E72" s="1274">
        <v>1.17</v>
      </c>
      <c r="F72" s="1274">
        <v>1.17</v>
      </c>
      <c r="G72" s="1274">
        <v>1.7</v>
      </c>
      <c r="H72" s="1274">
        <v>1.7</v>
      </c>
      <c r="I72" s="1274">
        <v>2.25</v>
      </c>
      <c r="J72" s="1274">
        <v>2.31</v>
      </c>
      <c r="K72" s="1274">
        <v>2.8</v>
      </c>
      <c r="L72" s="1274">
        <v>5.95</v>
      </c>
      <c r="M72" s="1274">
        <v>5.95</v>
      </c>
      <c r="N72" s="1274">
        <v>5.95</v>
      </c>
      <c r="O72" s="1274">
        <v>6.52</v>
      </c>
      <c r="P72" s="1274">
        <v>6.65</v>
      </c>
      <c r="Q72" s="1274">
        <v>7.99</v>
      </c>
      <c r="R72" s="1274">
        <v>8.31</v>
      </c>
      <c r="S72" s="1274">
        <v>7.35</v>
      </c>
      <c r="T72" s="1274">
        <v>8.99</v>
      </c>
      <c r="U72" s="1275">
        <v>11.04</v>
      </c>
      <c r="V72" s="1276">
        <v>10.595000000000001</v>
      </c>
      <c r="W72" s="1276">
        <v>10.244</v>
      </c>
      <c r="X72" s="1276">
        <v>11.144</v>
      </c>
      <c r="Y72" s="1276">
        <v>13.875</v>
      </c>
      <c r="Z72" s="1276">
        <v>19.055</v>
      </c>
      <c r="AA72" s="1276">
        <v>21.155000000000001</v>
      </c>
      <c r="AB72" s="1276">
        <v>21.535</v>
      </c>
      <c r="AC72" s="1276">
        <v>32.873999999999995</v>
      </c>
      <c r="AD72" s="1276">
        <v>21.855</v>
      </c>
      <c r="AE72" s="1276">
        <v>22.89</v>
      </c>
      <c r="AF72" s="1276">
        <v>31.17</v>
      </c>
      <c r="AG72" s="1276">
        <f>+'[1]Gasolinas 2012'!E94</f>
        <v>33.504999999999995</v>
      </c>
      <c r="AH72" s="1276">
        <f>+'[1]Gasolinas 2013'!E95</f>
        <v>32.454000000000001</v>
      </c>
      <c r="AI72" s="1276">
        <f>+'[1]Gasolinas 2014'!E56</f>
        <v>29.528000000000002</v>
      </c>
      <c r="AJ72" s="1276">
        <f>+'[1]Gasolinas 2015'!E58</f>
        <v>18.432499999999997</v>
      </c>
      <c r="AK72" s="1276">
        <f>+'[1]Gasolinas 2016'!E56</f>
        <v>17.667499999999997</v>
      </c>
      <c r="AL72" s="1276">
        <f>+'[1]Gasolinas 2017'!E56</f>
        <v>19.182500000000001</v>
      </c>
      <c r="AM72" s="1276">
        <f>+'[1]Gasolinas 2018'!E56</f>
        <v>23.837499999999999</v>
      </c>
      <c r="AN72" s="1276">
        <f>+'[1]Gasolinas 2019'!E57</f>
        <v>21.832000000000001</v>
      </c>
      <c r="AO72" s="1276">
        <f>+'[1]Gasolinas 2020'!E56</f>
        <v>16.509999999999998</v>
      </c>
      <c r="AP72" s="1276">
        <v>24.585000000000001</v>
      </c>
      <c r="AQ72" s="1276">
        <f>+'Gasolineras 2022'!E56</f>
        <v>31.637500000000003</v>
      </c>
      <c r="AR72" s="1276">
        <f>+'Gasolineras 2023'!E56</f>
        <v>34.457499999999996</v>
      </c>
      <c r="AS72" s="1276">
        <f>+'Gasolineras 2024'!E57</f>
        <v>27.18</v>
      </c>
    </row>
    <row r="73" spans="1:45" ht="13.5">
      <c r="A73" s="1281" t="s">
        <v>50</v>
      </c>
      <c r="B73" s="1282">
        <v>1.24</v>
      </c>
      <c r="C73" s="1282">
        <v>1.2</v>
      </c>
      <c r="D73" s="1282">
        <v>1.17</v>
      </c>
      <c r="E73" s="1282">
        <v>1.17</v>
      </c>
      <c r="F73" s="1282">
        <v>1.17</v>
      </c>
      <c r="G73" s="1282">
        <v>1.7</v>
      </c>
      <c r="H73" s="1282">
        <v>1.7</v>
      </c>
      <c r="I73" s="1282">
        <v>2.25</v>
      </c>
      <c r="J73" s="1282">
        <v>2.31</v>
      </c>
      <c r="K73" s="1282">
        <v>2.8</v>
      </c>
      <c r="L73" s="1282">
        <v>5.95</v>
      </c>
      <c r="M73" s="1282">
        <v>5.95</v>
      </c>
      <c r="N73" s="1282">
        <v>5.95</v>
      </c>
      <c r="O73" s="1282">
        <v>6.58</v>
      </c>
      <c r="P73" s="1282">
        <v>6.71</v>
      </c>
      <c r="Q73" s="1282">
        <v>8.24</v>
      </c>
      <c r="R73" s="1282">
        <v>8.31</v>
      </c>
      <c r="S73" s="1282">
        <v>7.48</v>
      </c>
      <c r="T73" s="1282">
        <v>9.36</v>
      </c>
      <c r="U73" s="1283">
        <v>11.956</v>
      </c>
      <c r="V73" s="1284">
        <v>10.608000000000001</v>
      </c>
      <c r="W73" s="1284">
        <v>10.56</v>
      </c>
      <c r="X73" s="1284">
        <v>10.817500000000001</v>
      </c>
      <c r="Y73" s="1284">
        <v>15.805</v>
      </c>
      <c r="Z73" s="1284">
        <v>20.502000000000002</v>
      </c>
      <c r="AA73" s="1284">
        <v>19.91</v>
      </c>
      <c r="AB73" s="1284">
        <v>22.862000000000002</v>
      </c>
      <c r="AC73" s="1284">
        <v>29.344999999999999</v>
      </c>
      <c r="AD73" s="1284">
        <v>21.3825</v>
      </c>
      <c r="AE73" s="1284">
        <v>24.827999999999996</v>
      </c>
      <c r="AF73" s="1284">
        <v>30.836000000000002</v>
      </c>
      <c r="AG73" s="1284">
        <f>+'[1]Gasolinas 2012'!E100</f>
        <v>33</v>
      </c>
      <c r="AH73" s="1284">
        <f>+'[1]Gasolinas 2013'!E100</f>
        <v>31.32</v>
      </c>
      <c r="AI73" s="1284">
        <f>+'[1]Gasolinas 2014'!E61</f>
        <v>27.707500000000003</v>
      </c>
      <c r="AJ73" s="1284">
        <f>+'[1]Gasolinas 2015'!E63</f>
        <v>18.4725</v>
      </c>
      <c r="AK73" s="1284">
        <f>+'[1]Gasolinas 2016'!E62</f>
        <v>18.346</v>
      </c>
      <c r="AL73" s="1284">
        <f>+'[1]Gasolinas 2017'!E62</f>
        <v>19.975999999999999</v>
      </c>
      <c r="AM73" s="1284">
        <f>+'[1]Gasolinas 2018'!E62</f>
        <v>25.044</v>
      </c>
      <c r="AN73" s="1284">
        <f>+'[1]Gasolinas 2019'!E62</f>
        <v>22.0625</v>
      </c>
      <c r="AO73" s="1284">
        <v>16.1525</v>
      </c>
      <c r="AP73" s="1284">
        <v>26.47</v>
      </c>
      <c r="AQ73" s="1284">
        <f>+'Gasolineras 2022'!E61</f>
        <v>39.18</v>
      </c>
      <c r="AR73" s="1284">
        <v>34.729999999999997</v>
      </c>
      <c r="AS73" s="1284">
        <f>+'Gasolineras 2024'!E62</f>
        <v>27.2</v>
      </c>
    </row>
    <row r="74" spans="1:45" ht="13.5">
      <c r="A74" s="1273" t="s">
        <v>51</v>
      </c>
      <c r="B74" s="1274">
        <v>1.24</v>
      </c>
      <c r="C74" s="1274">
        <v>1.2</v>
      </c>
      <c r="D74" s="1274">
        <v>1.17</v>
      </c>
      <c r="E74" s="1274">
        <v>1.17</v>
      </c>
      <c r="F74" s="1274">
        <v>1.17</v>
      </c>
      <c r="G74" s="1274">
        <v>1.7</v>
      </c>
      <c r="H74" s="1274">
        <v>1.7</v>
      </c>
      <c r="I74" s="1274">
        <v>2.25</v>
      </c>
      <c r="J74" s="1274">
        <v>2.7</v>
      </c>
      <c r="K74" s="1274">
        <v>2.8</v>
      </c>
      <c r="L74" s="1274">
        <v>5.95</v>
      </c>
      <c r="M74" s="1274">
        <v>5.95</v>
      </c>
      <c r="N74" s="1274">
        <v>5.95</v>
      </c>
      <c r="O74" s="1274">
        <v>6.64</v>
      </c>
      <c r="P74" s="1274">
        <v>6.77</v>
      </c>
      <c r="Q74" s="1274">
        <v>8.7100000000000009</v>
      </c>
      <c r="R74" s="1274">
        <v>8.36</v>
      </c>
      <c r="S74" s="1274">
        <v>7.56</v>
      </c>
      <c r="T74" s="1274">
        <v>9.44</v>
      </c>
      <c r="U74" s="1275">
        <v>12.13</v>
      </c>
      <c r="V74" s="1276">
        <v>10.3925</v>
      </c>
      <c r="W74" s="1276">
        <f>+'[1]Gasolinas 2017'!I40</f>
        <v>16.445</v>
      </c>
      <c r="X74" s="1276">
        <v>10.98</v>
      </c>
      <c r="Y74" s="1276">
        <v>17.151999999999997</v>
      </c>
      <c r="Z74" s="1276">
        <v>21.08</v>
      </c>
      <c r="AA74" s="1276">
        <v>18.920000000000002</v>
      </c>
      <c r="AB74" s="1276">
        <v>25.157499999999999</v>
      </c>
      <c r="AC74" s="1276">
        <v>25.215</v>
      </c>
      <c r="AD74" s="1276">
        <v>23.5</v>
      </c>
      <c r="AE74" s="1276">
        <v>25.684000000000005</v>
      </c>
      <c r="AF74" s="1276">
        <v>32.217500000000001</v>
      </c>
      <c r="AG74" s="1276">
        <f>+'[1]Gasolinas 2012'!E105</f>
        <v>31.467500000000001</v>
      </c>
      <c r="AH74" s="1276">
        <f>+'[1]Gasolinas 2013'!I105</f>
        <v>30.477499999999999</v>
      </c>
      <c r="AI74" s="1276">
        <f>+'[1]Gasolinas 2014'!E66</f>
        <v>25.970000000000002</v>
      </c>
      <c r="AJ74" s="1276">
        <f>+'[1]Gasolinas 2015'!E69</f>
        <v>18.042000000000002</v>
      </c>
      <c r="AK74" s="1276">
        <f>+'[1]Gasolinas 2016'!E67</f>
        <v>17.987500000000001</v>
      </c>
      <c r="AL74" s="1276">
        <f>+'[1]Gasolinas 2017'!E67</f>
        <v>20.805</v>
      </c>
      <c r="AM74" s="1276">
        <f>+'[1]Gasolinas 2018'!E67</f>
        <v>23.7775</v>
      </c>
      <c r="AN74" s="1276">
        <f>+'[1]Gasolinas 2019'!E67</f>
        <v>21.795000000000002</v>
      </c>
      <c r="AO74" s="1276">
        <v>16.149999999999999</v>
      </c>
      <c r="AP74" s="1276">
        <v>27.071999999999996</v>
      </c>
      <c r="AQ74" s="1276">
        <f>+'Gasolineras 2022'!E67</f>
        <v>39.927999999999997</v>
      </c>
      <c r="AR74" s="1276">
        <f>+'Gasolineras 2023'!$E$67</f>
        <v>32.125</v>
      </c>
      <c r="AS74" s="1276"/>
    </row>
    <row r="75" spans="1:45" ht="13.5">
      <c r="A75" s="1281" t="s">
        <v>52</v>
      </c>
      <c r="B75" s="1282">
        <v>1.24</v>
      </c>
      <c r="C75" s="1282">
        <v>1.2</v>
      </c>
      <c r="D75" s="1282">
        <v>1.17</v>
      </c>
      <c r="E75" s="1282">
        <v>1.17</v>
      </c>
      <c r="F75" s="1282">
        <v>1.17</v>
      </c>
      <c r="G75" s="1282">
        <v>1.7</v>
      </c>
      <c r="H75" s="1282">
        <v>1.7</v>
      </c>
      <c r="I75" s="1282">
        <v>2.25</v>
      </c>
      <c r="J75" s="1282">
        <v>2.7</v>
      </c>
      <c r="K75" s="1282">
        <v>5.95</v>
      </c>
      <c r="L75" s="1282">
        <v>5.95</v>
      </c>
      <c r="M75" s="1282">
        <v>5.95</v>
      </c>
      <c r="N75" s="1282">
        <v>5.95</v>
      </c>
      <c r="O75" s="1282">
        <v>6.77</v>
      </c>
      <c r="P75" s="1282">
        <v>6.97</v>
      </c>
      <c r="Q75" s="1282">
        <v>8.89</v>
      </c>
      <c r="R75" s="1282">
        <v>8.58</v>
      </c>
      <c r="S75" s="1282">
        <v>7.35</v>
      </c>
      <c r="T75" s="1282">
        <v>10.1</v>
      </c>
      <c r="U75" s="1283">
        <v>12.205</v>
      </c>
      <c r="V75" s="1284">
        <v>9.7899999999999991</v>
      </c>
      <c r="W75" s="1284">
        <v>10.562000000000001</v>
      </c>
      <c r="X75" s="1284">
        <v>11.251999999999999</v>
      </c>
      <c r="Y75" s="1284">
        <v>16.877500000000001</v>
      </c>
      <c r="Z75" s="1284">
        <v>20.612500000000001</v>
      </c>
      <c r="AA75" s="1284">
        <v>18.805</v>
      </c>
      <c r="AB75" s="1284">
        <v>26.114999999999998</v>
      </c>
      <c r="AC75" s="1284">
        <v>21.212</v>
      </c>
      <c r="AD75" s="1284">
        <v>23.47</v>
      </c>
      <c r="AE75" s="1284">
        <v>26.88</v>
      </c>
      <c r="AF75" s="1284">
        <v>31.072500000000002</v>
      </c>
      <c r="AG75" s="1284">
        <f>+'[1]Gasolinas 2012'!E110</f>
        <v>32.715000000000003</v>
      </c>
      <c r="AH75" s="1284">
        <f>+'[1]Gasolinas 2013'!I111</f>
        <v>31.6</v>
      </c>
      <c r="AI75" s="1284">
        <f>+'[1]Gasolinas 2014'!E72</f>
        <v>23.097999999999999</v>
      </c>
      <c r="AJ75" s="1284">
        <f>+'[1]Gasolinas 2015'!E74</f>
        <v>16.255000000000003</v>
      </c>
      <c r="AK75" s="1284">
        <f>+'[1]Gasolinas 2016'!E72</f>
        <v>18.9175</v>
      </c>
      <c r="AL75" s="1284">
        <f>+'[1]Gasolinas 2017'!E72</f>
        <v>20.927500000000002</v>
      </c>
      <c r="AM75" s="1284">
        <f>+'[1]Gasolinas 2018'!E72</f>
        <v>21.597500000000004</v>
      </c>
      <c r="AN75" s="1284">
        <f>+'[1]Gasolinas 2019'!E73</f>
        <v>21.919999999999998</v>
      </c>
      <c r="AO75" s="1284">
        <f>+'[1]Gasolinas 2020'!E72</f>
        <v>18.37</v>
      </c>
      <c r="AP75" s="1284">
        <v>25.39</v>
      </c>
      <c r="AQ75" s="1284">
        <f>+'Gasolineras 2022'!E72</f>
        <v>35.562749999999994</v>
      </c>
      <c r="AR75" s="1284">
        <f>+'Gasolineras 2023'!E72</f>
        <v>30.305</v>
      </c>
      <c r="AS75" s="1284"/>
    </row>
    <row r="76" spans="1:45" ht="21" customHeight="1">
      <c r="A76" s="1288" t="s">
        <v>7</v>
      </c>
      <c r="B76" s="1289">
        <f t="shared" ref="B76:AQ76" si="4">AVERAGE(B64:B75)</f>
        <v>1.2150000000000001</v>
      </c>
      <c r="C76" s="1289">
        <f t="shared" si="4"/>
        <v>1.2082222222222219</v>
      </c>
      <c r="D76" s="1289">
        <f t="shared" si="4"/>
        <v>1.1871666666666667</v>
      </c>
      <c r="E76" s="1289">
        <f t="shared" si="4"/>
        <v>1.17</v>
      </c>
      <c r="F76" s="1289">
        <f t="shared" si="4"/>
        <v>1.17</v>
      </c>
      <c r="G76" s="1289">
        <f t="shared" si="4"/>
        <v>1.4659166666666665</v>
      </c>
      <c r="H76" s="1289">
        <f t="shared" si="4"/>
        <v>1.6999999999999995</v>
      </c>
      <c r="I76" s="1289">
        <f t="shared" si="4"/>
        <v>2.0090909090909093</v>
      </c>
      <c r="J76" s="1289">
        <f t="shared" si="4"/>
        <v>2.3481818181818181</v>
      </c>
      <c r="K76" s="1289">
        <f t="shared" si="4"/>
        <v>3.0681818181818188</v>
      </c>
      <c r="L76" s="1289">
        <f t="shared" si="4"/>
        <v>5.950000000000002</v>
      </c>
      <c r="M76" s="1289">
        <f t="shared" si="4"/>
        <v>5.950000000000002</v>
      </c>
      <c r="N76" s="1289">
        <f t="shared" si="4"/>
        <v>5.950000000000002</v>
      </c>
      <c r="O76" s="1289">
        <f t="shared" si="4"/>
        <v>6.4445454545454535</v>
      </c>
      <c r="P76" s="1289">
        <f t="shared" si="4"/>
        <v>6.6890909090909085</v>
      </c>
      <c r="Q76" s="1289">
        <f t="shared" si="4"/>
        <v>8.0727272727272723</v>
      </c>
      <c r="R76" s="1289">
        <f t="shared" si="4"/>
        <v>8.5309090909090912</v>
      </c>
      <c r="S76" s="1289">
        <f t="shared" si="4"/>
        <v>7.6700000000000008</v>
      </c>
      <c r="T76" s="1289">
        <f t="shared" si="4"/>
        <v>8.4727272727272709</v>
      </c>
      <c r="U76" s="1288">
        <f t="shared" si="4"/>
        <v>10.920999999999999</v>
      </c>
      <c r="V76" s="1290">
        <f t="shared" si="4"/>
        <v>10.813083333333331</v>
      </c>
      <c r="W76" s="1290">
        <f t="shared" si="4"/>
        <v>10.3865</v>
      </c>
      <c r="X76" s="1290">
        <f t="shared" si="4"/>
        <v>11.1775</v>
      </c>
      <c r="Y76" s="1290">
        <f t="shared" si="4"/>
        <v>13.680874999999999</v>
      </c>
      <c r="Z76" s="1290">
        <f t="shared" si="4"/>
        <v>18.131250000000005</v>
      </c>
      <c r="AA76" s="1290">
        <f t="shared" si="4"/>
        <v>19.986791666666665</v>
      </c>
      <c r="AB76" s="1290">
        <f t="shared" si="4"/>
        <v>21.494208333333333</v>
      </c>
      <c r="AC76" s="1290">
        <f t="shared" si="4"/>
        <v>30.116124999999997</v>
      </c>
      <c r="AD76" s="1290">
        <f t="shared" si="4"/>
        <v>20.491583333333331</v>
      </c>
      <c r="AE76" s="1290">
        <f t="shared" si="4"/>
        <v>24.419666666666668</v>
      </c>
      <c r="AF76" s="1290">
        <f t="shared" si="4"/>
        <v>31.051625000000001</v>
      </c>
      <c r="AG76" s="1290">
        <f t="shared" si="4"/>
        <v>31.929874999999999</v>
      </c>
      <c r="AH76" s="1290">
        <f t="shared" si="4"/>
        <v>31.143666666666672</v>
      </c>
      <c r="AI76" s="1290">
        <f t="shared" si="4"/>
        <v>29.805875</v>
      </c>
      <c r="AJ76" s="1290">
        <f t="shared" si="4"/>
        <v>19.625291666666666</v>
      </c>
      <c r="AK76" s="1290">
        <f t="shared" si="4"/>
        <v>16.813874999999999</v>
      </c>
      <c r="AL76" s="1290">
        <f t="shared" si="4"/>
        <v>18.882625000000001</v>
      </c>
      <c r="AM76" s="1290">
        <f t="shared" si="4"/>
        <v>22.686166666666669</v>
      </c>
      <c r="AN76" s="1290">
        <f t="shared" si="4"/>
        <v>21.933500000000006</v>
      </c>
      <c r="AO76" s="1290">
        <f t="shared" si="4"/>
        <v>17.430068864249218</v>
      </c>
      <c r="AP76" s="1290">
        <v>23.394916666666671</v>
      </c>
      <c r="AQ76" s="1290">
        <f t="shared" si="4"/>
        <v>34.499812499999997</v>
      </c>
      <c r="AR76" s="1290">
        <f>AVERAGE(AR64:AR75)</f>
        <v>31.880458333333337</v>
      </c>
      <c r="AS76" s="1290">
        <f>AVERAGE(AS64:AS75)</f>
        <v>29.31495</v>
      </c>
    </row>
    <row r="77" spans="1:45" ht="13.5">
      <c r="A77" s="1270"/>
      <c r="B77" s="1298"/>
      <c r="C77" s="1298"/>
      <c r="D77" s="1298"/>
      <c r="E77" s="1298"/>
      <c r="F77" s="1298"/>
      <c r="G77" s="1298"/>
      <c r="H77" s="1298"/>
      <c r="I77" s="1298"/>
      <c r="J77" s="1298"/>
      <c r="K77" s="1298"/>
      <c r="L77" s="1298"/>
      <c r="M77" s="1298"/>
      <c r="N77" s="1298"/>
      <c r="O77" s="1298"/>
      <c r="P77" s="1298"/>
      <c r="Q77" s="1298"/>
      <c r="R77" s="1298"/>
      <c r="S77" s="1298"/>
      <c r="T77" s="1298"/>
      <c r="U77" s="1298"/>
      <c r="V77" s="1298"/>
      <c r="W77" s="1303"/>
      <c r="X77" s="1303"/>
      <c r="Y77" s="1303"/>
      <c r="Z77" s="1303"/>
      <c r="AA77" s="1303"/>
      <c r="AB77" s="1303"/>
      <c r="AC77" s="1303"/>
      <c r="AD77" s="1303"/>
      <c r="AE77" s="1303"/>
      <c r="AF77" s="1303"/>
      <c r="AG77" s="1303"/>
      <c r="AH77" s="1303"/>
      <c r="AI77" s="1303"/>
      <c r="AJ77" s="1303"/>
      <c r="AK77" s="1272"/>
      <c r="AL77" s="1272"/>
      <c r="AM77" s="1272"/>
      <c r="AN77" s="1266"/>
      <c r="AO77" s="1266"/>
      <c r="AP77" s="1266"/>
      <c r="AQ77" s="1266"/>
      <c r="AR77" s="1305"/>
      <c r="AS77" s="1305"/>
    </row>
    <row r="78" spans="1:45" ht="13.5">
      <c r="A78" s="1626"/>
      <c r="B78" s="1626"/>
      <c r="C78" s="1626"/>
      <c r="D78" s="1626"/>
      <c r="E78" s="1626"/>
      <c r="F78" s="1626"/>
      <c r="G78" s="1626"/>
      <c r="H78" s="1626"/>
      <c r="I78" s="1626"/>
      <c r="J78" s="1626"/>
      <c r="K78" s="1626"/>
      <c r="L78" s="1626"/>
      <c r="M78" s="1626"/>
      <c r="N78" s="1626"/>
      <c r="O78" s="1626"/>
      <c r="P78" s="1626"/>
      <c r="Q78" s="1626"/>
      <c r="R78" s="1626"/>
      <c r="S78" s="1626"/>
      <c r="T78" s="1626"/>
      <c r="U78" s="1627"/>
      <c r="V78" s="1627"/>
      <c r="W78" s="1627"/>
      <c r="X78" s="1627"/>
      <c r="Y78" s="1627"/>
      <c r="Z78" s="1627"/>
      <c r="AA78" s="1627"/>
      <c r="AB78" s="1627"/>
      <c r="AC78" s="1627"/>
      <c r="AD78" s="1627"/>
      <c r="AE78" s="1627"/>
      <c r="AF78" s="1627"/>
      <c r="AG78" s="1627"/>
      <c r="AH78" s="1627"/>
      <c r="AI78" s="1627"/>
      <c r="AJ78" s="1627"/>
      <c r="AK78" s="1627"/>
      <c r="AL78" s="1304"/>
      <c r="AM78" s="1272"/>
      <c r="AN78" s="1266"/>
      <c r="AO78" s="1266"/>
      <c r="AP78" s="1266"/>
      <c r="AQ78" s="1266"/>
      <c r="AR78" s="1305"/>
      <c r="AS78" s="1305"/>
    </row>
    <row r="79" spans="1:45">
      <c r="AN79" s="1305"/>
      <c r="AR79" s="1305"/>
    </row>
    <row r="80" spans="1:45">
      <c r="AB80" s="1301"/>
    </row>
    <row r="81" spans="8:28" ht="16.5">
      <c r="H81" s="1306"/>
      <c r="I81" s="1306"/>
      <c r="J81" s="1306"/>
      <c r="K81" s="1306"/>
      <c r="L81" s="1306"/>
      <c r="M81" s="1306"/>
      <c r="N81" s="1306"/>
      <c r="O81" s="1306"/>
      <c r="P81" s="1306"/>
      <c r="Q81" s="1306"/>
      <c r="R81" s="1306"/>
      <c r="S81" s="1306"/>
      <c r="T81" s="1306"/>
      <c r="U81" s="1307"/>
      <c r="V81" s="1306"/>
      <c r="W81" s="1306"/>
      <c r="X81" s="1306"/>
      <c r="Y81" s="1306"/>
      <c r="Z81" s="1306"/>
      <c r="AA81" s="1306"/>
      <c r="AB81" s="1306"/>
    </row>
  </sheetData>
  <mergeCells count="190">
    <mergeCell ref="AQ62:AQ63"/>
    <mergeCell ref="A78:AK78"/>
    <mergeCell ref="AK62:AK63"/>
    <mergeCell ref="AL62:AL63"/>
    <mergeCell ref="AM62:AM63"/>
    <mergeCell ref="AN62:AN63"/>
    <mergeCell ref="AO62:AO63"/>
    <mergeCell ref="AP62:AP63"/>
    <mergeCell ref="AE62:AE63"/>
    <mergeCell ref="AF62:AF63"/>
    <mergeCell ref="AG62:AG63"/>
    <mergeCell ref="AH62:AH63"/>
    <mergeCell ref="AI62:AI63"/>
    <mergeCell ref="AJ62:AJ63"/>
    <mergeCell ref="Y62:Y63"/>
    <mergeCell ref="Z62:Z63"/>
    <mergeCell ref="AA62:AA63"/>
    <mergeCell ref="AB62:AB63"/>
    <mergeCell ref="AC62:AC63"/>
    <mergeCell ref="AD62:AD63"/>
    <mergeCell ref="S62:S63"/>
    <mergeCell ref="T62:T63"/>
    <mergeCell ref="U62:U63"/>
    <mergeCell ref="V62:V63"/>
    <mergeCell ref="W62:W63"/>
    <mergeCell ref="X62:X63"/>
    <mergeCell ref="M62:M63"/>
    <mergeCell ref="N62:N63"/>
    <mergeCell ref="O62:O63"/>
    <mergeCell ref="P62:P63"/>
    <mergeCell ref="Q62:Q63"/>
    <mergeCell ref="R62:R63"/>
    <mergeCell ref="G62:G63"/>
    <mergeCell ref="H62:H63"/>
    <mergeCell ref="I62:I63"/>
    <mergeCell ref="J62:J63"/>
    <mergeCell ref="K62:K63"/>
    <mergeCell ref="L62:L63"/>
    <mergeCell ref="AP45:AP46"/>
    <mergeCell ref="AQ45:AQ46"/>
    <mergeCell ref="AF45:AF46"/>
    <mergeCell ref="AG45:AG46"/>
    <mergeCell ref="AH45:AH46"/>
    <mergeCell ref="AI45:AI46"/>
    <mergeCell ref="AJ45:AJ46"/>
    <mergeCell ref="AK45:AK46"/>
    <mergeCell ref="A62:A63"/>
    <mergeCell ref="B62:B63"/>
    <mergeCell ref="C62:C63"/>
    <mergeCell ref="D62:D63"/>
    <mergeCell ref="E62:E63"/>
    <mergeCell ref="F62:F63"/>
    <mergeCell ref="AL45:AL46"/>
    <mergeCell ref="AM45:AM46"/>
    <mergeCell ref="AN45:AN46"/>
    <mergeCell ref="Z45:Z46"/>
    <mergeCell ref="AA45:AA46"/>
    <mergeCell ref="AB45:AB46"/>
    <mergeCell ref="AC45:AC46"/>
    <mergeCell ref="AD45:AD46"/>
    <mergeCell ref="AE45:AE46"/>
    <mergeCell ref="T45:T46"/>
    <mergeCell ref="R45:R46"/>
    <mergeCell ref="S45:S46"/>
    <mergeCell ref="H45:H46"/>
    <mergeCell ref="I45:I46"/>
    <mergeCell ref="J45:J46"/>
    <mergeCell ref="K45:K46"/>
    <mergeCell ref="L45:L46"/>
    <mergeCell ref="M45:M46"/>
    <mergeCell ref="AO45:AO46"/>
    <mergeCell ref="U45:U46"/>
    <mergeCell ref="V45:V46"/>
    <mergeCell ref="W45:W46"/>
    <mergeCell ref="X45:X46"/>
    <mergeCell ref="Y45:Y46"/>
    <mergeCell ref="N45:N46"/>
    <mergeCell ref="O45:O46"/>
    <mergeCell ref="P45:P46"/>
    <mergeCell ref="AP27:AP28"/>
    <mergeCell ref="AQ27:AQ28"/>
    <mergeCell ref="A45:A46"/>
    <mergeCell ref="B45:B46"/>
    <mergeCell ref="C45:C46"/>
    <mergeCell ref="D45:D46"/>
    <mergeCell ref="E45:E46"/>
    <mergeCell ref="F45:F46"/>
    <mergeCell ref="G45:G46"/>
    <mergeCell ref="AJ27:AJ28"/>
    <mergeCell ref="AK27:AK28"/>
    <mergeCell ref="AL27:AL28"/>
    <mergeCell ref="AM27:AM28"/>
    <mergeCell ref="AN27:AN28"/>
    <mergeCell ref="AO27:AO28"/>
    <mergeCell ref="AD27:AD28"/>
    <mergeCell ref="AE27:AE28"/>
    <mergeCell ref="AF27:AF28"/>
    <mergeCell ref="AG27:AG28"/>
    <mergeCell ref="AH27:AH28"/>
    <mergeCell ref="AI27:AI28"/>
    <mergeCell ref="X27:X28"/>
    <mergeCell ref="Y27:Y28"/>
    <mergeCell ref="Q45:Q46"/>
    <mergeCell ref="Z27:Z28"/>
    <mergeCell ref="AA27:AA28"/>
    <mergeCell ref="AB27:AB28"/>
    <mergeCell ref="AC27:AC28"/>
    <mergeCell ref="R27:R28"/>
    <mergeCell ref="S27:S28"/>
    <mergeCell ref="T27:T28"/>
    <mergeCell ref="U27:U28"/>
    <mergeCell ref="V27:V28"/>
    <mergeCell ref="W27:W28"/>
    <mergeCell ref="L27:L28"/>
    <mergeCell ref="M27:M28"/>
    <mergeCell ref="N27:N28"/>
    <mergeCell ref="O27:O28"/>
    <mergeCell ref="P27:P28"/>
    <mergeCell ref="Q27:Q28"/>
    <mergeCell ref="F27:F28"/>
    <mergeCell ref="G27:G28"/>
    <mergeCell ref="H27:H28"/>
    <mergeCell ref="I27:I28"/>
    <mergeCell ref="J27:J28"/>
    <mergeCell ref="K27:K28"/>
    <mergeCell ref="P10:P11"/>
    <mergeCell ref="Q10:Q11"/>
    <mergeCell ref="R10:R11"/>
    <mergeCell ref="S10:S11"/>
    <mergeCell ref="AH10:AH11"/>
    <mergeCell ref="AI10:AI11"/>
    <mergeCell ref="AJ10:AJ11"/>
    <mergeCell ref="AK10:AK11"/>
    <mergeCell ref="AL10:AL11"/>
    <mergeCell ref="AA10:AA11"/>
    <mergeCell ref="AB10:AB11"/>
    <mergeCell ref="AC10:AC11"/>
    <mergeCell ref="AD10:AD11"/>
    <mergeCell ref="AE10:AE11"/>
    <mergeCell ref="AF10:AF11"/>
    <mergeCell ref="U10:U11"/>
    <mergeCell ref="V10:V11"/>
    <mergeCell ref="C27:C28"/>
    <mergeCell ref="D27:D28"/>
    <mergeCell ref="E27:E28"/>
    <mergeCell ref="AG10:AG11"/>
    <mergeCell ref="A1:AN1"/>
    <mergeCell ref="I10:I11"/>
    <mergeCell ref="J10:J11"/>
    <mergeCell ref="K10:K11"/>
    <mergeCell ref="L10:L11"/>
    <mergeCell ref="M10:M11"/>
    <mergeCell ref="N10:N11"/>
    <mergeCell ref="A10:A11"/>
    <mergeCell ref="B10:B11"/>
    <mergeCell ref="C10:C11"/>
    <mergeCell ref="D10:D11"/>
    <mergeCell ref="E10:E11"/>
    <mergeCell ref="F10:F11"/>
    <mergeCell ref="G10:G11"/>
    <mergeCell ref="H10:H11"/>
    <mergeCell ref="W10:W11"/>
    <mergeCell ref="X10:X11"/>
    <mergeCell ref="Y10:Y11"/>
    <mergeCell ref="Z10:Z11"/>
    <mergeCell ref="O10:O11"/>
    <mergeCell ref="AS10:AS11"/>
    <mergeCell ref="AS27:AS28"/>
    <mergeCell ref="AS45:AS46"/>
    <mergeCell ref="AS62:AS63"/>
    <mergeCell ref="AR10:AR11"/>
    <mergeCell ref="AR27:AR28"/>
    <mergeCell ref="AR45:AR46"/>
    <mergeCell ref="AR62:AR63"/>
    <mergeCell ref="A2:AR2"/>
    <mergeCell ref="A3:AR3"/>
    <mergeCell ref="A4:AR4"/>
    <mergeCell ref="A5:AR5"/>
    <mergeCell ref="A6:AR6"/>
    <mergeCell ref="A7:AR7"/>
    <mergeCell ref="A8:AR8"/>
    <mergeCell ref="A43:AQ43"/>
    <mergeCell ref="T10:T11"/>
    <mergeCell ref="AM10:AM11"/>
    <mergeCell ref="AN10:AN11"/>
    <mergeCell ref="AO10:AO11"/>
    <mergeCell ref="AP10:AP11"/>
    <mergeCell ref="AQ10:AQ11"/>
    <mergeCell ref="A27:A28"/>
    <mergeCell ref="B27:B28"/>
  </mergeCells>
  <printOptions horizontalCentered="1"/>
  <pageMargins left="0.97370078740157484" right="0.39370078740157483" top="1.1417322834645669" bottom="0.39370078740157483" header="0" footer="0"/>
  <pageSetup paperSize="9" scale="60" fitToHeight="2" orientation="landscape" r:id="rId1"/>
  <headerFooter alignWithMargins="0"/>
  <rowBreaks count="1" manualBreakCount="1">
    <brk id="42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05739-1C31-4F09-9FF7-C5ADB4847CB6}">
  <dimension ref="A1:AR85"/>
  <sheetViews>
    <sheetView view="pageBreakPreview" zoomScale="85" zoomScaleNormal="100" zoomScaleSheetLayoutView="85" workbookViewId="0">
      <selection activeCell="AS21" sqref="AS21"/>
    </sheetView>
  </sheetViews>
  <sheetFormatPr baseColWidth="10" defaultColWidth="11.42578125" defaultRowHeight="12.75"/>
  <cols>
    <col min="1" max="1" width="19.42578125" style="590" customWidth="1"/>
    <col min="2" max="6" width="8.7109375" style="590" hidden="1" customWidth="1"/>
    <col min="7" max="7" width="5.7109375" style="590" hidden="1" customWidth="1"/>
    <col min="8" max="8" width="8.28515625" style="590" hidden="1" customWidth="1"/>
    <col min="9" max="26" width="8.28515625" style="590" customWidth="1"/>
    <col min="27" max="28" width="8.7109375" style="590" customWidth="1"/>
    <col min="29" max="31" width="8.5703125" style="590" customWidth="1"/>
    <col min="32" max="16384" width="11.42578125" style="590"/>
  </cols>
  <sheetData>
    <row r="1" spans="1:43" ht="17.25" customHeight="1">
      <c r="A1" s="1629"/>
      <c r="B1" s="1630"/>
      <c r="C1" s="1630"/>
      <c r="D1" s="1630"/>
      <c r="E1" s="1630"/>
      <c r="F1" s="1630"/>
      <c r="G1" s="1630"/>
      <c r="H1" s="1630"/>
      <c r="I1" s="1630"/>
      <c r="J1" s="1630"/>
      <c r="K1" s="1630"/>
      <c r="L1" s="1630"/>
      <c r="M1" s="1630"/>
      <c r="N1" s="1630"/>
      <c r="O1" s="1630"/>
      <c r="P1" s="1630"/>
      <c r="Q1" s="1630"/>
      <c r="R1" s="1630"/>
      <c r="S1" s="1630"/>
      <c r="T1" s="1630"/>
      <c r="U1" s="1630"/>
      <c r="V1" s="1630"/>
      <c r="W1" s="1630"/>
      <c r="X1" s="1630"/>
      <c r="Y1" s="1631"/>
      <c r="Z1" s="1631"/>
      <c r="AA1" s="624"/>
      <c r="AB1" s="624"/>
      <c r="AC1" s="624"/>
      <c r="AD1" s="624"/>
      <c r="AE1" s="624"/>
      <c r="AF1" s="624"/>
      <c r="AG1" s="624"/>
      <c r="AH1" s="624"/>
      <c r="AI1" s="624"/>
      <c r="AJ1" s="624"/>
      <c r="AK1" s="624"/>
      <c r="AL1" s="624"/>
      <c r="AM1" s="624"/>
      <c r="AN1" s="624"/>
      <c r="AO1" s="624"/>
    </row>
    <row r="2" spans="1:43" ht="21.75" customHeight="1">
      <c r="A2" s="1611" t="s">
        <v>588</v>
      </c>
      <c r="B2" s="1611"/>
      <c r="C2" s="1611"/>
      <c r="D2" s="1611"/>
      <c r="E2" s="1611"/>
      <c r="F2" s="1611"/>
      <c r="G2" s="1611"/>
      <c r="H2" s="1611"/>
      <c r="I2" s="1611"/>
      <c r="J2" s="1611"/>
      <c r="K2" s="1611"/>
      <c r="L2" s="1611"/>
      <c r="M2" s="1611"/>
      <c r="N2" s="1611"/>
      <c r="O2" s="1611"/>
      <c r="P2" s="1611"/>
      <c r="Q2" s="1611"/>
      <c r="R2" s="1611"/>
      <c r="S2" s="1611"/>
      <c r="T2" s="1611"/>
      <c r="U2" s="1618"/>
      <c r="V2" s="1618"/>
      <c r="W2" s="1618"/>
      <c r="X2" s="1618"/>
      <c r="Y2" s="1618"/>
      <c r="Z2" s="1618"/>
      <c r="AA2" s="1632"/>
      <c r="AB2" s="1632"/>
      <c r="AC2" s="1632"/>
      <c r="AD2" s="1632"/>
      <c r="AE2" s="624"/>
      <c r="AF2" s="624"/>
      <c r="AG2" s="624"/>
      <c r="AH2" s="624"/>
      <c r="AI2" s="624"/>
      <c r="AJ2" s="624"/>
      <c r="AK2" s="624"/>
      <c r="AL2" s="624"/>
      <c r="AM2" s="624"/>
      <c r="AN2" s="624"/>
      <c r="AO2" s="624"/>
    </row>
    <row r="3" spans="1:43" ht="21" customHeight="1">
      <c r="A3" s="1611" t="s">
        <v>589</v>
      </c>
      <c r="B3" s="1611"/>
      <c r="C3" s="1611"/>
      <c r="D3" s="1611"/>
      <c r="E3" s="1611"/>
      <c r="F3" s="1611"/>
      <c r="G3" s="1611"/>
      <c r="H3" s="1611"/>
      <c r="I3" s="1611"/>
      <c r="J3" s="1611"/>
      <c r="K3" s="1611"/>
      <c r="L3" s="1611"/>
      <c r="M3" s="1611"/>
      <c r="N3" s="1611"/>
      <c r="O3" s="1611"/>
      <c r="P3" s="1611"/>
      <c r="Q3" s="1611"/>
      <c r="R3" s="1611"/>
      <c r="S3" s="1611"/>
      <c r="T3" s="1611"/>
      <c r="U3" s="1618"/>
      <c r="V3" s="1618"/>
      <c r="W3" s="1618"/>
      <c r="X3" s="1618"/>
      <c r="Y3" s="1618"/>
      <c r="Z3" s="1618"/>
      <c r="AA3" s="1632"/>
      <c r="AB3" s="1632"/>
      <c r="AC3" s="1632"/>
      <c r="AD3" s="1632"/>
      <c r="AE3" s="624"/>
      <c r="AF3" s="624"/>
      <c r="AG3" s="624"/>
      <c r="AH3" s="624"/>
      <c r="AI3" s="624"/>
      <c r="AJ3" s="624"/>
      <c r="AK3" s="624"/>
      <c r="AL3" s="624"/>
      <c r="AM3" s="624"/>
      <c r="AN3" s="624"/>
      <c r="AO3" s="624"/>
    </row>
    <row r="4" spans="1:43" ht="15.75" customHeight="1">
      <c r="A4" s="1633" t="s">
        <v>590</v>
      </c>
      <c r="B4" s="1634"/>
      <c r="C4" s="1634"/>
      <c r="D4" s="1634"/>
      <c r="E4" s="1634"/>
      <c r="F4" s="1634"/>
      <c r="G4" s="1634"/>
      <c r="H4" s="1634"/>
      <c r="I4" s="1634"/>
      <c r="J4" s="1634"/>
      <c r="K4" s="1634"/>
      <c r="L4" s="1634"/>
      <c r="M4" s="1634"/>
      <c r="N4" s="1634"/>
      <c r="O4" s="1634"/>
      <c r="P4" s="1634"/>
      <c r="Q4" s="1634"/>
      <c r="R4" s="1634"/>
      <c r="S4" s="1634"/>
      <c r="T4" s="1634"/>
      <c r="U4" s="1634"/>
      <c r="V4" s="1634"/>
      <c r="W4" s="1634"/>
      <c r="X4" s="1634"/>
      <c r="Y4" s="1635"/>
      <c r="Z4" s="1635"/>
      <c r="AA4" s="1632"/>
      <c r="AB4" s="1632"/>
      <c r="AC4" s="1632"/>
      <c r="AD4" s="1632"/>
      <c r="AE4" s="624"/>
      <c r="AF4" s="624"/>
      <c r="AG4" s="624"/>
      <c r="AH4" s="624"/>
      <c r="AI4" s="624"/>
      <c r="AJ4" s="624"/>
      <c r="AK4" s="624"/>
      <c r="AL4" s="624"/>
      <c r="AM4" s="624"/>
      <c r="AN4" s="624"/>
      <c r="AO4" s="624"/>
    </row>
    <row r="5" spans="1:43" s="1308" customFormat="1" ht="14.25" customHeight="1">
      <c r="A5" s="1636" t="s">
        <v>711</v>
      </c>
      <c r="B5" s="1637"/>
      <c r="C5" s="1637"/>
      <c r="D5" s="1637"/>
      <c r="E5" s="1637"/>
      <c r="F5" s="1637"/>
      <c r="G5" s="1637"/>
      <c r="H5" s="1637"/>
      <c r="I5" s="1637"/>
      <c r="J5" s="1637"/>
      <c r="K5" s="1637"/>
      <c r="L5" s="1637"/>
      <c r="M5" s="1637"/>
      <c r="N5" s="1637"/>
      <c r="O5" s="1637"/>
      <c r="P5" s="1637"/>
      <c r="Q5" s="1637"/>
      <c r="R5" s="1637"/>
      <c r="S5" s="1637"/>
      <c r="T5" s="1637"/>
      <c r="U5" s="1637"/>
      <c r="V5" s="1637"/>
      <c r="W5" s="1637"/>
      <c r="X5" s="1637"/>
      <c r="Y5" s="1638"/>
      <c r="Z5" s="1638"/>
      <c r="AA5" s="1639"/>
      <c r="AB5" s="1639"/>
      <c r="AC5" s="1639"/>
      <c r="AD5" s="1639"/>
      <c r="AE5" s="1641"/>
      <c r="AF5" s="1642"/>
      <c r="AG5" s="1642"/>
      <c r="AH5" s="1642"/>
      <c r="AI5" s="1642"/>
      <c r="AJ5" s="1642"/>
      <c r="AK5" s="1642"/>
      <c r="AL5" s="1642"/>
      <c r="AM5" s="1642"/>
      <c r="AN5" s="1642"/>
      <c r="AO5" s="1642"/>
    </row>
    <row r="6" spans="1:43" s="1308" customFormat="1" ht="15.75" customHeight="1">
      <c r="A6" s="1633" t="s">
        <v>592</v>
      </c>
      <c r="B6" s="1634"/>
      <c r="C6" s="1634"/>
      <c r="D6" s="1634"/>
      <c r="E6" s="1634"/>
      <c r="F6" s="1634"/>
      <c r="G6" s="1634"/>
      <c r="H6" s="1634"/>
      <c r="I6" s="1634"/>
      <c r="J6" s="1634"/>
      <c r="K6" s="1634"/>
      <c r="L6" s="1634"/>
      <c r="M6" s="1634"/>
      <c r="N6" s="1634"/>
      <c r="O6" s="1634"/>
      <c r="P6" s="1634"/>
      <c r="Q6" s="1634"/>
      <c r="R6" s="1634"/>
      <c r="S6" s="1634"/>
      <c r="T6" s="1634"/>
      <c r="U6" s="1634"/>
      <c r="V6" s="1634"/>
      <c r="W6" s="1634"/>
      <c r="X6" s="1634"/>
      <c r="Y6" s="1635"/>
      <c r="Z6" s="1635"/>
      <c r="AA6" s="1632"/>
      <c r="AB6" s="1632"/>
      <c r="AC6" s="1632"/>
      <c r="AD6" s="1632"/>
      <c r="AE6" s="624"/>
      <c r="AF6" s="624"/>
      <c r="AG6" s="624"/>
      <c r="AH6" s="624"/>
      <c r="AI6" s="624"/>
      <c r="AJ6" s="624"/>
      <c r="AK6" s="624"/>
      <c r="AL6" s="624"/>
      <c r="AM6" s="624"/>
      <c r="AN6" s="624"/>
      <c r="AO6" s="624"/>
    </row>
    <row r="7" spans="1:43" ht="16.5" customHeight="1">
      <c r="A7" s="1633" t="s">
        <v>728</v>
      </c>
      <c r="B7" s="1634"/>
      <c r="C7" s="1634"/>
      <c r="D7" s="1634"/>
      <c r="E7" s="1634"/>
      <c r="F7" s="1634"/>
      <c r="G7" s="1634"/>
      <c r="H7" s="1634"/>
      <c r="I7" s="1634"/>
      <c r="J7" s="1634"/>
      <c r="K7" s="1634"/>
      <c r="L7" s="1634"/>
      <c r="M7" s="1634"/>
      <c r="N7" s="1634"/>
      <c r="O7" s="1634"/>
      <c r="P7" s="1634"/>
      <c r="Q7" s="1634"/>
      <c r="R7" s="1634"/>
      <c r="S7" s="1634"/>
      <c r="T7" s="1634"/>
      <c r="U7" s="1634"/>
      <c r="V7" s="1634"/>
      <c r="W7" s="1634"/>
      <c r="X7" s="1634"/>
      <c r="Y7" s="1635"/>
      <c r="Z7" s="1635"/>
      <c r="AA7" s="1632"/>
      <c r="AB7" s="1632"/>
      <c r="AC7" s="1632"/>
      <c r="AD7" s="1632"/>
      <c r="AE7" s="624"/>
      <c r="AF7" s="624"/>
      <c r="AG7" s="624"/>
      <c r="AH7" s="624"/>
      <c r="AI7" s="624"/>
      <c r="AJ7" s="624"/>
      <c r="AK7" s="624"/>
      <c r="AL7" s="624"/>
      <c r="AM7" s="624"/>
      <c r="AN7" s="624"/>
      <c r="AO7" s="624"/>
    </row>
    <row r="8" spans="1:43" ht="19.5" customHeight="1">
      <c r="A8" s="1269" t="s">
        <v>671</v>
      </c>
      <c r="B8" s="1309"/>
      <c r="C8" s="1309"/>
      <c r="D8" s="1309"/>
      <c r="E8" s="1309"/>
      <c r="F8" s="1309"/>
      <c r="G8" s="1309"/>
      <c r="H8" s="1309"/>
      <c r="I8" s="1310"/>
      <c r="J8" s="1310"/>
      <c r="K8" s="1310"/>
      <c r="L8" s="1310"/>
      <c r="M8" s="1310"/>
      <c r="N8" s="1310"/>
      <c r="O8" s="1310"/>
      <c r="P8" s="1310"/>
      <c r="Q8" s="1310"/>
      <c r="R8" s="1310"/>
      <c r="S8" s="1310"/>
      <c r="T8" s="1310"/>
      <c r="U8" s="1310"/>
      <c r="V8" s="1310"/>
      <c r="W8" s="1310"/>
      <c r="X8" s="1310"/>
      <c r="Y8" s="1310"/>
      <c r="Z8" s="1310"/>
      <c r="AA8" s="1310"/>
      <c r="AB8" s="1310"/>
      <c r="AC8" s="1272"/>
      <c r="AD8" s="1272"/>
      <c r="AE8" s="1311"/>
      <c r="AF8" s="1311"/>
      <c r="AG8" s="1311"/>
      <c r="AH8" s="1311"/>
      <c r="AI8" s="1311"/>
      <c r="AJ8" s="1311"/>
      <c r="AK8" s="1311"/>
      <c r="AL8" s="1311"/>
      <c r="AM8" s="1311"/>
      <c r="AN8" s="1311"/>
      <c r="AO8" s="1311"/>
      <c r="AP8" s="1312"/>
      <c r="AQ8" s="1312"/>
    </row>
    <row r="9" spans="1:43" ht="12.75" customHeight="1">
      <c r="A9" s="1640" t="s">
        <v>517</v>
      </c>
      <c r="B9" s="1601"/>
      <c r="C9" s="1601"/>
      <c r="D9" s="1601"/>
      <c r="E9" s="1601"/>
      <c r="F9" s="1601"/>
      <c r="G9" s="1601"/>
      <c r="H9" s="1601">
        <v>2001</v>
      </c>
      <c r="I9" s="1601">
        <v>2002</v>
      </c>
      <c r="J9" s="1601">
        <v>2003</v>
      </c>
      <c r="K9" s="1601">
        <v>2004</v>
      </c>
      <c r="L9" s="1601">
        <v>2005</v>
      </c>
      <c r="M9" s="1601">
        <v>2006</v>
      </c>
      <c r="N9" s="1601">
        <v>2007</v>
      </c>
      <c r="O9" s="1601">
        <v>2008</v>
      </c>
      <c r="P9" s="1601">
        <v>2009</v>
      </c>
      <c r="Q9" s="1601">
        <v>2010</v>
      </c>
      <c r="R9" s="1601">
        <v>2011</v>
      </c>
      <c r="S9" s="1601">
        <v>2012</v>
      </c>
      <c r="T9" s="1601">
        <v>2013</v>
      </c>
      <c r="U9" s="1601">
        <v>2014</v>
      </c>
      <c r="V9" s="1601">
        <v>2015</v>
      </c>
      <c r="W9" s="1601">
        <v>2016</v>
      </c>
      <c r="X9" s="1601">
        <v>2017</v>
      </c>
      <c r="Y9" s="1601">
        <v>2018</v>
      </c>
      <c r="Z9" s="1601">
        <v>2019</v>
      </c>
      <c r="AA9" s="1601">
        <v>2020</v>
      </c>
      <c r="AB9" s="1601">
        <v>2021</v>
      </c>
      <c r="AC9" s="1601">
        <v>2022</v>
      </c>
      <c r="AD9" s="1601">
        <v>2023</v>
      </c>
      <c r="AE9" s="1601">
        <v>2024</v>
      </c>
      <c r="AF9" s="1308"/>
      <c r="AG9" s="1308"/>
      <c r="AH9" s="1308"/>
      <c r="AI9" s="1308"/>
      <c r="AJ9" s="1308"/>
      <c r="AK9" s="1308"/>
      <c r="AL9" s="1308"/>
      <c r="AM9" s="1308"/>
      <c r="AN9" s="1308"/>
      <c r="AO9" s="1308"/>
    </row>
    <row r="10" spans="1:43" ht="12.75" customHeight="1">
      <c r="A10" s="1640"/>
      <c r="B10" s="1602"/>
      <c r="C10" s="1602"/>
      <c r="D10" s="1602"/>
      <c r="E10" s="1602"/>
      <c r="F10" s="1602"/>
      <c r="G10" s="1602"/>
      <c r="H10" s="1602"/>
      <c r="I10" s="1602"/>
      <c r="J10" s="1602"/>
      <c r="K10" s="1602"/>
      <c r="L10" s="1602"/>
      <c r="M10" s="1602"/>
      <c r="N10" s="1602"/>
      <c r="O10" s="1602"/>
      <c r="P10" s="1602"/>
      <c r="Q10" s="1602"/>
      <c r="R10" s="1602"/>
      <c r="S10" s="1602"/>
      <c r="T10" s="1602"/>
      <c r="U10" s="1602"/>
      <c r="V10" s="1602"/>
      <c r="W10" s="1602"/>
      <c r="X10" s="1602"/>
      <c r="Y10" s="1602"/>
      <c r="Z10" s="1602"/>
      <c r="AA10" s="1602"/>
      <c r="AB10" s="1602"/>
      <c r="AC10" s="1602"/>
      <c r="AD10" s="1602"/>
      <c r="AE10" s="1602"/>
      <c r="AF10" s="1308"/>
      <c r="AG10" s="1308"/>
      <c r="AH10" s="1308"/>
      <c r="AI10" s="1308"/>
      <c r="AJ10" s="1308"/>
      <c r="AK10" s="1308"/>
      <c r="AL10" s="1308"/>
      <c r="AM10" s="1308"/>
      <c r="AN10" s="1308"/>
      <c r="AO10" s="1308"/>
    </row>
    <row r="11" spans="1:43" ht="13.5">
      <c r="A11" s="1273" t="s">
        <v>41</v>
      </c>
      <c r="B11" s="1274"/>
      <c r="C11" s="1274"/>
      <c r="D11" s="1274"/>
      <c r="E11" s="1274"/>
      <c r="F11" s="1274"/>
      <c r="G11" s="1274"/>
      <c r="H11" s="1276">
        <v>14.412000000000001</v>
      </c>
      <c r="I11" s="1276">
        <v>13.106</v>
      </c>
      <c r="J11" s="1276">
        <v>15.8</v>
      </c>
      <c r="K11" s="1276">
        <v>16.5425</v>
      </c>
      <c r="L11" s="1276">
        <v>19.356000000000002</v>
      </c>
      <c r="M11" s="1276">
        <v>22.842000000000002</v>
      </c>
      <c r="N11" s="1276">
        <v>23.12</v>
      </c>
      <c r="O11" s="1276">
        <v>28.934999999999999</v>
      </c>
      <c r="P11" s="1276">
        <v>22</v>
      </c>
      <c r="Q11" s="1276">
        <v>28.77</v>
      </c>
      <c r="R11" s="1276">
        <v>31.352499999999999</v>
      </c>
      <c r="S11" s="1276">
        <v>33.302</v>
      </c>
      <c r="T11" s="1276">
        <f>+'[1]Gasolinas 2013'!F14</f>
        <v>33.571428571428569</v>
      </c>
      <c r="U11" s="1276">
        <f>+'[1]Gasolinas 2014'!F13</f>
        <v>34.410000000000004</v>
      </c>
      <c r="V11" s="1276">
        <f>+'[1]Gasolinas 2015'!F15</f>
        <v>21.272499999999997</v>
      </c>
      <c r="W11" s="1276">
        <f>+'[1]Gasolinas 2016'!F13</f>
        <v>20.045000000000002</v>
      </c>
      <c r="X11" s="1276">
        <f>+'[1]Gasolinas 2017'!F14</f>
        <v>24.356000000000002</v>
      </c>
      <c r="Y11" s="1276">
        <f>+'[1]Gasolinas 2018'!F14</f>
        <v>25.428000000000001</v>
      </c>
      <c r="Z11" s="1276">
        <f>+'[1]Gasolinas 2019'!F14</f>
        <v>22.661999999999999</v>
      </c>
      <c r="AA11" s="1276">
        <f>+'[1]Gasolinas 2020'!F13</f>
        <v>25.234999999999999</v>
      </c>
      <c r="AB11" s="1276">
        <v>23.259999999999998</v>
      </c>
      <c r="AC11" s="1276">
        <v>30.99</v>
      </c>
      <c r="AD11" s="1276">
        <f>+'Gasolineras 2023'!F14</f>
        <v>34.616</v>
      </c>
      <c r="AE11" s="1276">
        <f>+'Gasolineras 2024'!F14</f>
        <v>31.118000000000002</v>
      </c>
      <c r="AF11" s="1308"/>
      <c r="AG11" s="1308"/>
      <c r="AH11" s="1308"/>
      <c r="AI11" s="1308"/>
      <c r="AJ11" s="1308"/>
      <c r="AK11" s="1308"/>
      <c r="AL11" s="1308"/>
      <c r="AM11" s="1308"/>
      <c r="AN11" s="1308"/>
      <c r="AO11" s="1308"/>
    </row>
    <row r="12" spans="1:43" ht="13.5">
      <c r="A12" s="1277" t="s">
        <v>42</v>
      </c>
      <c r="B12" s="1278"/>
      <c r="C12" s="1278"/>
      <c r="D12" s="1278"/>
      <c r="E12" s="1278"/>
      <c r="F12" s="1278"/>
      <c r="G12" s="1278"/>
      <c r="H12" s="1280">
        <v>14.8475</v>
      </c>
      <c r="I12" s="1280">
        <v>12.762499999999999</v>
      </c>
      <c r="J12" s="1280">
        <v>16.739999999999998</v>
      </c>
      <c r="K12" s="1280">
        <v>17.752500000000001</v>
      </c>
      <c r="L12" s="1280">
        <v>18.84</v>
      </c>
      <c r="M12" s="1280">
        <v>22.54</v>
      </c>
      <c r="N12" s="1280">
        <v>22.122499999999999</v>
      </c>
      <c r="O12" s="1280">
        <v>28.835000000000001</v>
      </c>
      <c r="P12" s="1280">
        <v>21.857500000000002</v>
      </c>
      <c r="Q12" s="1280">
        <v>28.282499999999999</v>
      </c>
      <c r="R12" s="1280">
        <v>32.07</v>
      </c>
      <c r="S12" s="1280">
        <v>35.342500000000001</v>
      </c>
      <c r="T12" s="1280">
        <f>+'[1]Gasolinas 2013'!F19</f>
        <v>35.4375</v>
      </c>
      <c r="U12" s="1280">
        <f>+'[1]Gasolinas 2014'!F18</f>
        <v>33.61</v>
      </c>
      <c r="V12" s="1280">
        <f>+'[1]Gasolinas 2015'!F20</f>
        <v>22.982499999999998</v>
      </c>
      <c r="W12" s="1280">
        <f>+'[1]Gasolinas 2016'!F19</f>
        <v>19.047999999999998</v>
      </c>
      <c r="X12" s="1280">
        <f>+'[1]Gasolinas 2017'!F19</f>
        <v>23.54</v>
      </c>
      <c r="Y12" s="1280">
        <f>+'[1]Gasolinas 2018'!F19</f>
        <v>25.337499999999999</v>
      </c>
      <c r="Z12" s="1280">
        <f>+'[1]Gasolinas 2019'!F19</f>
        <v>23.495000000000001</v>
      </c>
      <c r="AA12" s="1280">
        <f>+'[1]Gasolinas 2020'!F18</f>
        <v>24.180000000000003</v>
      </c>
      <c r="AB12" s="1280">
        <v>24.942500000000003</v>
      </c>
      <c r="AC12" s="1280">
        <v>33.520000000000003</v>
      </c>
      <c r="AD12" s="1280">
        <f>+'Gasolineras 2023'!F19</f>
        <v>34.46</v>
      </c>
      <c r="AE12" s="1280">
        <f>+'Gasolineras 2024'!F19</f>
        <v>32.347499999999997</v>
      </c>
      <c r="AF12" s="1308"/>
      <c r="AG12" s="1308"/>
      <c r="AH12" s="1308"/>
      <c r="AI12" s="1308"/>
      <c r="AJ12" s="1308"/>
      <c r="AK12" s="1308"/>
      <c r="AL12" s="1308"/>
      <c r="AM12" s="1308"/>
      <c r="AN12" s="1308"/>
      <c r="AO12" s="1308"/>
    </row>
    <row r="13" spans="1:43" ht="13.5">
      <c r="A13" s="1273" t="s">
        <v>43</v>
      </c>
      <c r="B13" s="1274"/>
      <c r="C13" s="1274"/>
      <c r="D13" s="1274"/>
      <c r="E13" s="1274"/>
      <c r="F13" s="1274"/>
      <c r="G13" s="1274"/>
      <c r="H13" s="1276">
        <v>14.5425</v>
      </c>
      <c r="I13" s="1276">
        <v>13.234999999999999</v>
      </c>
      <c r="J13" s="1276">
        <v>17.934000000000005</v>
      </c>
      <c r="K13" s="1276">
        <v>18.392000000000003</v>
      </c>
      <c r="L13" s="1276">
        <v>20.012499999999999</v>
      </c>
      <c r="M13" s="1276">
        <v>22.39</v>
      </c>
      <c r="N13" s="1276">
        <v>23.5075</v>
      </c>
      <c r="O13" s="1276">
        <v>30.28</v>
      </c>
      <c r="P13" s="1276">
        <v>21.483999999999998</v>
      </c>
      <c r="Q13" s="1276">
        <v>30.05</v>
      </c>
      <c r="R13" s="1276">
        <v>34.732500000000002</v>
      </c>
      <c r="S13" s="1276">
        <v>37.119999999999997</v>
      </c>
      <c r="T13" s="1276">
        <f>+'[1]Gasolinas 2013'!F24</f>
        <v>35.284999999999997</v>
      </c>
      <c r="U13" s="1276">
        <f>+'[1]Gasolinas 2014'!F24</f>
        <v>33.972000000000001</v>
      </c>
      <c r="V13" s="1276">
        <f>+'[1]Gasolinas 2015'!F26</f>
        <v>24.687999999999999</v>
      </c>
      <c r="W13" s="1276">
        <f>+'[1]Gasolinas 2016'!F24</f>
        <v>20.755000000000003</v>
      </c>
      <c r="X13" s="1276">
        <f>+'[1]Gasolinas 2017'!F24</f>
        <v>23.065000000000001</v>
      </c>
      <c r="Y13" s="1276">
        <f>+'[1]Gasolinas 2018'!F24</f>
        <v>25.387499999999999</v>
      </c>
      <c r="Z13" s="1276">
        <f>+'[1]Gasolinas 2019'!F24</f>
        <v>25.457500000000003</v>
      </c>
      <c r="AA13" s="1276">
        <f>+'[1]Gasolinas 2020'!F24</f>
        <v>23.114000000000004</v>
      </c>
      <c r="AB13" s="1276">
        <v>27.082000000000001</v>
      </c>
      <c r="AC13" s="1276">
        <v>38.71</v>
      </c>
      <c r="AD13" s="1276">
        <f>+'Gasolineras 2023'!F24</f>
        <v>33.875</v>
      </c>
      <c r="AE13" s="1276">
        <f>+'Gasolineras 2024'!F24</f>
        <v>34.467499999999994</v>
      </c>
      <c r="AF13" s="1313"/>
      <c r="AG13" s="1313"/>
      <c r="AH13" s="1313"/>
      <c r="AI13" s="1313"/>
      <c r="AJ13" s="1308"/>
      <c r="AK13" s="1308"/>
      <c r="AL13" s="1308"/>
      <c r="AM13" s="1308"/>
      <c r="AN13" s="1308"/>
      <c r="AO13" s="1308"/>
    </row>
    <row r="14" spans="1:43" ht="13.5">
      <c r="A14" s="1281" t="s">
        <v>44</v>
      </c>
      <c r="B14" s="1282"/>
      <c r="C14" s="1282"/>
      <c r="D14" s="1282"/>
      <c r="E14" s="1282"/>
      <c r="F14" s="1282"/>
      <c r="G14" s="1282"/>
      <c r="H14" s="1284">
        <v>14.51</v>
      </c>
      <c r="I14" s="1284">
        <v>14.756</v>
      </c>
      <c r="J14" s="1284">
        <v>16.965</v>
      </c>
      <c r="K14" s="1284">
        <v>18.824999999999999</v>
      </c>
      <c r="L14" s="1284">
        <v>22.23</v>
      </c>
      <c r="M14" s="1284">
        <v>24.855</v>
      </c>
      <c r="N14" s="1284">
        <v>25.877500000000001</v>
      </c>
      <c r="O14" s="1284">
        <v>31.9175</v>
      </c>
      <c r="P14" s="1284">
        <v>22.2075</v>
      </c>
      <c r="Q14" s="1284">
        <v>31.047499999999999</v>
      </c>
      <c r="R14" s="1284">
        <v>35.627499999999998</v>
      </c>
      <c r="S14" s="1284">
        <v>37.449999999999996</v>
      </c>
      <c r="T14" s="1284">
        <f>+'[1]Gasolinas 2013'!F30</f>
        <v>34.241999999999997</v>
      </c>
      <c r="U14" s="1284">
        <f>+'[1]Gasolinas 2014'!F29</f>
        <v>34.802500000000002</v>
      </c>
      <c r="V14" s="1284">
        <f>+'[1]Gasolinas 2015'!F31</f>
        <v>25.244999999999997</v>
      </c>
      <c r="W14" s="1284">
        <f>+'[1]Gasolinas 2016'!F29</f>
        <v>21.962500000000002</v>
      </c>
      <c r="X14" s="1284">
        <f>+'[1]Gasolinas 2017'!F29</f>
        <v>23.815000000000001</v>
      </c>
      <c r="Y14" s="1284">
        <f>+'[1]Gasolinas 2018'!F29</f>
        <v>26.704999999999998</v>
      </c>
      <c r="Z14" s="1284">
        <f>+'[1]Gasolinas 2019'!F30</f>
        <v>27.436</v>
      </c>
      <c r="AA14" s="1284">
        <f>+'[1]Gasolinas 2020'!F29</f>
        <v>18.3</v>
      </c>
      <c r="AB14" s="1284">
        <v>27.357500000000002</v>
      </c>
      <c r="AC14" s="1284">
        <v>38.32</v>
      </c>
      <c r="AD14" s="1284">
        <f>+'Gasolineras 2023'!F29</f>
        <v>35.827500000000001</v>
      </c>
      <c r="AE14" s="1284">
        <f>+'Gasolineras 2024'!F30</f>
        <v>35.68</v>
      </c>
      <c r="AF14" s="1313"/>
      <c r="AG14" s="1313"/>
      <c r="AH14" s="1313"/>
      <c r="AI14" s="1313"/>
      <c r="AJ14" s="1308"/>
      <c r="AK14" s="1308"/>
      <c r="AL14" s="1308"/>
      <c r="AM14" s="1308"/>
      <c r="AN14" s="1308"/>
      <c r="AO14" s="1308"/>
    </row>
    <row r="15" spans="1:43" ht="13.5">
      <c r="A15" s="1273" t="s">
        <v>45</v>
      </c>
      <c r="B15" s="1274"/>
      <c r="C15" s="1274"/>
      <c r="D15" s="1274"/>
      <c r="E15" s="1274"/>
      <c r="F15" s="1274"/>
      <c r="G15" s="1274"/>
      <c r="H15" s="1276">
        <v>15.883333333333335</v>
      </c>
      <c r="I15" s="1276">
        <v>14.74</v>
      </c>
      <c r="J15" s="1276">
        <v>16.047499999999999</v>
      </c>
      <c r="K15" s="1276">
        <v>19.09</v>
      </c>
      <c r="L15" s="1276">
        <v>22.767999999999997</v>
      </c>
      <c r="M15" s="1276">
        <v>27.213999999999999</v>
      </c>
      <c r="N15" s="1276">
        <v>27.872000000000003</v>
      </c>
      <c r="O15" s="1276">
        <v>33.369999999999997</v>
      </c>
      <c r="P15" s="1276">
        <v>23.395</v>
      </c>
      <c r="Q15" s="1276">
        <v>30.078000000000003</v>
      </c>
      <c r="R15" s="1276">
        <v>35.456000000000003</v>
      </c>
      <c r="S15" s="1276">
        <v>35.605000000000004</v>
      </c>
      <c r="T15" s="1276">
        <f>+'[1]Gasolinas 2013'!F35</f>
        <v>34.342500000000001</v>
      </c>
      <c r="U15" s="1276">
        <f>+'[1]Gasolinas 2014'!F34</f>
        <v>34.395000000000003</v>
      </c>
      <c r="V15" s="1276">
        <f>+'[1]Gasolinas 2015'!F36</f>
        <v>26.55</v>
      </c>
      <c r="W15" s="1276">
        <f>+'[1]Gasolinas 2016'!F35</f>
        <v>22.783999999999999</v>
      </c>
      <c r="X15" s="1276">
        <f>+'[1]Gasolinas 2017'!F35</f>
        <v>23.187999999999999</v>
      </c>
      <c r="Y15" s="1276">
        <f>+'[1]Gasolinas 2018'!F35</f>
        <v>27.931999999999999</v>
      </c>
      <c r="Z15" s="1276">
        <f>+'[1]Gasolinas 2019'!F35</f>
        <v>27.482500000000002</v>
      </c>
      <c r="AA15" s="1276">
        <f>+'[1]Gasolinas 2020'!F34</f>
        <v>18.215</v>
      </c>
      <c r="AB15" s="1276">
        <v>28.28</v>
      </c>
      <c r="AC15" s="1276">
        <v>41.69</v>
      </c>
      <c r="AD15" s="1276">
        <f>+'Gasolineras 2023'!F35</f>
        <v>34.362000000000002</v>
      </c>
      <c r="AE15" s="1276">
        <f>+'Gasolineras 2024'!F35</f>
        <v>33.824999999999996</v>
      </c>
      <c r="AF15" s="1308"/>
      <c r="AG15" s="1308"/>
      <c r="AH15" s="1308"/>
      <c r="AI15" s="1308"/>
      <c r="AJ15" s="1308"/>
      <c r="AK15" s="1308"/>
      <c r="AL15" s="1308"/>
      <c r="AM15" s="1308"/>
      <c r="AN15" s="1308"/>
      <c r="AO15" s="1308"/>
    </row>
    <row r="16" spans="1:43" ht="13.5">
      <c r="A16" s="1281" t="s">
        <v>46</v>
      </c>
      <c r="B16" s="1282"/>
      <c r="C16" s="1282"/>
      <c r="D16" s="1282"/>
      <c r="E16" s="1282"/>
      <c r="F16" s="1282"/>
      <c r="G16" s="1282"/>
      <c r="H16" s="1284">
        <v>15.82</v>
      </c>
      <c r="I16" s="1284">
        <v>14.535</v>
      </c>
      <c r="J16" s="1284">
        <v>15.182499999999999</v>
      </c>
      <c r="K16" s="1284">
        <v>19.41</v>
      </c>
      <c r="L16" s="1284">
        <v>22.572500000000002</v>
      </c>
      <c r="M16" s="1284">
        <v>26.945</v>
      </c>
      <c r="N16" s="1284">
        <v>28.9</v>
      </c>
      <c r="O16" s="1284">
        <v>35.8125</v>
      </c>
      <c r="P16" s="1284">
        <v>26.12</v>
      </c>
      <c r="Q16" s="1284">
        <v>28.342500000000001</v>
      </c>
      <c r="R16" s="1284">
        <v>34.707500000000003</v>
      </c>
      <c r="S16" s="1284">
        <v>34.704000000000001</v>
      </c>
      <c r="T16" s="1284">
        <f>+'[1]Gasolinas 2013'!F40</f>
        <v>33.94</v>
      </c>
      <c r="U16" s="1284">
        <f>'[1]Gasolinas 2014'!$F$39</f>
        <v>35.017499999999998</v>
      </c>
      <c r="V16" s="1284">
        <f>+'[1]Gasolinas 2015'!F41</f>
        <v>26.892499999999998</v>
      </c>
      <c r="W16" s="1284">
        <f>+'[1]Gasolinas 2016'!B40</f>
        <v>24.310000000000002</v>
      </c>
      <c r="X16" s="1284">
        <f>+'[1]Gasolinas 2017'!F40</f>
        <v>22.897499999999997</v>
      </c>
      <c r="Y16" s="1284">
        <f>+'[1]Gasolinas 2018'!F40</f>
        <v>27.552500000000002</v>
      </c>
      <c r="Z16" s="1284">
        <f>+'[1]Gasolinas 2019'!F40</f>
        <v>26.070000000000004</v>
      </c>
      <c r="AA16" s="1284">
        <f>+'[1]Gasolinas 2020'!F40</f>
        <v>20.482761312371839</v>
      </c>
      <c r="AB16" s="1284">
        <v>28.212499999999999</v>
      </c>
      <c r="AC16" s="1284">
        <f>+'Gasolineras 2022'!F40</f>
        <v>40.7425</v>
      </c>
      <c r="AD16" s="1284">
        <f>+'Gasolineras 2023'!F40</f>
        <v>33.852500000000006</v>
      </c>
      <c r="AE16" s="1284">
        <f>+'Gasolineras 2024'!F40</f>
        <v>32.902500000000003</v>
      </c>
      <c r="AF16" s="1308"/>
      <c r="AG16" s="1308"/>
      <c r="AH16" s="1308"/>
      <c r="AI16" s="1308"/>
      <c r="AJ16" s="1308"/>
      <c r="AK16" s="1308"/>
      <c r="AL16" s="1308"/>
      <c r="AM16" s="1308"/>
      <c r="AN16" s="1308"/>
      <c r="AO16" s="1308"/>
    </row>
    <row r="17" spans="1:44" ht="13.5">
      <c r="A17" s="1273" t="s">
        <v>47</v>
      </c>
      <c r="B17" s="1274"/>
      <c r="C17" s="1274"/>
      <c r="D17" s="1274"/>
      <c r="E17" s="1274"/>
      <c r="F17" s="1274"/>
      <c r="G17" s="1274"/>
      <c r="H17" s="1276">
        <v>15.331999999999999</v>
      </c>
      <c r="I17" s="1276">
        <v>15.125999999999999</v>
      </c>
      <c r="J17" s="1276">
        <v>15.144</v>
      </c>
      <c r="K17" s="1276">
        <v>19.407499999999999</v>
      </c>
      <c r="L17" s="1276">
        <v>22.63</v>
      </c>
      <c r="M17" s="1276">
        <v>26.794</v>
      </c>
      <c r="N17" s="1276">
        <v>28.64</v>
      </c>
      <c r="O17" s="1276">
        <v>36.72</v>
      </c>
      <c r="P17" s="1276">
        <v>26.887999999999998</v>
      </c>
      <c r="Q17" s="1276">
        <v>28.077500000000001</v>
      </c>
      <c r="R17" s="1276">
        <v>35.207500000000003</v>
      </c>
      <c r="S17" s="1276">
        <v>35.573999999999998</v>
      </c>
      <c r="T17" s="1276">
        <f>+'[1]Gasolinas 2013'!F84</f>
        <v>35.43</v>
      </c>
      <c r="U17" s="1276">
        <f>+'[1]Gasolinas 2014'!F45</f>
        <v>35.252000000000002</v>
      </c>
      <c r="V17" s="1276">
        <f>+'[1]Gasolinas 2015'!F47</f>
        <v>26.766000000000002</v>
      </c>
      <c r="W17" s="1276">
        <f>+'[1]Gasolinas 2016'!F45</f>
        <v>22.185000000000002</v>
      </c>
      <c r="X17" s="1276">
        <f>+'[1]Gasolinas 2017'!F46</f>
        <v>22.756</v>
      </c>
      <c r="Y17" s="1276">
        <f>+'[1]Gasolinas 2018'!F46</f>
        <v>27.488</v>
      </c>
      <c r="Z17" s="1276">
        <f>+'[1]Gasolinas 2019'!F46</f>
        <v>26.706</v>
      </c>
      <c r="AA17" s="1276">
        <f>+'[1]Gasolinas 2020'!F45</f>
        <v>21.928913043478264</v>
      </c>
      <c r="AB17" s="1276">
        <v>28.917770270270267</v>
      </c>
      <c r="AC17" s="1276">
        <f>+'Gasolineras 2022'!F45</f>
        <v>35.685000000000002</v>
      </c>
      <c r="AD17" s="1276">
        <f>+'Gasolineras 2023'!F46</f>
        <v>34.797999999999995</v>
      </c>
      <c r="AE17" s="1276">
        <f>+'Gasolineras 2024'!F46</f>
        <v>33.295999999999999</v>
      </c>
      <c r="AF17" s="1308"/>
      <c r="AG17" s="1308"/>
      <c r="AH17" s="1308"/>
      <c r="AI17" s="1308"/>
      <c r="AJ17" s="1308"/>
      <c r="AK17" s="1308"/>
      <c r="AL17" s="1308"/>
      <c r="AM17" s="1308"/>
      <c r="AN17" s="1308"/>
      <c r="AO17" s="1308"/>
    </row>
    <row r="18" spans="1:44" ht="13.5">
      <c r="A18" s="1281" t="s">
        <v>48</v>
      </c>
      <c r="B18" s="1282"/>
      <c r="C18" s="1282"/>
      <c r="D18" s="1282"/>
      <c r="E18" s="1282"/>
      <c r="F18" s="1282"/>
      <c r="G18" s="1282"/>
      <c r="H18" s="1284">
        <v>14.606</v>
      </c>
      <c r="I18" s="1284">
        <v>15.9</v>
      </c>
      <c r="J18" s="1284">
        <v>15.68</v>
      </c>
      <c r="K18" s="1284">
        <v>19.233999999999998</v>
      </c>
      <c r="L18" s="1284">
        <v>23.161999999999999</v>
      </c>
      <c r="M18" s="1284">
        <v>28.37</v>
      </c>
      <c r="N18" s="1284">
        <v>27.907999999999998</v>
      </c>
      <c r="O18" s="1284">
        <v>35.975000000000001</v>
      </c>
      <c r="P18" s="1284">
        <v>27.052</v>
      </c>
      <c r="Q18" s="1284">
        <v>28.542000000000002</v>
      </c>
      <c r="R18" s="1284">
        <v>34.946000000000005</v>
      </c>
      <c r="S18" s="1284">
        <v>35.465000000000003</v>
      </c>
      <c r="T18" s="1284">
        <f>+'[1]Gasolinas 2013'!F89</f>
        <v>36.03</v>
      </c>
      <c r="U18" s="1284">
        <f>+'[1]Gasolinas 2014'!B50</f>
        <v>34.512500000000003</v>
      </c>
      <c r="V18" s="1284">
        <f>+'[1]Gasolinas 2015'!F53</f>
        <v>24.82</v>
      </c>
      <c r="W18" s="1284">
        <f>+'[1]Gasolinas 2016'!F51</f>
        <v>22.022000000000002</v>
      </c>
      <c r="X18" s="1284">
        <f>+'[1]Gasolinas 2017'!F51</f>
        <v>23.31</v>
      </c>
      <c r="Y18" s="1284">
        <f>+'[1]Gasolinas 2018'!F51</f>
        <v>27.560000000000002</v>
      </c>
      <c r="Z18" s="1284">
        <f>+'[1]Gasolinas 2019'!F51</f>
        <v>25.635000000000002</v>
      </c>
      <c r="AA18" s="1284">
        <f>+'[1]Gasolinas 2020'!F51</f>
        <v>21.657999999999998</v>
      </c>
      <c r="AB18" s="1284">
        <v>29.421999999999997</v>
      </c>
      <c r="AC18" s="1284">
        <f>+'Gasolineras 2022'!F51</f>
        <v>35.28</v>
      </c>
      <c r="AD18" s="1284">
        <f>+'Gasolineras 2023'!F51</f>
        <v>37.81</v>
      </c>
      <c r="AE18" s="1284">
        <f>+'Gasolineras 2024'!F51</f>
        <v>33.172499999999999</v>
      </c>
      <c r="AF18" s="1308"/>
      <c r="AG18" s="1308"/>
      <c r="AH18" s="1308"/>
      <c r="AI18" s="1308"/>
      <c r="AJ18" s="1308"/>
      <c r="AK18" s="1308"/>
      <c r="AL18" s="1308"/>
      <c r="AM18" s="1308"/>
      <c r="AN18" s="1308"/>
      <c r="AO18" s="1308"/>
    </row>
    <row r="19" spans="1:44" ht="13.5">
      <c r="A19" s="1273" t="s">
        <v>49</v>
      </c>
      <c r="B19" s="1274"/>
      <c r="C19" s="1274"/>
      <c r="D19" s="1274"/>
      <c r="E19" s="1274"/>
      <c r="F19" s="1274"/>
      <c r="G19" s="1274"/>
      <c r="H19" s="1276">
        <v>14.592499999999999</v>
      </c>
      <c r="I19" s="1276">
        <v>15.82</v>
      </c>
      <c r="J19" s="1276">
        <v>17.190000000000001</v>
      </c>
      <c r="K19" s="1276">
        <v>19.004999999999999</v>
      </c>
      <c r="L19" s="1276">
        <v>25.677499999999998</v>
      </c>
      <c r="M19" s="1276">
        <v>27.487500000000001</v>
      </c>
      <c r="N19" s="1276">
        <v>27.215</v>
      </c>
      <c r="O19" s="1276">
        <v>35.132000000000005</v>
      </c>
      <c r="P19" s="1276">
        <v>27.114999999999998</v>
      </c>
      <c r="Q19" s="1276">
        <v>27.725000000000001</v>
      </c>
      <c r="R19" s="1276">
        <v>34.7425</v>
      </c>
      <c r="S19" s="1276">
        <v>37.577500000000001</v>
      </c>
      <c r="T19" s="1276">
        <f>+'[1]Gasolinas 2013'!F95</f>
        <v>35.673999999999999</v>
      </c>
      <c r="U19" s="1276">
        <f>+'[1]Gasolinas 2014'!F56</f>
        <v>32.76</v>
      </c>
      <c r="V19" s="1276">
        <f>+'[1]Gasolinas 2015'!F58</f>
        <v>22.84</v>
      </c>
      <c r="W19" s="1276">
        <f>+'[1]Gasolinas 2016'!F56</f>
        <v>22.6875</v>
      </c>
      <c r="X19" s="1276">
        <f>+'[1]Gasolinas 2017'!F56</f>
        <v>24.87</v>
      </c>
      <c r="Y19" s="1276">
        <f>+'[1]Gasolinas 2018'!F56</f>
        <v>27.8</v>
      </c>
      <c r="Z19" s="1276">
        <f>+'[1]Gasolinas 2019'!F57</f>
        <v>25.497999999999998</v>
      </c>
      <c r="AA19" s="1276">
        <f>+'[1]Gasolinas 2020'!F56</f>
        <v>21.537499999999998</v>
      </c>
      <c r="AB19" s="1276">
        <v>29.63</v>
      </c>
      <c r="AC19" s="1276">
        <f>+'Gasolineras 2022'!F56</f>
        <v>34.692499999999995</v>
      </c>
      <c r="AD19" s="1276">
        <f>+'Gasolineras 2023'!F56</f>
        <v>37.590000000000003</v>
      </c>
      <c r="AE19" s="1276">
        <f>+'Gasolineras 2024'!F57</f>
        <v>30.822000000000003</v>
      </c>
      <c r="AF19" s="1308"/>
      <c r="AG19" s="1308"/>
      <c r="AH19" s="1308"/>
      <c r="AI19" s="1308"/>
      <c r="AJ19" s="1308"/>
      <c r="AK19" s="1308"/>
      <c r="AL19" s="1308"/>
      <c r="AM19" s="1308"/>
      <c r="AN19" s="1308"/>
      <c r="AO19" s="1308"/>
    </row>
    <row r="20" spans="1:44" ht="13.5">
      <c r="A20" s="1281" t="s">
        <v>50</v>
      </c>
      <c r="B20" s="1282"/>
      <c r="C20" s="1282"/>
      <c r="D20" s="1282"/>
      <c r="E20" s="1282"/>
      <c r="F20" s="1282"/>
      <c r="G20" s="1282"/>
      <c r="H20" s="1284">
        <v>14.66</v>
      </c>
      <c r="I20" s="1284">
        <v>16.234999999999999</v>
      </c>
      <c r="J20" s="1284">
        <v>16.895</v>
      </c>
      <c r="K20" s="1284">
        <v>19.692499999999999</v>
      </c>
      <c r="L20" s="1284">
        <v>27.314</v>
      </c>
      <c r="M20" s="1284">
        <v>24.94</v>
      </c>
      <c r="N20" s="1284">
        <v>27.54</v>
      </c>
      <c r="O20" s="1284">
        <v>31.612500000000001</v>
      </c>
      <c r="P20" s="1284">
        <v>26.475000000000001</v>
      </c>
      <c r="Q20" s="1284">
        <v>29.36</v>
      </c>
      <c r="R20" s="1284">
        <v>34.125999999999998</v>
      </c>
      <c r="S20" s="1284">
        <v>36.195999999999998</v>
      </c>
      <c r="T20" s="1284">
        <f>+'[1]Gasolinas 2013'!F100</f>
        <v>33.797499999999992</v>
      </c>
      <c r="U20" s="1284">
        <f>+'[1]Gasolinas 2014'!F61</f>
        <v>30.849999999999998</v>
      </c>
      <c r="V20" s="1284">
        <f>+'[1]Gasolinas 2015'!F63</f>
        <v>22.492500000000003</v>
      </c>
      <c r="W20" s="1284">
        <f>+'[1]Gasolinas 2016'!F62</f>
        <v>23.053999999999998</v>
      </c>
      <c r="X20" s="1284">
        <f>+'[1]Gasolinas 2017'!F62</f>
        <v>24.056000000000004</v>
      </c>
      <c r="Y20" s="1284">
        <f>+'[1]Gasolinas 2018'!F62</f>
        <v>28.090000000000003</v>
      </c>
      <c r="Z20" s="1284">
        <f>+'[1]Gasolinas 2019'!F62</f>
        <v>25.21</v>
      </c>
      <c r="AA20" s="1284">
        <v>21.58</v>
      </c>
      <c r="AB20" s="1284">
        <v>30.49</v>
      </c>
      <c r="AC20" s="1284">
        <f>+'Gasolineras 2022'!F61</f>
        <v>36.922499999999999</v>
      </c>
      <c r="AD20" s="1284">
        <f>+'Gasolineras 2023'!F62</f>
        <v>35.999999999999993</v>
      </c>
      <c r="AE20" s="1284">
        <f>+'Gasolineras 2024'!F62</f>
        <v>30.2775</v>
      </c>
      <c r="AF20" s="1308"/>
      <c r="AG20" s="1308"/>
      <c r="AH20" s="1308"/>
      <c r="AI20" s="1308"/>
      <c r="AJ20" s="1308"/>
      <c r="AK20" s="1308"/>
      <c r="AL20" s="1308"/>
      <c r="AM20" s="1308"/>
      <c r="AN20" s="1308"/>
      <c r="AO20" s="1308"/>
    </row>
    <row r="21" spans="1:44" ht="13.5">
      <c r="A21" s="1273" t="s">
        <v>51</v>
      </c>
      <c r="B21" s="1274"/>
      <c r="C21" s="1274"/>
      <c r="D21" s="1274"/>
      <c r="E21" s="1274"/>
      <c r="F21" s="1274"/>
      <c r="G21" s="1274"/>
      <c r="H21" s="1276">
        <v>14.18</v>
      </c>
      <c r="I21" s="1276">
        <v>16.352499999999999</v>
      </c>
      <c r="J21" s="1276">
        <v>16.5975</v>
      </c>
      <c r="K21" s="1276">
        <v>20.567999999999998</v>
      </c>
      <c r="L21" s="1276">
        <v>26.01</v>
      </c>
      <c r="M21" s="1276">
        <v>23.37</v>
      </c>
      <c r="N21" s="1276">
        <v>28.5625</v>
      </c>
      <c r="O21" s="1276">
        <v>26.612500000000001</v>
      </c>
      <c r="P21" s="1276">
        <v>28.342000000000002</v>
      </c>
      <c r="Q21" s="1276">
        <v>29.277999999999999</v>
      </c>
      <c r="R21" s="1276">
        <v>34.557499999999997</v>
      </c>
      <c r="S21" s="1276">
        <f>+'[1]Gasolinas 2012'!F105</f>
        <v>33.664999999999999</v>
      </c>
      <c r="T21" s="1276">
        <f>+'[1]Gasolinas 2013'!F105</f>
        <v>32.682499999999997</v>
      </c>
      <c r="U21" s="1276">
        <f>+'[1]Gasolinas 2014'!F66</f>
        <v>28.982500000000002</v>
      </c>
      <c r="V21" s="1276">
        <f>+'[1]Gasolinas 2015'!F69</f>
        <v>21.576000000000001</v>
      </c>
      <c r="W21" s="1276">
        <f>+'[1]Gasolinas 2016'!F67</f>
        <v>22.340000000000003</v>
      </c>
      <c r="X21" s="1276">
        <f>+'[1]Gasolinas 2017'!F67</f>
        <v>24.925000000000001</v>
      </c>
      <c r="Y21" s="1276">
        <f>+'[1]Gasolinas 2018'!F67</f>
        <v>25.355</v>
      </c>
      <c r="Z21" s="1276">
        <f>+'[1]Gasolinas 2019'!F67</f>
        <v>25.157499999999999</v>
      </c>
      <c r="AA21" s="1276">
        <v>20.6</v>
      </c>
      <c r="AB21" s="1276">
        <v>30.945999999999998</v>
      </c>
      <c r="AC21" s="1276">
        <f>+'Gasolineras 2022'!F67</f>
        <v>36.804923076923082</v>
      </c>
      <c r="AD21" s="1276">
        <f>+'Gasolineras 2023'!$F$67</f>
        <v>31.427500000000002</v>
      </c>
      <c r="AE21" s="1276"/>
      <c r="AF21" s="1308"/>
      <c r="AG21" s="1308"/>
      <c r="AH21" s="1308"/>
      <c r="AI21" s="1308"/>
      <c r="AJ21" s="1308"/>
      <c r="AK21" s="1308"/>
      <c r="AL21" s="1308"/>
      <c r="AM21" s="1308"/>
      <c r="AN21" s="1308"/>
      <c r="AO21" s="1308"/>
    </row>
    <row r="22" spans="1:44" ht="13.5">
      <c r="A22" s="1281" t="s">
        <v>52</v>
      </c>
      <c r="B22" s="1282"/>
      <c r="C22" s="1282"/>
      <c r="D22" s="1282"/>
      <c r="E22" s="1282"/>
      <c r="F22" s="1282"/>
      <c r="G22" s="1282"/>
      <c r="H22" s="1284">
        <v>13.47</v>
      </c>
      <c r="I22" s="1284">
        <v>16.033999999999999</v>
      </c>
      <c r="J22" s="1284">
        <v>16.136000000000003</v>
      </c>
      <c r="K22" s="1284">
        <v>20.204999999999998</v>
      </c>
      <c r="L22" s="1284">
        <v>23.327500000000001</v>
      </c>
      <c r="M22" s="1284">
        <v>23.405000000000001</v>
      </c>
      <c r="N22" s="1284">
        <v>29.172499999999999</v>
      </c>
      <c r="O22" s="1284">
        <v>22.901999999999997</v>
      </c>
      <c r="P22" s="1284">
        <v>27.83</v>
      </c>
      <c r="Q22" s="1284">
        <v>30.247499999999999</v>
      </c>
      <c r="R22" s="1284">
        <v>33.174999999999997</v>
      </c>
      <c r="S22" s="1284">
        <f>+'[1]Gasolinas 2012'!F110</f>
        <v>33.704999999999998</v>
      </c>
      <c r="T22" s="1284">
        <f>+'[1]Gasolinas 2013'!F111</f>
        <v>34.778000000000006</v>
      </c>
      <c r="U22" s="1284">
        <f>+'[1]Gasolinas 2014'!F72</f>
        <v>25.407999999999998</v>
      </c>
      <c r="V22" s="1284">
        <f>+'[1]Gasolinas 2015'!F74</f>
        <v>20.925000000000001</v>
      </c>
      <c r="W22" s="1284">
        <f>+'[1]Gasolinas 2016'!F72</f>
        <v>23.214749999999999</v>
      </c>
      <c r="X22" s="1284">
        <f>+'[1]Gasolinas 2017'!F72</f>
        <v>24.700000000000003</v>
      </c>
      <c r="Y22" s="1284">
        <f>+'[1]Gasolinas 2018'!F72</f>
        <v>23.419999999999998</v>
      </c>
      <c r="Z22" s="1284">
        <f>+'[1]Gasolinas 2019'!F73</f>
        <v>25.026</v>
      </c>
      <c r="AA22" s="1284">
        <f>+'[1]Gasolinas 2020'!F72</f>
        <v>22.102499999999999</v>
      </c>
      <c r="AB22" s="1284">
        <v>29.262499999999999</v>
      </c>
      <c r="AC22" s="1284">
        <f>+'Gasolineras 2022'!F72</f>
        <v>34.102499999999999</v>
      </c>
      <c r="AD22" s="1284">
        <f>+'Gasolineras 2023'!F72</f>
        <v>29.974999999999998</v>
      </c>
      <c r="AE22" s="1284"/>
      <c r="AF22" s="1308"/>
      <c r="AG22" s="1308"/>
      <c r="AH22" s="1308"/>
      <c r="AI22" s="1308"/>
      <c r="AJ22" s="1308"/>
      <c r="AK22" s="1308"/>
      <c r="AL22" s="1308"/>
      <c r="AM22" s="1308"/>
      <c r="AN22" s="1308"/>
      <c r="AO22" s="1308"/>
    </row>
    <row r="23" spans="1:44" ht="23.25" customHeight="1">
      <c r="A23" s="1288" t="s">
        <v>7</v>
      </c>
      <c r="B23" s="1289"/>
      <c r="C23" s="1289"/>
      <c r="D23" s="1289"/>
      <c r="E23" s="1289"/>
      <c r="F23" s="1289"/>
      <c r="G23" s="1289"/>
      <c r="H23" s="1290">
        <f t="shared" ref="H23:AD23" si="0">AVERAGE(H11:H22)</f>
        <v>14.737986111111111</v>
      </c>
      <c r="I23" s="1290">
        <f t="shared" si="0"/>
        <v>14.8835</v>
      </c>
      <c r="J23" s="1290">
        <f t="shared" si="0"/>
        <v>16.359291666666667</v>
      </c>
      <c r="K23" s="1290">
        <f t="shared" si="0"/>
        <v>19.010333333333332</v>
      </c>
      <c r="L23" s="1290">
        <f t="shared" si="0"/>
        <v>22.825000000000003</v>
      </c>
      <c r="M23" s="1290">
        <f t="shared" si="0"/>
        <v>25.096041666666668</v>
      </c>
      <c r="N23" s="1290">
        <f t="shared" si="0"/>
        <v>26.703125</v>
      </c>
      <c r="O23" s="1290">
        <f t="shared" si="0"/>
        <v>31.50866666666667</v>
      </c>
      <c r="P23" s="1290">
        <f t="shared" si="0"/>
        <v>25.063833333333331</v>
      </c>
      <c r="Q23" s="1290">
        <f t="shared" si="0"/>
        <v>29.15004166666667</v>
      </c>
      <c r="R23" s="1290">
        <f t="shared" si="0"/>
        <v>34.225041666666669</v>
      </c>
      <c r="S23" s="1290">
        <f t="shared" si="0"/>
        <v>35.475500000000004</v>
      </c>
      <c r="T23" s="1290">
        <f t="shared" si="0"/>
        <v>34.600869047619049</v>
      </c>
      <c r="U23" s="1290">
        <f t="shared" si="0"/>
        <v>32.83100000000001</v>
      </c>
      <c r="V23" s="1290">
        <f t="shared" si="0"/>
        <v>23.920833333333334</v>
      </c>
      <c r="W23" s="1290">
        <f t="shared" si="0"/>
        <v>22.033979166666668</v>
      </c>
      <c r="X23" s="1290">
        <f t="shared" si="0"/>
        <v>23.789874999999999</v>
      </c>
      <c r="Y23" s="1290">
        <f t="shared" si="0"/>
        <v>26.504625000000004</v>
      </c>
      <c r="Z23" s="1290">
        <f t="shared" si="0"/>
        <v>25.486291666666663</v>
      </c>
      <c r="AA23" s="1290">
        <f t="shared" si="0"/>
        <v>21.577806196320839</v>
      </c>
      <c r="AB23" s="1290">
        <v>28.150230855855856</v>
      </c>
      <c r="AC23" s="1290">
        <f>AVERAGE(AC11:AC22)</f>
        <v>36.454993589743594</v>
      </c>
      <c r="AD23" s="1290">
        <f t="shared" si="0"/>
        <v>34.549458333333341</v>
      </c>
      <c r="AE23" s="1290">
        <f>AVERAGE(AE11:AE22)</f>
        <v>32.790849999999992</v>
      </c>
      <c r="AF23" s="1308"/>
      <c r="AG23" s="1308"/>
      <c r="AH23" s="1308"/>
      <c r="AI23" s="1308"/>
      <c r="AJ23" s="1308"/>
      <c r="AK23" s="1308"/>
      <c r="AL23" s="1308"/>
      <c r="AM23" s="1308"/>
      <c r="AN23" s="1308"/>
      <c r="AO23" s="1308"/>
    </row>
    <row r="24" spans="1:44" ht="15.75">
      <c r="A24" s="1269" t="s">
        <v>672</v>
      </c>
      <c r="B24" s="1314"/>
      <c r="C24" s="1314"/>
      <c r="D24" s="1314"/>
      <c r="E24" s="1314"/>
      <c r="F24" s="1314"/>
      <c r="G24" s="1314"/>
      <c r="H24" s="1314"/>
      <c r="I24" s="1315"/>
      <c r="J24" s="1315"/>
      <c r="K24" s="1315"/>
      <c r="L24" s="1315"/>
      <c r="M24" s="1315"/>
      <c r="N24" s="1315"/>
      <c r="O24" s="1315"/>
      <c r="P24" s="1315"/>
      <c r="Q24" s="1315"/>
      <c r="R24" s="1315"/>
      <c r="S24" s="1316"/>
      <c r="T24" s="1316"/>
      <c r="U24" s="1316"/>
      <c r="V24" s="1317"/>
      <c r="W24" s="1318"/>
      <c r="X24" s="1318"/>
      <c r="Y24" s="1318"/>
      <c r="Z24" s="1318"/>
      <c r="AA24" s="1318"/>
      <c r="AB24" s="1318"/>
      <c r="AC24" s="1318"/>
      <c r="AD24" s="1318"/>
      <c r="AE24" s="1318"/>
      <c r="AF24" s="1319"/>
      <c r="AG24" s="1319"/>
      <c r="AH24" s="1319"/>
      <c r="AI24" s="1319"/>
      <c r="AJ24" s="1319"/>
      <c r="AK24" s="1319"/>
      <c r="AL24" s="1319"/>
      <c r="AM24" s="1319"/>
      <c r="AN24" s="1319"/>
      <c r="AO24" s="1319"/>
      <c r="AP24" s="1320"/>
      <c r="AQ24" s="1320"/>
      <c r="AR24" s="1320"/>
    </row>
    <row r="25" spans="1:44" ht="15.75">
      <c r="A25" s="1321"/>
      <c r="B25" s="1322"/>
      <c r="C25" s="1323"/>
      <c r="D25" s="1323"/>
      <c r="E25" s="1323"/>
      <c r="F25" s="1323"/>
      <c r="G25" s="1323"/>
      <c r="H25" s="1324"/>
      <c r="I25" s="1325"/>
      <c r="J25" s="1325"/>
      <c r="K25" s="1325"/>
      <c r="L25" s="1325"/>
      <c r="M25" s="1325"/>
      <c r="N25" s="1325"/>
      <c r="O25" s="1325"/>
      <c r="P25" s="1325"/>
      <c r="Q25" s="1325"/>
      <c r="R25" s="1325"/>
      <c r="S25" s="1326"/>
      <c r="T25" s="1326"/>
      <c r="U25" s="1326"/>
      <c r="V25" s="1326"/>
      <c r="W25" s="1326"/>
      <c r="X25" s="1326"/>
      <c r="Y25" s="624"/>
      <c r="Z25" s="624"/>
      <c r="AA25" s="624"/>
      <c r="AB25" s="624"/>
      <c r="AC25" s="624"/>
      <c r="AD25" s="624"/>
      <c r="AE25" s="624"/>
      <c r="AF25" s="1308"/>
      <c r="AG25" s="1308"/>
      <c r="AH25" s="1308"/>
      <c r="AI25" s="1308"/>
      <c r="AJ25" s="1308"/>
      <c r="AK25" s="1308"/>
      <c r="AL25" s="1308"/>
      <c r="AM25" s="1308"/>
      <c r="AN25" s="1308"/>
      <c r="AO25" s="1308"/>
    </row>
    <row r="26" spans="1:44" ht="12.75" customHeight="1">
      <c r="A26" s="1640" t="s">
        <v>517</v>
      </c>
      <c r="B26" s="1601">
        <v>1995</v>
      </c>
      <c r="C26" s="1601">
        <v>1996</v>
      </c>
      <c r="D26" s="1601">
        <v>1997</v>
      </c>
      <c r="E26" s="1601">
        <v>1998</v>
      </c>
      <c r="F26" s="1601">
        <v>1999</v>
      </c>
      <c r="G26" s="1601">
        <v>2000</v>
      </c>
      <c r="H26" s="1601">
        <v>2001</v>
      </c>
      <c r="I26" s="1601">
        <v>2002</v>
      </c>
      <c r="J26" s="1601">
        <v>2003</v>
      </c>
      <c r="K26" s="1601">
        <v>2004</v>
      </c>
      <c r="L26" s="1601">
        <v>2005</v>
      </c>
      <c r="M26" s="1601">
        <v>2006</v>
      </c>
      <c r="N26" s="1601">
        <v>2007</v>
      </c>
      <c r="O26" s="1601">
        <v>2008</v>
      </c>
      <c r="P26" s="1601">
        <v>2009</v>
      </c>
      <c r="Q26" s="1601">
        <v>2010</v>
      </c>
      <c r="R26" s="1601">
        <v>2011</v>
      </c>
      <c r="S26" s="1601">
        <f>+S9</f>
        <v>2012</v>
      </c>
      <c r="T26" s="1601">
        <v>2013</v>
      </c>
      <c r="U26" s="1601">
        <v>2014</v>
      </c>
      <c r="V26" s="1601">
        <v>2015</v>
      </c>
      <c r="W26" s="1601">
        <v>2016</v>
      </c>
      <c r="X26" s="1601">
        <v>2017</v>
      </c>
      <c r="Y26" s="1601">
        <v>2018</v>
      </c>
      <c r="Z26" s="1601">
        <v>2019</v>
      </c>
      <c r="AA26" s="1601">
        <v>2020</v>
      </c>
      <c r="AB26" s="1601">
        <v>2021</v>
      </c>
      <c r="AC26" s="1601">
        <v>2022</v>
      </c>
      <c r="AD26" s="1601">
        <v>2023</v>
      </c>
      <c r="AE26" s="1601">
        <v>2024</v>
      </c>
      <c r="AF26" s="1308"/>
      <c r="AG26" s="1308"/>
      <c r="AH26" s="1308"/>
      <c r="AI26" s="1308"/>
      <c r="AJ26" s="1308"/>
      <c r="AK26" s="1308"/>
      <c r="AL26" s="1308"/>
      <c r="AM26" s="1308"/>
      <c r="AN26" s="1308"/>
      <c r="AO26" s="1308"/>
    </row>
    <row r="27" spans="1:44" ht="12.75" customHeight="1">
      <c r="A27" s="1640"/>
      <c r="B27" s="1601"/>
      <c r="C27" s="1601"/>
      <c r="D27" s="1601"/>
      <c r="E27" s="1601"/>
      <c r="F27" s="1601"/>
      <c r="G27" s="1601"/>
      <c r="H27" s="1601"/>
      <c r="I27" s="1601"/>
      <c r="J27" s="1601"/>
      <c r="K27" s="1601"/>
      <c r="L27" s="1601"/>
      <c r="M27" s="1601"/>
      <c r="N27" s="1601"/>
      <c r="O27" s="1601"/>
      <c r="P27" s="1601"/>
      <c r="Q27" s="1601"/>
      <c r="R27" s="1601"/>
      <c r="S27" s="1601"/>
      <c r="T27" s="1601"/>
      <c r="U27" s="1601"/>
      <c r="V27" s="1601"/>
      <c r="W27" s="1601"/>
      <c r="X27" s="1601"/>
      <c r="Y27" s="1601"/>
      <c r="Z27" s="1601"/>
      <c r="AA27" s="1601"/>
      <c r="AB27" s="1601"/>
      <c r="AC27" s="1601"/>
      <c r="AD27" s="1601"/>
      <c r="AE27" s="1601"/>
      <c r="AF27" s="1308"/>
      <c r="AG27" s="1308"/>
      <c r="AH27" s="1308"/>
      <c r="AI27" s="1308"/>
      <c r="AJ27" s="1308"/>
      <c r="AK27" s="1308"/>
      <c r="AL27" s="1308"/>
      <c r="AM27" s="1308"/>
      <c r="AN27" s="1308"/>
      <c r="AO27" s="1308"/>
    </row>
    <row r="28" spans="1:44" ht="12.75" customHeight="1">
      <c r="A28" s="1273" t="s">
        <v>41</v>
      </c>
      <c r="B28" s="1274">
        <v>8.1</v>
      </c>
      <c r="C28" s="1274">
        <v>9.2799999999999994</v>
      </c>
      <c r="D28" s="1274">
        <v>10.87</v>
      </c>
      <c r="E28" s="1274">
        <v>11.01</v>
      </c>
      <c r="F28" s="1274">
        <v>10.42</v>
      </c>
      <c r="G28" s="1274">
        <v>14.07</v>
      </c>
      <c r="H28" s="1276">
        <v>14.13</v>
      </c>
      <c r="I28" s="1276">
        <v>12.55</v>
      </c>
      <c r="J28" s="1276">
        <v>15.34</v>
      </c>
      <c r="K28" s="1276">
        <v>15.9025</v>
      </c>
      <c r="L28" s="1276">
        <v>18.797999999999998</v>
      </c>
      <c r="M28" s="1276">
        <v>22.326000000000001</v>
      </c>
      <c r="N28" s="1276">
        <v>22.67</v>
      </c>
      <c r="O28" s="1276">
        <v>28.524999999999999</v>
      </c>
      <c r="P28" s="1276">
        <v>21.17</v>
      </c>
      <c r="Q28" s="1276">
        <v>27.92</v>
      </c>
      <c r="R28" s="1276">
        <v>30.462499999999999</v>
      </c>
      <c r="S28" s="1276">
        <f>+'[1]Gasolinas 2012'!G14</f>
        <v>32.714000000000006</v>
      </c>
      <c r="T28" s="1276">
        <f>+'[1]Gasolinas 2013'!G14</f>
        <v>33.082000000000008</v>
      </c>
      <c r="U28" s="1276">
        <f>+'[1]Gasolinas 2014'!G13</f>
        <v>34.0625</v>
      </c>
      <c r="V28" s="1276">
        <f>+'[1]Gasolinas 2015'!G15</f>
        <v>20.9025</v>
      </c>
      <c r="W28" s="1276">
        <f>+'[1]Gasolinas 2016'!G13</f>
        <v>19.5425</v>
      </c>
      <c r="X28" s="1276">
        <f>+'[1]Gasolinas 2017'!G14</f>
        <v>23.86</v>
      </c>
      <c r="Y28" s="1276">
        <f>+'[1]Gasolinas 2018'!G14</f>
        <v>24.928000000000004</v>
      </c>
      <c r="Z28" s="1276">
        <f>+'[1]Gasolinas 2019'!G14</f>
        <v>22.166000000000004</v>
      </c>
      <c r="AA28" s="1276">
        <f>+'[1]Gasolinas 2020'!G13</f>
        <v>24.75</v>
      </c>
      <c r="AB28" s="1276">
        <v>22.737499999999997</v>
      </c>
      <c r="AC28" s="1276">
        <v>30.38</v>
      </c>
      <c r="AD28" s="1276">
        <f>+'Gasolineras 2023'!G14</f>
        <v>34.1</v>
      </c>
      <c r="AE28" s="1276">
        <f>+'Gasolineras 2024'!G14</f>
        <v>30.615999999999996</v>
      </c>
      <c r="AF28" s="1308"/>
      <c r="AG28" s="1308"/>
      <c r="AH28" s="1308"/>
      <c r="AI28" s="1308"/>
      <c r="AJ28" s="1308"/>
      <c r="AK28" s="1308"/>
      <c r="AL28" s="1308"/>
      <c r="AM28" s="1308"/>
      <c r="AN28" s="1308"/>
      <c r="AO28" s="1308"/>
    </row>
    <row r="29" spans="1:44" ht="13.5">
      <c r="A29" s="1277" t="s">
        <v>42</v>
      </c>
      <c r="B29" s="1278">
        <v>8.49</v>
      </c>
      <c r="C29" s="1278">
        <v>9.4700000000000006</v>
      </c>
      <c r="D29" s="1278">
        <v>10.95</v>
      </c>
      <c r="E29" s="1278">
        <v>10.86</v>
      </c>
      <c r="F29" s="1278">
        <v>10.39</v>
      </c>
      <c r="G29" s="1278">
        <v>14.42</v>
      </c>
      <c r="H29" s="1280">
        <v>14.324999999999999</v>
      </c>
      <c r="I29" s="1280">
        <v>12.2875</v>
      </c>
      <c r="J29" s="1280">
        <v>16.22</v>
      </c>
      <c r="K29" s="1280">
        <v>17.227499999999999</v>
      </c>
      <c r="L29" s="1280">
        <v>18.282499999999999</v>
      </c>
      <c r="M29" s="1280">
        <v>22.0275</v>
      </c>
      <c r="N29" s="1280">
        <v>21.657499999999999</v>
      </c>
      <c r="O29" s="1280">
        <v>28.344999999999999</v>
      </c>
      <c r="P29" s="1280">
        <v>20.895</v>
      </c>
      <c r="Q29" s="1280">
        <v>27.454999999999998</v>
      </c>
      <c r="R29" s="1280">
        <v>31.497499999999999</v>
      </c>
      <c r="S29" s="1280">
        <f>+'[1]Gasolinas 2012'!G19</f>
        <v>35.022499999999994</v>
      </c>
      <c r="T29" s="1280">
        <f>+'[1]Gasolinas 2013'!G19</f>
        <v>34.795000000000002</v>
      </c>
      <c r="U29" s="1280">
        <f>+'[1]Gasolinas 2014'!G18</f>
        <v>33.142499999999998</v>
      </c>
      <c r="V29" s="1280">
        <f>+'[1]Gasolinas 2015'!G20</f>
        <v>22.4375</v>
      </c>
      <c r="W29" s="1280">
        <f>+'[1]Gasolinas 2016'!G19</f>
        <v>18.564</v>
      </c>
      <c r="X29" s="1280">
        <f>+'[1]Gasolinas 2017'!G19</f>
        <v>23.040000000000003</v>
      </c>
      <c r="Y29" s="1280">
        <f>+'[1]Gasolinas 2018'!G19</f>
        <v>24.89</v>
      </c>
      <c r="Z29" s="1280">
        <f>+'[1]Gasolinas 2019'!G19</f>
        <v>23</v>
      </c>
      <c r="AA29" s="1280">
        <f>+'[1]Gasolinas 2020'!G18</f>
        <v>23.667499999999997</v>
      </c>
      <c r="AB29" s="1280">
        <v>24.447499999999998</v>
      </c>
      <c r="AC29" s="1280">
        <v>32.947499999999998</v>
      </c>
      <c r="AD29" s="1280">
        <f>+'Gasolineras 2023'!G19</f>
        <v>34.06</v>
      </c>
      <c r="AE29" s="1280">
        <f>+'Gasolineras 2024'!G19</f>
        <v>31.84</v>
      </c>
      <c r="AF29" s="1308"/>
      <c r="AG29" s="1308"/>
      <c r="AH29" s="1308"/>
      <c r="AI29" s="1308"/>
      <c r="AJ29" s="1308"/>
      <c r="AK29" s="1308"/>
      <c r="AL29" s="1308"/>
      <c r="AM29" s="1308"/>
      <c r="AN29" s="1308"/>
      <c r="AO29" s="1308"/>
    </row>
    <row r="30" spans="1:44" ht="13.5">
      <c r="A30" s="1273" t="s">
        <v>43</v>
      </c>
      <c r="B30" s="1274">
        <v>8.64</v>
      </c>
      <c r="C30" s="1274">
        <v>9.5399999999999991</v>
      </c>
      <c r="D30" s="1274">
        <v>10.61</v>
      </c>
      <c r="E30" s="1274">
        <v>10.77</v>
      </c>
      <c r="F30" s="1274">
        <v>10.54</v>
      </c>
      <c r="G30" s="1274">
        <v>14.82</v>
      </c>
      <c r="H30" s="1276">
        <v>14.1275</v>
      </c>
      <c r="I30" s="1276">
        <v>12.577500000000001</v>
      </c>
      <c r="J30" s="1276">
        <v>17.405999999999999</v>
      </c>
      <c r="K30" s="1276">
        <v>17.847999999999999</v>
      </c>
      <c r="L30" s="1276">
        <v>19.462499999999999</v>
      </c>
      <c r="M30" s="1276">
        <v>21.84</v>
      </c>
      <c r="N30" s="1276">
        <v>22.8675</v>
      </c>
      <c r="O30" s="1276">
        <v>29.732000000000006</v>
      </c>
      <c r="P30" s="1276">
        <v>20.52</v>
      </c>
      <c r="Q30" s="1276">
        <v>29.054000000000002</v>
      </c>
      <c r="R30" s="1276">
        <v>34.18</v>
      </c>
      <c r="S30" s="1276">
        <f>+'[1]Gasolinas 2012'!G24</f>
        <v>36.452500000000001</v>
      </c>
      <c r="T30" s="1276">
        <f>+'[1]Gasolinas 2013'!G24</f>
        <v>34.672499999999999</v>
      </c>
      <c r="U30" s="1276">
        <f>+'[1]Gasolinas 2014'!G24</f>
        <v>33.622</v>
      </c>
      <c r="V30" s="1276">
        <f>+'[1]Gasolinas 2015'!G26</f>
        <v>24.192</v>
      </c>
      <c r="W30" s="1276">
        <f>+'[1]Gasolinas 2016'!G24</f>
        <v>20.234999999999999</v>
      </c>
      <c r="X30" s="1276">
        <f>+'[1]Gasolinas 2017'!G24</f>
        <v>22.572499999999998</v>
      </c>
      <c r="Y30" s="1276">
        <f>+'[1]Gasolinas 2018'!G24</f>
        <v>24.912500000000001</v>
      </c>
      <c r="Z30" s="1276">
        <f>+'[1]Gasolinas 2019'!G24</f>
        <v>24.9375</v>
      </c>
      <c r="AA30" s="1276">
        <f>+'[1]Gasolinas 2020'!G24</f>
        <v>22.624000000000002</v>
      </c>
      <c r="AB30" s="1276">
        <v>26.618000000000002</v>
      </c>
      <c r="AC30" s="1276">
        <v>38.25</v>
      </c>
      <c r="AD30" s="1276">
        <f>+'Gasolineras 2023'!G24</f>
        <v>33.4</v>
      </c>
      <c r="AE30" s="1276">
        <f>+'Gasolineras 2024'!G24</f>
        <v>33.930000000000007</v>
      </c>
      <c r="AF30" s="1308"/>
      <c r="AG30" s="1308"/>
      <c r="AH30" s="1308"/>
      <c r="AI30" s="1308"/>
      <c r="AJ30" s="1308"/>
      <c r="AK30" s="1308"/>
      <c r="AL30" s="1308"/>
      <c r="AM30" s="1308"/>
      <c r="AN30" s="1308"/>
      <c r="AO30" s="1308"/>
    </row>
    <row r="31" spans="1:44" ht="13.5">
      <c r="A31" s="1281" t="s">
        <v>44</v>
      </c>
      <c r="B31" s="1282">
        <v>8.83</v>
      </c>
      <c r="C31" s="1282">
        <v>9.98</v>
      </c>
      <c r="D31" s="1282">
        <v>10.61</v>
      </c>
      <c r="E31" s="1282">
        <v>10.64</v>
      </c>
      <c r="F31" s="1282">
        <v>11.41</v>
      </c>
      <c r="G31" s="1282">
        <v>14.56</v>
      </c>
      <c r="H31" s="1284">
        <v>14.0375</v>
      </c>
      <c r="I31" s="1284">
        <v>14.11</v>
      </c>
      <c r="J31" s="1284">
        <v>16.487500000000001</v>
      </c>
      <c r="K31" s="1284">
        <v>18.29</v>
      </c>
      <c r="L31" s="1284">
        <v>21.702500000000001</v>
      </c>
      <c r="M31" s="1284">
        <v>24.147500000000001</v>
      </c>
      <c r="N31" s="1284">
        <v>25.28</v>
      </c>
      <c r="O31" s="1284">
        <v>31.41</v>
      </c>
      <c r="P31" s="1284">
        <v>21.16</v>
      </c>
      <c r="Q31" s="1284">
        <v>30.142499999999998</v>
      </c>
      <c r="R31" s="1284">
        <v>35.075000000000003</v>
      </c>
      <c r="S31" s="1284">
        <f>+'[1]Gasolinas 2012'!G30</f>
        <v>37.116</v>
      </c>
      <c r="T31" s="1284">
        <f>+'[1]Gasolinas 2013'!G30</f>
        <v>33.766000000000005</v>
      </c>
      <c r="U31" s="1284">
        <f>+'[1]Gasolinas 2014'!G29</f>
        <v>34.317500000000003</v>
      </c>
      <c r="V31" s="1284">
        <f>+'[1]Gasolinas 2015'!G31</f>
        <v>24.747499999999999</v>
      </c>
      <c r="W31" s="1284">
        <f>+'[1]Gasolinas 2016'!G29</f>
        <v>21.467499999999998</v>
      </c>
      <c r="X31" s="1284">
        <f>+'[1]Gasolinas 2017'!G29</f>
        <v>23.352499999999999</v>
      </c>
      <c r="Y31" s="1284">
        <f>+'[1]Gasolinas 2018'!G29</f>
        <v>26.21</v>
      </c>
      <c r="Z31" s="1284">
        <f>+'[1]Gasolinas 2019'!G30</f>
        <v>26.954000000000001</v>
      </c>
      <c r="AA31" s="1284">
        <f>+'[1]Gasolinas 2020'!G29</f>
        <v>17.884999999999998</v>
      </c>
      <c r="AB31" s="1284">
        <v>26.922499999999999</v>
      </c>
      <c r="AC31" s="1284">
        <v>37.86</v>
      </c>
      <c r="AD31" s="1284">
        <f>+'Gasolineras 2023'!G29</f>
        <v>35.335000000000001</v>
      </c>
      <c r="AE31" s="1284">
        <f>+'Gasolineras 2024'!G30</f>
        <v>35.196000000000005</v>
      </c>
      <c r="AF31" s="1308"/>
      <c r="AG31" s="1308"/>
      <c r="AH31" s="1308"/>
      <c r="AI31" s="1308"/>
      <c r="AJ31" s="1308"/>
      <c r="AK31" s="1308"/>
      <c r="AL31" s="1308"/>
      <c r="AM31" s="1308"/>
      <c r="AN31" s="1308"/>
      <c r="AO31" s="1308"/>
    </row>
    <row r="32" spans="1:44" ht="13.5">
      <c r="A32" s="1273" t="s">
        <v>45</v>
      </c>
      <c r="B32" s="1274">
        <v>9.44</v>
      </c>
      <c r="C32" s="1274">
        <v>10.36</v>
      </c>
      <c r="D32" s="1274">
        <v>10.65</v>
      </c>
      <c r="E32" s="1274">
        <v>10.9</v>
      </c>
      <c r="F32" s="1274">
        <v>11.91</v>
      </c>
      <c r="G32" s="1274">
        <v>14.97</v>
      </c>
      <c r="H32" s="1276">
        <v>15.34</v>
      </c>
      <c r="I32" s="1276">
        <v>14.154999999999999</v>
      </c>
      <c r="J32" s="1276">
        <v>15.4375</v>
      </c>
      <c r="K32" s="1276">
        <v>18.592000000000002</v>
      </c>
      <c r="L32" s="1276">
        <v>22.234000000000002</v>
      </c>
      <c r="M32" s="1276">
        <v>26.616</v>
      </c>
      <c r="N32" s="1276">
        <v>27.294</v>
      </c>
      <c r="O32" s="1276">
        <v>32.770000000000003</v>
      </c>
      <c r="P32" s="1276">
        <v>22.442499999999999</v>
      </c>
      <c r="Q32" s="1276">
        <v>29.338000000000001</v>
      </c>
      <c r="R32" s="1276">
        <v>35.091999999999999</v>
      </c>
      <c r="S32" s="1276">
        <f>+'[1]Gasolinas 2012'!G35</f>
        <v>35.260000000000005</v>
      </c>
      <c r="T32" s="1276">
        <f>+'[1]Gasolinas 2013'!G35</f>
        <v>33.887500000000003</v>
      </c>
      <c r="U32" s="1276">
        <f>+'[1]Gasolinas 2014'!G34</f>
        <v>33.805</v>
      </c>
      <c r="V32" s="1276">
        <f>+'[1]Gasolinas 2015'!G36</f>
        <v>26.057500000000001</v>
      </c>
      <c r="W32" s="1276">
        <f>+'[1]Gasolinas 2016'!G35</f>
        <v>22.321999999999999</v>
      </c>
      <c r="X32" s="1276">
        <f>+'[1]Gasolinas 2017'!G35</f>
        <v>22.732000000000003</v>
      </c>
      <c r="Y32" s="1276">
        <f>+'[1]Gasolinas 2018'!G35</f>
        <v>27.432000000000006</v>
      </c>
      <c r="Z32" s="1276">
        <f>+'[1]Gasolinas 2019'!G35</f>
        <v>26.995000000000001</v>
      </c>
      <c r="AA32" s="1276">
        <f>+'[1]Gasolinas 2020'!G34</f>
        <v>17.665000000000003</v>
      </c>
      <c r="AB32" s="1276">
        <v>27.802</v>
      </c>
      <c r="AC32" s="1276">
        <v>41.25</v>
      </c>
      <c r="AD32" s="1276">
        <f>+'Gasolineras 2023'!G35</f>
        <v>33.905999999999992</v>
      </c>
      <c r="AE32" s="1276">
        <f>+'Gasolineras 2024'!G35</f>
        <v>33.417499999999997</v>
      </c>
      <c r="AF32" s="1308"/>
      <c r="AG32" s="1308"/>
      <c r="AH32" s="1308"/>
      <c r="AI32" s="1308"/>
      <c r="AJ32" s="1308"/>
      <c r="AK32" s="1308"/>
      <c r="AL32" s="1308"/>
      <c r="AM32" s="1308"/>
      <c r="AN32" s="1308"/>
      <c r="AO32" s="1308"/>
    </row>
    <row r="33" spans="1:44" ht="13.5">
      <c r="A33" s="1281" t="s">
        <v>46</v>
      </c>
      <c r="B33" s="1282">
        <v>9.44</v>
      </c>
      <c r="C33" s="1282">
        <v>10.31</v>
      </c>
      <c r="D33" s="1282">
        <v>10.71</v>
      </c>
      <c r="E33" s="1282">
        <v>11.01</v>
      </c>
      <c r="F33" s="1282">
        <v>11.91</v>
      </c>
      <c r="G33" s="1282">
        <v>15.61</v>
      </c>
      <c r="H33" s="1284">
        <v>15.315</v>
      </c>
      <c r="I33" s="1284">
        <v>13.9625</v>
      </c>
      <c r="J33" s="1284">
        <v>14.5725</v>
      </c>
      <c r="K33" s="1284">
        <v>18.9025</v>
      </c>
      <c r="L33" s="1284">
        <v>21.9575</v>
      </c>
      <c r="M33" s="1284">
        <v>26.447500000000002</v>
      </c>
      <c r="N33" s="1284">
        <v>28.407499999999999</v>
      </c>
      <c r="O33" s="1284">
        <v>35.167499999999997</v>
      </c>
      <c r="P33" s="1284">
        <v>25.17</v>
      </c>
      <c r="Q33" s="1284">
        <v>27.512499999999999</v>
      </c>
      <c r="R33" s="1284">
        <v>34.265000000000001</v>
      </c>
      <c r="S33" s="1284">
        <f>+'[1]Gasolinas 2012'!G40</f>
        <v>33.14</v>
      </c>
      <c r="T33" s="1284">
        <f>+'[1]Gasolinas 2013'!G40</f>
        <v>33.5</v>
      </c>
      <c r="U33" s="1284">
        <f>'[1]Gasolinas 2014'!$G$39</f>
        <v>34.615000000000002</v>
      </c>
      <c r="V33" s="1284">
        <f>+'[1]Gasolinas 2015'!G41</f>
        <v>26.297499999999999</v>
      </c>
      <c r="W33" s="1284">
        <f>+'[1]Gasolinas 2016'!G40</f>
        <v>22.857500000000002</v>
      </c>
      <c r="X33" s="1284">
        <f>+'[1]Gasolinas 2017'!G40</f>
        <v>22.425000000000001</v>
      </c>
      <c r="Y33" s="1284">
        <f>+'[1]Gasolinas 2018'!G40</f>
        <v>27.0625</v>
      </c>
      <c r="Z33" s="1284">
        <f>+'[1]Gasolinas 2019'!G40</f>
        <v>25.545000000000002</v>
      </c>
      <c r="AA33" s="1284">
        <f>+'[1]Gasolinas 2020'!G40</f>
        <v>20.044342195886315</v>
      </c>
      <c r="AB33" s="1284">
        <v>27.865000000000002</v>
      </c>
      <c r="AC33" s="1284">
        <f>+'Gasolineras 2022'!G40</f>
        <v>40.32</v>
      </c>
      <c r="AD33" s="1284">
        <f>+'Gasolineras 2023'!G40</f>
        <v>33.409999999999997</v>
      </c>
      <c r="AE33" s="1284">
        <f>+'Gasolineras 2024'!G40</f>
        <v>32.417500000000004</v>
      </c>
      <c r="AF33" s="1308"/>
      <c r="AG33" s="1308"/>
      <c r="AH33" s="1308"/>
      <c r="AI33" s="1308"/>
      <c r="AJ33" s="1308"/>
      <c r="AK33" s="1308"/>
      <c r="AL33" s="1308"/>
      <c r="AM33" s="1308"/>
      <c r="AN33" s="1308"/>
      <c r="AO33" s="1308"/>
    </row>
    <row r="34" spans="1:44" ht="13.5">
      <c r="A34" s="1273" t="s">
        <v>47</v>
      </c>
      <c r="B34" s="1274">
        <v>9.1999999999999993</v>
      </c>
      <c r="C34" s="1274">
        <v>10.210000000000001</v>
      </c>
      <c r="D34" s="1274">
        <v>10.57</v>
      </c>
      <c r="E34" s="1274">
        <v>10.9</v>
      </c>
      <c r="F34" s="1274">
        <v>12.15</v>
      </c>
      <c r="G34" s="1274">
        <v>15.8</v>
      </c>
      <c r="H34" s="1276">
        <v>14.67</v>
      </c>
      <c r="I34" s="1276">
        <v>14.425999999999998</v>
      </c>
      <c r="J34" s="1276">
        <v>14.62</v>
      </c>
      <c r="K34" s="1276">
        <v>18.87</v>
      </c>
      <c r="L34" s="1276">
        <v>21.93</v>
      </c>
      <c r="M34" s="1276">
        <v>26.302</v>
      </c>
      <c r="N34" s="1276">
        <v>28.085000000000001</v>
      </c>
      <c r="O34" s="1276">
        <v>36.061999999999998</v>
      </c>
      <c r="P34" s="1276">
        <v>26.056000000000001</v>
      </c>
      <c r="Q34" s="1276">
        <v>27.397500000000001</v>
      </c>
      <c r="R34" s="1276">
        <v>34.5625</v>
      </c>
      <c r="S34" s="1276">
        <f>+'[1]Gasolinas 2012'!C84</f>
        <v>34.713999999999999</v>
      </c>
      <c r="T34" s="1276">
        <f>+'[1]Gasolinas 2013'!G84</f>
        <v>34.874000000000002</v>
      </c>
      <c r="U34" s="1276">
        <f>+'[1]Gasolinas 2014'!G45</f>
        <v>34.81</v>
      </c>
      <c r="V34" s="1276">
        <f>+'[1]Gasolinas 2015'!G47</f>
        <v>26.369999999999997</v>
      </c>
      <c r="W34" s="1276">
        <f>+'[1]Gasolinas 2016'!G45</f>
        <v>21.715</v>
      </c>
      <c r="X34" s="1276">
        <f>+'[1]Gasolinas 2017'!G46</f>
        <v>22.26</v>
      </c>
      <c r="Y34" s="1276">
        <f>+'[1]Gasolinas 2018'!G46</f>
        <v>26.99</v>
      </c>
      <c r="Z34" s="1276">
        <f>+'[1]Gasolinas 2019'!G46</f>
        <v>26.234000000000002</v>
      </c>
      <c r="AA34" s="1276">
        <f>+'[1]Gasolinas 2020'!G45</f>
        <v>21.497500000000002</v>
      </c>
      <c r="AB34" s="1276">
        <v>28.462500000000002</v>
      </c>
      <c r="AC34" s="1276">
        <f>+'Gasolineras 2022'!G45</f>
        <v>35.519999999999996</v>
      </c>
      <c r="AD34" s="1276">
        <f>+'Gasolineras 2023'!G46</f>
        <v>34.374000000000002</v>
      </c>
      <c r="AE34" s="1276">
        <v>32.799999999999997</v>
      </c>
      <c r="AF34" s="1308"/>
      <c r="AG34" s="1308"/>
      <c r="AH34" s="1308"/>
      <c r="AI34" s="1308"/>
      <c r="AJ34" s="1308"/>
      <c r="AK34" s="1308"/>
      <c r="AL34" s="1308"/>
      <c r="AM34" s="1308"/>
      <c r="AN34" s="1308"/>
      <c r="AO34" s="1308"/>
    </row>
    <row r="35" spans="1:44" ht="13.5">
      <c r="A35" s="1281" t="s">
        <v>48</v>
      </c>
      <c r="B35" s="1282">
        <v>8.84</v>
      </c>
      <c r="C35" s="1282">
        <v>10.199999999999999</v>
      </c>
      <c r="D35" s="1282">
        <v>10.69</v>
      </c>
      <c r="E35" s="1282">
        <v>10.8</v>
      </c>
      <c r="F35" s="1282">
        <v>12.7</v>
      </c>
      <c r="G35" s="1282">
        <v>14.77</v>
      </c>
      <c r="H35" s="1284">
        <v>13.886000000000001</v>
      </c>
      <c r="I35" s="1284">
        <v>15.2875</v>
      </c>
      <c r="J35" s="1284">
        <v>15.1425</v>
      </c>
      <c r="K35" s="1284">
        <v>18.71</v>
      </c>
      <c r="L35" s="1284">
        <v>22.612000000000002</v>
      </c>
      <c r="M35" s="1284">
        <v>27.86</v>
      </c>
      <c r="N35" s="1284">
        <v>27.524000000000001</v>
      </c>
      <c r="O35" s="1284">
        <v>35.405000000000001</v>
      </c>
      <c r="P35" s="1284">
        <v>26.156000000000006</v>
      </c>
      <c r="Q35" s="1284">
        <v>27.685999999999996</v>
      </c>
      <c r="R35" s="1284">
        <v>34.625999999999998</v>
      </c>
      <c r="S35" s="1284">
        <f>+'[1]Gasolinas 2012'!G89</f>
        <v>34.924999999999997</v>
      </c>
      <c r="T35" s="1284">
        <f>+'[1]Gasolinas 2013'!G89</f>
        <v>35.577500000000001</v>
      </c>
      <c r="U35" s="1284">
        <f>+'[1]Gasolinas 2014'!C50</f>
        <v>34.024999999999999</v>
      </c>
      <c r="V35" s="1284">
        <f>+'[1]Gasolinas 2015'!G53</f>
        <v>24.365999999999996</v>
      </c>
      <c r="W35" s="1284">
        <f>+'[1]Gasolinas 2016'!G51</f>
        <v>21.541999999999998</v>
      </c>
      <c r="X35" s="1284">
        <f>+'[1]Gasolinas 2017'!G51</f>
        <v>22.837499999999999</v>
      </c>
      <c r="Y35" s="1284">
        <f>+'[1]Gasolinas 2018'!G51</f>
        <v>27.055</v>
      </c>
      <c r="Z35" s="1284">
        <f>+'[1]Gasolinas 2019'!G51</f>
        <v>25.160000000000004</v>
      </c>
      <c r="AA35" s="1284">
        <v>21.21</v>
      </c>
      <c r="AB35" s="1284">
        <v>28.913999999999998</v>
      </c>
      <c r="AC35" s="1284">
        <f>+'Gasolineras 2022'!F51</f>
        <v>35.28</v>
      </c>
      <c r="AD35" s="1284">
        <f>+'Gasolineras 2023'!G51</f>
        <v>37.339999999999996</v>
      </c>
      <c r="AE35" s="1284">
        <f>+'Gasolineras 2024'!G51</f>
        <v>32.697499999999998</v>
      </c>
      <c r="AF35" s="1308"/>
      <c r="AG35" s="1308"/>
      <c r="AH35" s="1308"/>
      <c r="AI35" s="1308"/>
      <c r="AJ35" s="1308"/>
      <c r="AK35" s="1308"/>
      <c r="AL35" s="1308"/>
      <c r="AM35" s="1308"/>
      <c r="AN35" s="1308"/>
      <c r="AO35" s="1308"/>
    </row>
    <row r="36" spans="1:44" ht="13.5">
      <c r="A36" s="1273" t="s">
        <v>49</v>
      </c>
      <c r="B36" s="1274">
        <v>8.89</v>
      </c>
      <c r="C36" s="1274">
        <v>10.25</v>
      </c>
      <c r="D36" s="1274">
        <v>11.02</v>
      </c>
      <c r="E36" s="1274">
        <v>10.76</v>
      </c>
      <c r="F36" s="1274">
        <v>12.98</v>
      </c>
      <c r="G36" s="1274">
        <v>14.96</v>
      </c>
      <c r="H36" s="1276">
        <v>14.0025</v>
      </c>
      <c r="I36" s="1276">
        <v>15.25</v>
      </c>
      <c r="J36" s="1276">
        <v>16.548000000000002</v>
      </c>
      <c r="K36" s="1276">
        <v>18.5975</v>
      </c>
      <c r="L36" s="1276">
        <v>25.204999999999998</v>
      </c>
      <c r="M36" s="1276">
        <v>26.97</v>
      </c>
      <c r="N36" s="1276">
        <v>26.774999999999999</v>
      </c>
      <c r="O36" s="1276">
        <v>34.447999999999993</v>
      </c>
      <c r="P36" s="1276">
        <v>26.28</v>
      </c>
      <c r="Q36" s="1276">
        <v>26.925000000000001</v>
      </c>
      <c r="R36" s="1276">
        <v>34.2425</v>
      </c>
      <c r="S36" s="1276">
        <f>+'[1]Gasolinas 2012'!G94</f>
        <v>37.07</v>
      </c>
      <c r="T36" s="1276">
        <f>+'[1]Gasolinas 2013'!G95</f>
        <v>35.267999999999994</v>
      </c>
      <c r="U36" s="1276">
        <f>+'[1]Gasolinas 2014'!G56</f>
        <v>32.314</v>
      </c>
      <c r="V36" s="1276">
        <f>+'[1]Gasolinas 2015'!G58</f>
        <v>22.419999999999998</v>
      </c>
      <c r="W36" s="1276">
        <f>+'[1]Gasolinas 2016'!G56</f>
        <v>22.164999999999999</v>
      </c>
      <c r="X36" s="1276">
        <f>+'[1]Gasolinas 2017'!G56</f>
        <v>24.422499999999999</v>
      </c>
      <c r="Y36" s="1276">
        <f>+'[1]Gasolinas 2018'!G56</f>
        <v>27.310000000000002</v>
      </c>
      <c r="Z36" s="1276">
        <f>+'[1]Gasolinas 2019'!G57</f>
        <v>24.982000000000003</v>
      </c>
      <c r="AA36" s="1276">
        <f>+'[1]Gasolinas 2020'!G56</f>
        <v>21.077500000000001</v>
      </c>
      <c r="AB36" s="1276">
        <v>29.1875</v>
      </c>
      <c r="AC36" s="1276">
        <f>+'Gasolineras 2022'!G56</f>
        <v>34.237500000000004</v>
      </c>
      <c r="AD36" s="1276">
        <f>+'Gasolineras 2023'!G56</f>
        <v>37.094999999999999</v>
      </c>
      <c r="AE36" s="1276">
        <f>+'Gasolineras 2024'!G57</f>
        <v>30.382000000000005</v>
      </c>
      <c r="AF36" s="1308"/>
      <c r="AG36" s="1308"/>
      <c r="AH36" s="1308"/>
      <c r="AI36" s="1308"/>
      <c r="AJ36" s="1308"/>
      <c r="AK36" s="1308"/>
      <c r="AL36" s="1308"/>
      <c r="AM36" s="1308"/>
      <c r="AN36" s="1308"/>
      <c r="AO36" s="1308"/>
    </row>
    <row r="37" spans="1:44" ht="13.5">
      <c r="A37" s="1281" t="s">
        <v>50</v>
      </c>
      <c r="B37" s="1282">
        <v>8.89</v>
      </c>
      <c r="C37" s="1282">
        <v>10.28</v>
      </c>
      <c r="D37" s="1282">
        <v>10.77</v>
      </c>
      <c r="E37" s="1282">
        <v>10.87</v>
      </c>
      <c r="F37" s="1282">
        <v>13.6</v>
      </c>
      <c r="G37" s="1282">
        <v>15.398</v>
      </c>
      <c r="H37" s="1284">
        <v>13.951999999999998</v>
      </c>
      <c r="I37" s="1284">
        <v>15.6275</v>
      </c>
      <c r="J37" s="1284">
        <v>16.267499999999998</v>
      </c>
      <c r="K37" s="1284">
        <v>19.197500000000002</v>
      </c>
      <c r="L37" s="1284">
        <v>26.851999999999997</v>
      </c>
      <c r="M37" s="1284">
        <v>24.45</v>
      </c>
      <c r="N37" s="1284">
        <v>27.018000000000001</v>
      </c>
      <c r="O37" s="1284">
        <v>30.765000000000001</v>
      </c>
      <c r="P37" s="1284">
        <v>25.572500000000002</v>
      </c>
      <c r="Q37" s="1284">
        <v>28.5</v>
      </c>
      <c r="R37" s="1284">
        <v>33.646000000000001</v>
      </c>
      <c r="S37" s="1284">
        <f>+'[1]Gasolinas 2012'!G100</f>
        <v>36.042000000000002</v>
      </c>
      <c r="T37" s="1284">
        <f>+'[1]Gasolinas 2013'!G100</f>
        <v>33.35</v>
      </c>
      <c r="U37" s="1284">
        <f>+'[1]Gasolinas 2014'!G61</f>
        <v>30.487500000000001</v>
      </c>
      <c r="V37" s="1284">
        <f>+'[1]Gasolinas 2015'!G63</f>
        <v>21.997499999999999</v>
      </c>
      <c r="W37" s="1284">
        <f>+'[1]Gasolinas 2016'!G62</f>
        <v>22.541999999999998</v>
      </c>
      <c r="X37" s="1284">
        <f>+'[1]Gasolinas 2017'!G62</f>
        <v>23.55</v>
      </c>
      <c r="Y37" s="1284">
        <f>+'[1]Gasolinas 2018'!G62</f>
        <v>27.655999999999999</v>
      </c>
      <c r="Z37" s="1284">
        <f>+'[1]Gasolinas 2019'!G62</f>
        <v>24.715000000000003</v>
      </c>
      <c r="AA37" s="1284">
        <v>21.15</v>
      </c>
      <c r="AB37" s="1284">
        <v>29.985000000000003</v>
      </c>
      <c r="AC37" s="1284">
        <f>+'Gasolineras 2022'!G61</f>
        <v>36.347499999999997</v>
      </c>
      <c r="AD37" s="1284">
        <f>+'Gasolineras 2023'!G62</f>
        <v>35.576000000000008</v>
      </c>
      <c r="AE37" s="1284">
        <f>+'Gasolineras 2024'!G62</f>
        <v>29.932500000000001</v>
      </c>
      <c r="AF37" s="1308"/>
      <c r="AG37" s="1308"/>
      <c r="AH37" s="1308"/>
      <c r="AI37" s="1308"/>
      <c r="AJ37" s="1308"/>
      <c r="AK37" s="1308"/>
      <c r="AL37" s="1308"/>
      <c r="AM37" s="1308"/>
      <c r="AN37" s="1308"/>
      <c r="AO37" s="1308"/>
    </row>
    <row r="38" spans="1:44" ht="13.5">
      <c r="A38" s="1273" t="s">
        <v>51</v>
      </c>
      <c r="B38" s="1274">
        <v>8.83</v>
      </c>
      <c r="C38" s="1274">
        <v>10.4</v>
      </c>
      <c r="D38" s="1274">
        <v>10.58</v>
      </c>
      <c r="E38" s="1274">
        <v>10.9</v>
      </c>
      <c r="F38" s="1274">
        <v>13.51</v>
      </c>
      <c r="G38" s="1274">
        <v>15.2125</v>
      </c>
      <c r="H38" s="1276">
        <v>13.5275</v>
      </c>
      <c r="I38" s="1276">
        <v>15.76</v>
      </c>
      <c r="J38" s="1276">
        <v>16.003333333333334</v>
      </c>
      <c r="K38" s="1276">
        <v>20.04</v>
      </c>
      <c r="L38" s="1276">
        <v>25.5</v>
      </c>
      <c r="M38" s="1276">
        <v>22.9</v>
      </c>
      <c r="N38" s="1276">
        <v>27.987500000000001</v>
      </c>
      <c r="O38" s="1276">
        <v>25.76</v>
      </c>
      <c r="P38" s="1276">
        <v>27.332000000000001</v>
      </c>
      <c r="Q38" s="1276">
        <v>28.466000000000001</v>
      </c>
      <c r="R38" s="1276">
        <v>34.104999999999997</v>
      </c>
      <c r="S38" s="1276">
        <f>+'[1]Gasolinas 2012'!G105</f>
        <v>33.197500000000005</v>
      </c>
      <c r="T38" s="1276">
        <f>+'[1]Gasolinas 2013'!G105</f>
        <v>32.18</v>
      </c>
      <c r="U38" s="1276">
        <f>+'[1]Gasolinas 2014'!G66</f>
        <v>28.537499999999998</v>
      </c>
      <c r="V38" s="1276">
        <f>+'[1]Gasolinas 2015'!G69</f>
        <v>21.119999999999997</v>
      </c>
      <c r="W38" s="1276">
        <f>+'[1]Gasolinas 2016'!G67</f>
        <v>21.844999999999999</v>
      </c>
      <c r="X38" s="1276">
        <f>+'[1]Gasolinas 2017'!G67</f>
        <v>24.475000000000001</v>
      </c>
      <c r="Y38" s="1276">
        <f>+'[1]Gasolinas 2018'!G67</f>
        <v>24.947500000000002</v>
      </c>
      <c r="Z38" s="1276">
        <f>+'[1]Gasolinas 2019'!G67</f>
        <v>24.654999999999998</v>
      </c>
      <c r="AA38" s="1276">
        <v>20.11</v>
      </c>
      <c r="AB38" s="1276">
        <v>30.477999999999998</v>
      </c>
      <c r="AC38" s="1276">
        <f>+'Gasolineras 2022'!H67</f>
        <v>34.9</v>
      </c>
      <c r="AD38" s="1276">
        <f>+'Gasolineras 2023'!G67</f>
        <v>31.024999999999999</v>
      </c>
      <c r="AE38" s="1276"/>
      <c r="AF38" s="1308"/>
      <c r="AG38" s="1308"/>
      <c r="AH38" s="1308"/>
      <c r="AI38" s="1308"/>
      <c r="AJ38" s="1308"/>
      <c r="AK38" s="1308"/>
      <c r="AL38" s="1308"/>
      <c r="AM38" s="1308"/>
      <c r="AN38" s="1308"/>
      <c r="AO38" s="1308"/>
    </row>
    <row r="39" spans="1:44" ht="13.5">
      <c r="A39" s="1281" t="s">
        <v>52</v>
      </c>
      <c r="B39" s="1282">
        <v>8.84</v>
      </c>
      <c r="C39" s="1282">
        <v>10.58</v>
      </c>
      <c r="D39" s="1282">
        <v>10.56</v>
      </c>
      <c r="E39" s="1282">
        <v>10.62</v>
      </c>
      <c r="F39" s="1282">
        <v>14.13</v>
      </c>
      <c r="G39" s="1282">
        <v>15.0375</v>
      </c>
      <c r="H39" s="1284">
        <v>12.785</v>
      </c>
      <c r="I39" s="1284">
        <v>15.49</v>
      </c>
      <c r="J39" s="1284">
        <v>15.49</v>
      </c>
      <c r="K39" s="1284">
        <v>19.7</v>
      </c>
      <c r="L39" s="1284">
        <v>22.927499999999998</v>
      </c>
      <c r="M39" s="1284">
        <v>22.8825</v>
      </c>
      <c r="N39" s="1284">
        <v>28.727499999999999</v>
      </c>
      <c r="O39" s="1284">
        <v>22.065999999999995</v>
      </c>
      <c r="P39" s="1284">
        <v>26.927499999999998</v>
      </c>
      <c r="Q39" s="1284">
        <v>29.432500000000001</v>
      </c>
      <c r="R39" s="1284">
        <v>32.8825</v>
      </c>
      <c r="S39" s="1284">
        <f>+'[1]Gasolinas 2012'!G110</f>
        <v>33.207500000000003</v>
      </c>
      <c r="T39" s="1284">
        <f>+'[1]Gasolinas 2013'!G111</f>
        <v>34.311999999999998</v>
      </c>
      <c r="U39" s="1284">
        <f>+'[1]Gasolinas 2014'!G72</f>
        <v>25.042000000000002</v>
      </c>
      <c r="V39" s="1284">
        <f>+'[1]Gasolinas 2015'!G74</f>
        <v>20.177500000000002</v>
      </c>
      <c r="W39" s="1284">
        <f>+'[1]Gasolinas 2016'!G72</f>
        <v>22.795000000000002</v>
      </c>
      <c r="X39" s="1284">
        <f>+'[1]Gasolinas 2017'!G72</f>
        <v>24.217499999999998</v>
      </c>
      <c r="Y39" s="1284">
        <f>+'[1]Gasolinas 2018'!G72</f>
        <v>22.932499999999997</v>
      </c>
      <c r="Z39" s="1284">
        <f>+'[1]Gasolinas 2019'!G73</f>
        <v>24.544</v>
      </c>
      <c r="AA39" s="1284">
        <f>+'[1]Gasolinas 2020'!G72</f>
        <v>21.604999999999997</v>
      </c>
      <c r="AB39" s="1284">
        <v>28.77</v>
      </c>
      <c r="AC39" s="1284">
        <f>+'Gasolineras 2022'!G72</f>
        <v>33.627499999999998</v>
      </c>
      <c r="AD39" s="1284">
        <f>+'Gasolineras 2023'!G72</f>
        <v>29.549999999999997</v>
      </c>
      <c r="AE39" s="1284"/>
      <c r="AF39" s="1308"/>
      <c r="AG39" s="1308"/>
      <c r="AH39" s="1308"/>
      <c r="AI39" s="1308"/>
      <c r="AJ39" s="1308"/>
      <c r="AK39" s="1308"/>
      <c r="AL39" s="1308"/>
      <c r="AM39" s="1308"/>
      <c r="AN39" s="1308"/>
      <c r="AO39" s="1308"/>
    </row>
    <row r="40" spans="1:44" ht="21.75" customHeight="1">
      <c r="A40" s="1288" t="s">
        <v>7</v>
      </c>
      <c r="B40" s="1289">
        <f t="shared" ref="B40:AD40" si="1">AVERAGE(B28:B39)</f>
        <v>8.8691666666666666</v>
      </c>
      <c r="C40" s="1289">
        <f t="shared" si="1"/>
        <v>10.071666666666667</v>
      </c>
      <c r="D40" s="1289">
        <f t="shared" si="1"/>
        <v>10.715833333333331</v>
      </c>
      <c r="E40" s="1289">
        <f t="shared" si="1"/>
        <v>10.836666666666668</v>
      </c>
      <c r="F40" s="1289">
        <f t="shared" si="1"/>
        <v>12.137500000000001</v>
      </c>
      <c r="G40" s="1289">
        <f t="shared" si="1"/>
        <v>14.968999999999999</v>
      </c>
      <c r="H40" s="1290">
        <f t="shared" si="1"/>
        <v>14.174833333333332</v>
      </c>
      <c r="I40" s="1290">
        <f t="shared" si="1"/>
        <v>14.290291666666667</v>
      </c>
      <c r="J40" s="1290">
        <f t="shared" si="1"/>
        <v>15.794569444444443</v>
      </c>
      <c r="K40" s="1290">
        <f t="shared" si="1"/>
        <v>18.489791666666665</v>
      </c>
      <c r="L40" s="1290">
        <f t="shared" si="1"/>
        <v>22.288624999999996</v>
      </c>
      <c r="M40" s="1290">
        <f t="shared" si="1"/>
        <v>24.564083333333333</v>
      </c>
      <c r="N40" s="1290">
        <f t="shared" si="1"/>
        <v>26.191125</v>
      </c>
      <c r="O40" s="1290">
        <f t="shared" si="1"/>
        <v>30.871291666666664</v>
      </c>
      <c r="P40" s="1290">
        <f t="shared" si="1"/>
        <v>24.140125000000001</v>
      </c>
      <c r="Q40" s="1290">
        <f t="shared" si="1"/>
        <v>28.319083333333339</v>
      </c>
      <c r="R40" s="1290">
        <f t="shared" si="1"/>
        <v>33.71970833333333</v>
      </c>
      <c r="S40" s="1290">
        <f t="shared" si="1"/>
        <v>34.90508333333333</v>
      </c>
      <c r="T40" s="1290">
        <f t="shared" si="1"/>
        <v>34.105375000000002</v>
      </c>
      <c r="U40" s="1290">
        <f t="shared" si="1"/>
        <v>32.398375000000009</v>
      </c>
      <c r="V40" s="1290">
        <f t="shared" si="1"/>
        <v>23.423791666666663</v>
      </c>
      <c r="W40" s="1290">
        <f t="shared" si="1"/>
        <v>21.466041666666666</v>
      </c>
      <c r="X40" s="1290">
        <f t="shared" si="1"/>
        <v>23.312041666666669</v>
      </c>
      <c r="Y40" s="1290">
        <f t="shared" si="1"/>
        <v>26.02716666666667</v>
      </c>
      <c r="Z40" s="1290">
        <f t="shared" si="1"/>
        <v>24.990624999999998</v>
      </c>
      <c r="AA40" s="1290">
        <f t="shared" si="1"/>
        <v>21.107153516323859</v>
      </c>
      <c r="AB40" s="1290">
        <v>27.682458333333333</v>
      </c>
      <c r="AC40" s="1290">
        <f>AVERAGE(AC28:AC39)</f>
        <v>35.910000000000004</v>
      </c>
      <c r="AD40" s="1290">
        <f t="shared" si="1"/>
        <v>34.097583333333333</v>
      </c>
      <c r="AE40" s="1290">
        <f>AVERAGE(AE28:AE39)</f>
        <v>32.322899999999997</v>
      </c>
      <c r="AF40" s="1308"/>
      <c r="AG40" s="1308"/>
      <c r="AH40" s="1308"/>
      <c r="AI40" s="1308"/>
      <c r="AJ40" s="1308"/>
      <c r="AK40" s="1308"/>
      <c r="AL40" s="1308"/>
      <c r="AM40" s="1308"/>
      <c r="AN40" s="1308"/>
      <c r="AO40" s="1308"/>
    </row>
    <row r="41" spans="1:44" ht="15">
      <c r="A41" s="1327"/>
      <c r="B41" s="1327"/>
      <c r="C41" s="1327"/>
      <c r="D41" s="1327"/>
      <c r="E41" s="1327"/>
      <c r="F41" s="1327"/>
      <c r="G41" s="1327"/>
      <c r="H41" s="1327"/>
      <c r="I41" s="624"/>
      <c r="J41" s="624"/>
      <c r="K41" s="624"/>
      <c r="L41" s="624"/>
      <c r="M41" s="624"/>
      <c r="N41" s="624"/>
      <c r="O41" s="624"/>
      <c r="P41" s="624"/>
      <c r="Q41" s="624"/>
      <c r="R41" s="624"/>
      <c r="S41" s="624"/>
      <c r="T41" s="624"/>
      <c r="U41" s="624"/>
      <c r="V41" s="1318"/>
      <c r="W41" s="1318"/>
      <c r="X41" s="1318"/>
      <c r="Y41" s="1319"/>
      <c r="Z41" s="1318"/>
      <c r="AA41" s="1318"/>
      <c r="AB41" s="1318"/>
      <c r="AC41" s="1318"/>
      <c r="AD41" s="1318"/>
      <c r="AE41" s="1318"/>
      <c r="AF41" s="1319"/>
      <c r="AG41" s="1319"/>
      <c r="AH41" s="1319"/>
      <c r="AI41" s="1319"/>
      <c r="AJ41" s="1319"/>
      <c r="AK41" s="1319"/>
      <c r="AL41" s="1319"/>
      <c r="AM41" s="1319"/>
      <c r="AN41" s="1319"/>
      <c r="AO41" s="1319"/>
      <c r="AP41" s="1320"/>
      <c r="AQ41" s="1320"/>
      <c r="AR41" s="1320"/>
    </row>
    <row r="42" spans="1:44" ht="12.75" hidden="1" customHeight="1">
      <c r="A42" s="1643" t="s">
        <v>562</v>
      </c>
      <c r="B42" s="1643"/>
      <c r="C42" s="1643"/>
      <c r="D42" s="1643"/>
      <c r="E42" s="1643"/>
      <c r="F42" s="1643"/>
      <c r="G42" s="1643"/>
      <c r="H42" s="1644"/>
      <c r="I42" s="1644"/>
      <c r="J42" s="1644"/>
      <c r="K42" s="1644"/>
      <c r="L42" s="1644"/>
      <c r="M42" s="1644"/>
      <c r="N42" s="1644"/>
      <c r="O42" s="1644"/>
      <c r="P42" s="1644"/>
      <c r="Q42" s="1644"/>
      <c r="R42" s="1644"/>
      <c r="S42" s="1644"/>
      <c r="T42" s="1644"/>
      <c r="U42" s="1644"/>
      <c r="V42" s="1644"/>
      <c r="W42" s="1644"/>
      <c r="X42" s="624"/>
      <c r="Y42" s="624"/>
      <c r="Z42" s="624"/>
      <c r="AA42" s="624"/>
      <c r="AB42" s="624"/>
      <c r="AC42" s="624"/>
      <c r="AD42" s="624"/>
      <c r="AE42" s="624"/>
      <c r="AF42" s="1308"/>
      <c r="AG42" s="1308"/>
      <c r="AH42" s="1308"/>
      <c r="AI42" s="1308"/>
      <c r="AJ42" s="1308"/>
      <c r="AK42" s="1308"/>
      <c r="AL42" s="1308"/>
      <c r="AM42" s="1308"/>
      <c r="AN42" s="1308"/>
      <c r="AO42" s="1308"/>
    </row>
    <row r="43" spans="1:44" ht="12.75" hidden="1" customHeight="1">
      <c r="A43" s="1645" t="s">
        <v>39</v>
      </c>
      <c r="B43" s="1645"/>
      <c r="C43" s="1645"/>
      <c r="D43" s="1645"/>
      <c r="E43" s="1645"/>
      <c r="F43" s="1645"/>
      <c r="G43" s="1645"/>
      <c r="H43" s="1645"/>
      <c r="I43" s="1645"/>
      <c r="J43" s="1645"/>
      <c r="K43" s="1645"/>
      <c r="L43" s="1645"/>
      <c r="M43" s="1645"/>
      <c r="N43" s="1645"/>
      <c r="O43" s="1645"/>
      <c r="P43" s="1645"/>
      <c r="Q43" s="1645"/>
      <c r="R43" s="1645"/>
      <c r="S43" s="1645"/>
      <c r="T43" s="1644"/>
      <c r="U43" s="1644"/>
      <c r="V43" s="1644"/>
      <c r="W43" s="624"/>
      <c r="X43" s="624"/>
      <c r="Y43" s="624"/>
      <c r="Z43" s="624"/>
      <c r="AA43" s="624"/>
      <c r="AB43" s="624"/>
      <c r="AC43" s="624"/>
      <c r="AD43" s="624"/>
      <c r="AE43" s="624"/>
      <c r="AF43" s="1308"/>
      <c r="AG43" s="1308"/>
      <c r="AH43" s="1308"/>
      <c r="AI43" s="1308"/>
      <c r="AJ43" s="1308"/>
      <c r="AK43" s="1308"/>
      <c r="AL43" s="1308"/>
      <c r="AM43" s="1308"/>
      <c r="AN43" s="1308"/>
      <c r="AO43" s="1308"/>
    </row>
    <row r="44" spans="1:44" s="1308" customFormat="1" ht="12.75" hidden="1" customHeight="1">
      <c r="A44" s="1646" t="s">
        <v>522</v>
      </c>
      <c r="B44" s="1646"/>
      <c r="C44" s="1646"/>
      <c r="D44" s="1646"/>
      <c r="E44" s="1646"/>
      <c r="F44" s="1646"/>
      <c r="G44" s="1646"/>
      <c r="H44" s="1646"/>
      <c r="I44" s="1646"/>
      <c r="J44" s="1646"/>
      <c r="K44" s="1646"/>
      <c r="L44" s="1646"/>
      <c r="M44" s="1646"/>
      <c r="N44" s="1646"/>
      <c r="O44" s="1646"/>
      <c r="P44" s="1646"/>
      <c r="Q44" s="1646"/>
      <c r="R44" s="1646"/>
      <c r="S44" s="1646"/>
      <c r="T44" s="1644"/>
      <c r="U44" s="1644"/>
      <c r="V44" s="1644"/>
      <c r="W44" s="624"/>
      <c r="X44" s="624"/>
      <c r="Y44" s="624"/>
      <c r="Z44" s="624"/>
      <c r="AA44" s="624"/>
      <c r="AB44" s="624"/>
      <c r="AC44" s="624"/>
      <c r="AD44" s="624"/>
      <c r="AE44" s="624"/>
    </row>
    <row r="45" spans="1:44" s="1308" customFormat="1" ht="13.5" hidden="1" customHeight="1" thickBot="1">
      <c r="A45" s="1645" t="s">
        <v>40</v>
      </c>
      <c r="B45" s="1645"/>
      <c r="C45" s="1645"/>
      <c r="D45" s="1645"/>
      <c r="E45" s="1645"/>
      <c r="F45" s="1645"/>
      <c r="G45" s="1645"/>
      <c r="H45" s="1645"/>
      <c r="I45" s="1645"/>
      <c r="J45" s="1645"/>
      <c r="K45" s="1645"/>
      <c r="L45" s="1645"/>
      <c r="M45" s="1645"/>
      <c r="N45" s="1645"/>
      <c r="O45" s="1645"/>
      <c r="P45" s="1645"/>
      <c r="Q45" s="1645"/>
      <c r="R45" s="1645"/>
      <c r="S45" s="1645"/>
      <c r="T45" s="1644"/>
      <c r="U45" s="1644"/>
      <c r="V45" s="1644"/>
      <c r="W45" s="624"/>
      <c r="X45" s="624"/>
      <c r="Y45" s="1328"/>
      <c r="Z45" s="624"/>
      <c r="AA45" s="624"/>
      <c r="AB45" s="624"/>
      <c r="AC45" s="624"/>
      <c r="AD45" s="624"/>
      <c r="AE45" s="624"/>
    </row>
    <row r="46" spans="1:44" ht="12.75" hidden="1" customHeight="1">
      <c r="A46" s="624"/>
      <c r="B46" s="624"/>
      <c r="C46" s="624"/>
      <c r="D46" s="624"/>
      <c r="E46" s="624"/>
      <c r="F46" s="624"/>
      <c r="G46" s="624"/>
      <c r="H46" s="624"/>
      <c r="I46" s="624"/>
      <c r="J46" s="624"/>
      <c r="K46" s="624"/>
      <c r="L46" s="624"/>
      <c r="M46" s="624"/>
      <c r="N46" s="624"/>
      <c r="O46" s="624"/>
      <c r="P46" s="624"/>
      <c r="Q46" s="624"/>
      <c r="R46" s="624"/>
      <c r="S46" s="624"/>
      <c r="T46" s="624"/>
      <c r="U46" s="624"/>
      <c r="V46" s="624"/>
      <c r="W46" s="624"/>
      <c r="X46" s="624"/>
      <c r="Y46" s="1329">
        <f>+'[1]Gasolinas 2018'!G32</f>
        <v>27.4</v>
      </c>
      <c r="Z46" s="624"/>
      <c r="AA46" s="624"/>
      <c r="AB46" s="624"/>
      <c r="AC46" s="624"/>
      <c r="AD46" s="624"/>
      <c r="AE46" s="624"/>
      <c r="AF46" s="1308"/>
      <c r="AG46" s="1308"/>
      <c r="AH46" s="1308"/>
      <c r="AI46" s="1308"/>
      <c r="AJ46" s="1308"/>
      <c r="AK46" s="1308"/>
      <c r="AL46" s="1308"/>
      <c r="AM46" s="1308"/>
      <c r="AN46" s="1308"/>
      <c r="AO46" s="1308"/>
    </row>
    <row r="47" spans="1:44" ht="13.5">
      <c r="A47" s="1269" t="s">
        <v>673</v>
      </c>
      <c r="B47" s="1269"/>
      <c r="C47" s="1269"/>
      <c r="D47" s="1269"/>
      <c r="E47" s="1269"/>
      <c r="F47" s="1269"/>
      <c r="G47" s="1269"/>
      <c r="H47" s="1269"/>
      <c r="I47" s="1269"/>
      <c r="J47" s="1269"/>
      <c r="K47" s="1272"/>
      <c r="L47" s="1272"/>
      <c r="M47" s="1272"/>
      <c r="N47" s="1272"/>
      <c r="O47" s="1272"/>
      <c r="P47" s="1272"/>
      <c r="Q47" s="1272"/>
      <c r="R47" s="1272"/>
      <c r="S47" s="1272"/>
      <c r="T47" s="1272"/>
      <c r="U47" s="1272"/>
      <c r="V47" s="1272"/>
      <c r="W47" s="1272"/>
      <c r="X47" s="1272"/>
      <c r="Y47" s="1272"/>
      <c r="Z47" s="1272"/>
      <c r="AA47" s="1272"/>
      <c r="AB47" s="1272"/>
      <c r="AC47" s="1272"/>
      <c r="AD47" s="1272"/>
      <c r="AE47" s="1272"/>
      <c r="AF47" s="1308"/>
      <c r="AG47" s="1308"/>
      <c r="AH47" s="1308"/>
      <c r="AI47" s="1308"/>
      <c r="AJ47" s="1308"/>
      <c r="AK47" s="1308"/>
      <c r="AL47" s="1308"/>
      <c r="AM47" s="1308"/>
      <c r="AN47" s="1308"/>
      <c r="AO47" s="1308"/>
    </row>
    <row r="48" spans="1:44" ht="15.75">
      <c r="A48" s="1304"/>
      <c r="B48" s="1647" t="s">
        <v>2</v>
      </c>
      <c r="C48" s="1648"/>
      <c r="D48" s="1648"/>
      <c r="E48" s="1648"/>
      <c r="F48" s="1648"/>
      <c r="G48" s="1648"/>
      <c r="H48" s="1649"/>
      <c r="I48" s="1650"/>
      <c r="J48" s="1650"/>
      <c r="K48" s="1650"/>
      <c r="L48" s="1650"/>
      <c r="M48" s="1650"/>
      <c r="N48" s="1650"/>
      <c r="O48" s="1650"/>
      <c r="P48" s="1650"/>
      <c r="Q48" s="1650"/>
      <c r="R48" s="1650"/>
      <c r="S48" s="1650"/>
      <c r="T48" s="1650"/>
      <c r="U48" s="1650"/>
      <c r="V48" s="1650"/>
      <c r="W48" s="1650"/>
      <c r="X48" s="1650"/>
      <c r="Y48" s="1272"/>
      <c r="Z48" s="1272"/>
      <c r="AA48" s="1272"/>
      <c r="AB48" s="1272"/>
      <c r="AC48" s="1272"/>
      <c r="AD48" s="1272"/>
      <c r="AE48" s="1272"/>
      <c r="AF48" s="1308"/>
      <c r="AG48" s="1308"/>
      <c r="AH48" s="1308"/>
      <c r="AI48" s="1308"/>
      <c r="AJ48" s="1308"/>
      <c r="AK48" s="1308"/>
      <c r="AL48" s="1308"/>
      <c r="AM48" s="1308"/>
      <c r="AN48" s="1308"/>
      <c r="AO48" s="1308"/>
    </row>
    <row r="49" spans="1:44" ht="12.75" customHeight="1">
      <c r="A49" s="1640" t="s">
        <v>517</v>
      </c>
      <c r="B49" s="1601">
        <v>1995</v>
      </c>
      <c r="C49" s="1601">
        <v>1996</v>
      </c>
      <c r="D49" s="1601">
        <v>1997</v>
      </c>
      <c r="E49" s="1601">
        <v>1998</v>
      </c>
      <c r="F49" s="1601">
        <v>1999</v>
      </c>
      <c r="G49" s="1601">
        <v>2000</v>
      </c>
      <c r="H49" s="1601">
        <v>2001</v>
      </c>
      <c r="I49" s="1601">
        <v>2002</v>
      </c>
      <c r="J49" s="1601">
        <v>2003</v>
      </c>
      <c r="K49" s="1601">
        <v>2004</v>
      </c>
      <c r="L49" s="1601">
        <v>2005</v>
      </c>
      <c r="M49" s="1601">
        <v>2006</v>
      </c>
      <c r="N49" s="1601">
        <v>2007</v>
      </c>
      <c r="O49" s="1601">
        <v>2008</v>
      </c>
      <c r="P49" s="1601">
        <v>2009</v>
      </c>
      <c r="Q49" s="1601">
        <v>2010</v>
      </c>
      <c r="R49" s="1601">
        <v>2011</v>
      </c>
      <c r="S49" s="1601">
        <f>+S9</f>
        <v>2012</v>
      </c>
      <c r="T49" s="1601">
        <v>2013</v>
      </c>
      <c r="U49" s="1601">
        <v>2014</v>
      </c>
      <c r="V49" s="1601">
        <v>2015</v>
      </c>
      <c r="W49" s="1601">
        <v>2016</v>
      </c>
      <c r="X49" s="1601">
        <v>2017</v>
      </c>
      <c r="Y49" s="1601">
        <v>2018</v>
      </c>
      <c r="Z49" s="1601">
        <v>2019</v>
      </c>
      <c r="AA49" s="1601">
        <v>2020</v>
      </c>
      <c r="AB49" s="1601">
        <v>2021</v>
      </c>
      <c r="AC49" s="1601">
        <v>2022</v>
      </c>
      <c r="AD49" s="1601">
        <v>2023</v>
      </c>
      <c r="AE49" s="1601">
        <v>2024</v>
      </c>
      <c r="AF49" s="1308"/>
      <c r="AG49" s="1308"/>
      <c r="AH49" s="1308"/>
      <c r="AI49" s="1308"/>
      <c r="AJ49" s="1308"/>
      <c r="AK49" s="1308"/>
      <c r="AL49" s="1308"/>
      <c r="AM49" s="1308"/>
      <c r="AN49" s="1308"/>
      <c r="AO49" s="1308"/>
    </row>
    <row r="50" spans="1:44" ht="12.75" customHeight="1">
      <c r="A50" s="1640"/>
      <c r="B50" s="1602"/>
      <c r="C50" s="1602"/>
      <c r="D50" s="1602"/>
      <c r="E50" s="1602"/>
      <c r="F50" s="1602"/>
      <c r="G50" s="1602"/>
      <c r="H50" s="1602"/>
      <c r="I50" s="1602"/>
      <c r="J50" s="1602"/>
      <c r="K50" s="1602"/>
      <c r="L50" s="1602"/>
      <c r="M50" s="1602"/>
      <c r="N50" s="1602"/>
      <c r="O50" s="1602"/>
      <c r="P50" s="1602"/>
      <c r="Q50" s="1602"/>
      <c r="R50" s="1602"/>
      <c r="S50" s="1602"/>
      <c r="T50" s="1602"/>
      <c r="U50" s="1602"/>
      <c r="V50" s="1602"/>
      <c r="W50" s="1602"/>
      <c r="X50" s="1602"/>
      <c r="Y50" s="1602"/>
      <c r="Z50" s="1602"/>
      <c r="AA50" s="1602"/>
      <c r="AB50" s="1602"/>
      <c r="AC50" s="1602"/>
      <c r="AD50" s="1602"/>
      <c r="AE50" s="1602"/>
      <c r="AF50" s="1308"/>
      <c r="AG50" s="1308"/>
      <c r="AH50" s="1308"/>
      <c r="AI50" s="1308"/>
      <c r="AJ50" s="1308"/>
      <c r="AK50" s="1308"/>
      <c r="AL50" s="1308"/>
      <c r="AM50" s="1308"/>
      <c r="AN50" s="1308"/>
      <c r="AO50" s="1308"/>
    </row>
    <row r="51" spans="1:44" ht="13.5">
      <c r="A51" s="1273" t="s">
        <v>41</v>
      </c>
      <c r="B51" s="1274">
        <v>7.84</v>
      </c>
      <c r="C51" s="1274">
        <v>8.86</v>
      </c>
      <c r="D51" s="1274">
        <v>10.4</v>
      </c>
      <c r="E51" s="1274">
        <v>10.68</v>
      </c>
      <c r="F51" s="1274">
        <v>10.029999999999999</v>
      </c>
      <c r="G51" s="1274">
        <v>13.52</v>
      </c>
      <c r="H51" s="1276">
        <v>13.848000000000003</v>
      </c>
      <c r="I51" s="1276">
        <v>12.187999999999999</v>
      </c>
      <c r="J51" s="1276">
        <v>14.922499999999999</v>
      </c>
      <c r="K51" s="1276">
        <v>15.477499999999999</v>
      </c>
      <c r="L51" s="1276">
        <v>18.234000000000002</v>
      </c>
      <c r="M51" s="1276">
        <v>21.832000000000001</v>
      </c>
      <c r="N51" s="1276">
        <v>22.16</v>
      </c>
      <c r="O51" s="1276">
        <v>27.96</v>
      </c>
      <c r="P51" s="1276">
        <v>20.2</v>
      </c>
      <c r="Q51" s="1276">
        <v>26.99</v>
      </c>
      <c r="R51" s="1276">
        <v>29.46</v>
      </c>
      <c r="S51" s="1276">
        <f>+'[1]Gasolinas 2012'!H14</f>
        <v>32.11</v>
      </c>
      <c r="T51" s="1276">
        <f>+'[1]Gasolinas 2013'!H14</f>
        <v>32.101999999999997</v>
      </c>
      <c r="U51" s="1276">
        <f>+'[1]Gasolinas 2014'!H13</f>
        <v>32.582499999999996</v>
      </c>
      <c r="V51" s="1276">
        <f>+'[1]Gasolinas 2015'!H15</f>
        <v>19.427499999999998</v>
      </c>
      <c r="W51" s="1276">
        <f>+'[1]Gasolinas 2016'!H13</f>
        <v>18.07</v>
      </c>
      <c r="X51" s="1276">
        <f>+'[1]Gasolinas 2017'!H14</f>
        <v>22.357999999999997</v>
      </c>
      <c r="Y51" s="1276">
        <f>+'[1]Gasolinas 2018'!H14</f>
        <v>23.872</v>
      </c>
      <c r="Z51" s="1276">
        <f>+'[1]Gasolinas 2019'!H14</f>
        <v>20.972000000000001</v>
      </c>
      <c r="AA51" s="1276">
        <f>+'[1]Gasolinas 2020'!H13</f>
        <v>23.74</v>
      </c>
      <c r="AB51" s="1276">
        <v>21.9375</v>
      </c>
      <c r="AC51" s="1276">
        <v>29.58</v>
      </c>
      <c r="AD51" s="1276">
        <f>+'Gasolineras 2023'!H14</f>
        <v>32.697999999999993</v>
      </c>
      <c r="AE51" s="1276">
        <f>+'Gasolineras 2024'!H14</f>
        <v>29.119999999999997</v>
      </c>
      <c r="AF51" s="1308"/>
      <c r="AG51" s="1308"/>
      <c r="AH51" s="1308"/>
      <c r="AI51" s="1308"/>
      <c r="AJ51" s="1308"/>
      <c r="AK51" s="1308"/>
      <c r="AL51" s="1308"/>
      <c r="AM51" s="1308"/>
      <c r="AN51" s="1308"/>
      <c r="AO51" s="1308"/>
    </row>
    <row r="52" spans="1:44" ht="13.5">
      <c r="A52" s="1277" t="s">
        <v>42</v>
      </c>
      <c r="B52" s="1278">
        <v>8.1199999999999992</v>
      </c>
      <c r="C52" s="1278">
        <v>9.08</v>
      </c>
      <c r="D52" s="1278">
        <v>10.5</v>
      </c>
      <c r="E52" s="1278">
        <v>10.53</v>
      </c>
      <c r="F52" s="1278">
        <v>10.02</v>
      </c>
      <c r="G52" s="1278">
        <v>13.88</v>
      </c>
      <c r="H52" s="1280">
        <v>13.9575</v>
      </c>
      <c r="I52" s="1280">
        <v>11.9</v>
      </c>
      <c r="J52" s="1280">
        <v>15.76</v>
      </c>
      <c r="K52" s="1280">
        <v>16.817499999999999</v>
      </c>
      <c r="L52" s="1280">
        <v>17.774999999999999</v>
      </c>
      <c r="M52" s="1280">
        <v>21.537500000000001</v>
      </c>
      <c r="N52" s="1280">
        <v>21.147500000000001</v>
      </c>
      <c r="O52" s="1280">
        <v>27.824999999999999</v>
      </c>
      <c r="P52" s="1280">
        <v>19.927499999999998</v>
      </c>
      <c r="Q52" s="1280">
        <v>26.635000000000002</v>
      </c>
      <c r="R52" s="1280">
        <v>30.504999999999999</v>
      </c>
      <c r="S52" s="1280">
        <f>+'[1]Gasolinas 2012'!H19</f>
        <v>34.365000000000002</v>
      </c>
      <c r="T52" s="1280">
        <f>+'[1]Gasolinas 2013'!H19</f>
        <v>33.35</v>
      </c>
      <c r="U52" s="1280">
        <f>+'[1]Gasolinas 2014'!H18</f>
        <v>31.635000000000002</v>
      </c>
      <c r="V52" s="1280">
        <f>+'[1]Gasolinas 2015'!H20</f>
        <v>20.939999999999998</v>
      </c>
      <c r="W52" s="1280">
        <f>+'[1]Gasolinas 2016'!H19</f>
        <v>17.084</v>
      </c>
      <c r="X52" s="1280">
        <f>+'[1]Gasolinas 2017'!H19</f>
        <v>21.535</v>
      </c>
      <c r="Y52" s="1280">
        <f>+'[1]Gasolinas 2018'!H19</f>
        <v>23.79</v>
      </c>
      <c r="Z52" s="1280">
        <f>+'[1]Gasolinas 2019'!H19</f>
        <v>21.799999999999997</v>
      </c>
      <c r="AA52" s="1280">
        <f>+'[1]Gasolinas 2020'!H18</f>
        <v>22.652499999999996</v>
      </c>
      <c r="AB52" s="1280">
        <v>23.647500000000001</v>
      </c>
      <c r="AC52" s="1280">
        <v>32.200000000000003</v>
      </c>
      <c r="AD52" s="1280">
        <f>+'Gasolineras 2023'!H19</f>
        <v>32.577500000000001</v>
      </c>
      <c r="AE52" s="1280">
        <f>+'Gasolineras 2024'!H19</f>
        <v>30.34</v>
      </c>
      <c r="AF52" s="1308"/>
      <c r="AG52" s="1308"/>
      <c r="AH52" s="1308"/>
      <c r="AI52" s="1308"/>
      <c r="AJ52" s="1308"/>
      <c r="AK52" s="1308"/>
      <c r="AL52" s="1308"/>
      <c r="AM52" s="1308"/>
      <c r="AN52" s="1308"/>
      <c r="AO52" s="1308"/>
    </row>
    <row r="53" spans="1:44" ht="13.5">
      <c r="A53" s="1273" t="s">
        <v>43</v>
      </c>
      <c r="B53" s="1274">
        <v>8.2899999999999991</v>
      </c>
      <c r="C53" s="1274">
        <v>9.2100000000000009</v>
      </c>
      <c r="D53" s="1274">
        <v>10.29</v>
      </c>
      <c r="E53" s="1274">
        <v>10.46</v>
      </c>
      <c r="F53" s="1274">
        <v>10.18</v>
      </c>
      <c r="G53" s="1274">
        <v>14.39</v>
      </c>
      <c r="H53" s="1276">
        <v>13.795</v>
      </c>
      <c r="I53" s="1276">
        <v>12.17</v>
      </c>
      <c r="J53" s="1276">
        <v>16.809999999999999</v>
      </c>
      <c r="K53" s="1276">
        <v>17.454000000000001</v>
      </c>
      <c r="L53" s="1276">
        <v>18.954999999999998</v>
      </c>
      <c r="M53" s="1276">
        <v>21.35</v>
      </c>
      <c r="N53" s="1276">
        <v>22.352499999999999</v>
      </c>
      <c r="O53" s="1276">
        <v>29.242000000000001</v>
      </c>
      <c r="P53" s="1276">
        <v>19.645999999999997</v>
      </c>
      <c r="Q53" s="1276">
        <v>27.956</v>
      </c>
      <c r="R53" s="1276">
        <v>33.517499999999998</v>
      </c>
      <c r="S53" s="1276">
        <f>+'[1]Gasolinas 2012'!H24</f>
        <v>35.880000000000003</v>
      </c>
      <c r="T53" s="1276">
        <f>+'[1]Gasolinas 2013'!H24</f>
        <v>33.207499999999996</v>
      </c>
      <c r="U53" s="1276">
        <f>+'[1]Gasolinas 2014'!H24</f>
        <v>32.143999999999998</v>
      </c>
      <c r="V53" s="1276">
        <f>+'[1]Gasolinas 2015'!H26</f>
        <v>22.692</v>
      </c>
      <c r="W53" s="1276">
        <f>+'[1]Gasolinas 2016'!H24</f>
        <v>18.767499999999998</v>
      </c>
      <c r="X53" s="1276">
        <f>+'[1]Gasolinas 2017'!H24</f>
        <v>21.087499999999999</v>
      </c>
      <c r="Y53" s="1276">
        <f>+'[1]Gasolinas 2018'!H24</f>
        <v>23.817499999999999</v>
      </c>
      <c r="Z53" s="1276">
        <f>+'[1]Gasolinas 2019'!H24</f>
        <v>23.747499999999999</v>
      </c>
      <c r="AA53" s="1276">
        <f>+'[1]Gasolinas 2020'!H24</f>
        <v>21.624000000000002</v>
      </c>
      <c r="AB53" s="1276">
        <v>25.821999999999996</v>
      </c>
      <c r="AC53" s="1276">
        <v>37.64</v>
      </c>
      <c r="AD53" s="1276">
        <f>+'Gasolineras 2023'!H24</f>
        <v>31.827500000000001</v>
      </c>
      <c r="AE53" s="1276">
        <f>+'Gasolineras 2024'!H24</f>
        <v>32.43</v>
      </c>
      <c r="AF53" s="1308"/>
      <c r="AG53" s="1308"/>
      <c r="AH53" s="1308"/>
      <c r="AI53" s="1308"/>
      <c r="AJ53" s="1308"/>
      <c r="AK53" s="1308"/>
      <c r="AL53" s="1308"/>
      <c r="AM53" s="1308"/>
      <c r="AN53" s="1308"/>
      <c r="AO53" s="1308"/>
    </row>
    <row r="54" spans="1:44" ht="13.5">
      <c r="A54" s="1281" t="s">
        <v>44</v>
      </c>
      <c r="B54" s="1282">
        <v>8.49</v>
      </c>
      <c r="C54" s="1282">
        <v>9.69</v>
      </c>
      <c r="D54" s="1282">
        <v>10.29</v>
      </c>
      <c r="E54" s="1282">
        <v>10.37</v>
      </c>
      <c r="F54" s="1282">
        <v>11.03</v>
      </c>
      <c r="G54" s="1282">
        <v>14.09</v>
      </c>
      <c r="H54" s="1284">
        <v>13.71</v>
      </c>
      <c r="I54" s="1284">
        <v>13.712</v>
      </c>
      <c r="J54" s="1284">
        <v>15.96</v>
      </c>
      <c r="K54" s="1284">
        <v>17.872499999999999</v>
      </c>
      <c r="L54" s="1284">
        <v>21.18</v>
      </c>
      <c r="M54" s="1284">
        <v>23.647500000000001</v>
      </c>
      <c r="N54" s="1284">
        <v>24.7575</v>
      </c>
      <c r="O54" s="1284">
        <v>30.67</v>
      </c>
      <c r="P54" s="1284">
        <v>20.237500000000001</v>
      </c>
      <c r="Q54" s="1284">
        <v>28.907499999999999</v>
      </c>
      <c r="R54" s="1284">
        <v>34.527500000000003</v>
      </c>
      <c r="S54" s="1284">
        <f>+'[1]Gasolinas 2012'!H30</f>
        <v>36.58</v>
      </c>
      <c r="T54" s="1284">
        <f>+'[1]Gasolinas 2013'!H30</f>
        <v>32.307999999999993</v>
      </c>
      <c r="U54" s="1284">
        <f>+'[1]Gasolinas 2014'!H29</f>
        <v>32.807499999999997</v>
      </c>
      <c r="V54" s="1284">
        <f>+'[1]Gasolinas 2015'!H31</f>
        <v>23.265000000000001</v>
      </c>
      <c r="W54" s="1284">
        <f>+'[1]Gasolinas 2016'!H29</f>
        <v>19.989999999999998</v>
      </c>
      <c r="X54" s="1284">
        <f>+'[1]Gasolinas 2017'!H29</f>
        <v>21.8675</v>
      </c>
      <c r="Y54" s="1284">
        <f>+'[1]Gasolinas 2018'!H29</f>
        <v>25.112499999999997</v>
      </c>
      <c r="Z54" s="1284">
        <f>+'[1]Gasolinas 2019'!H30</f>
        <v>25.764000000000003</v>
      </c>
      <c r="AA54" s="1284">
        <f>+'[1]Gasolinas 2020'!H29</f>
        <v>16.872499999999999</v>
      </c>
      <c r="AB54" s="1284">
        <v>26.13</v>
      </c>
      <c r="AC54" s="1284">
        <v>34.840000000000003</v>
      </c>
      <c r="AD54" s="1284">
        <f>+'Gasolineras 2023'!H29</f>
        <v>33.732500000000002</v>
      </c>
      <c r="AE54" s="1284">
        <f>+'Gasolineras 2024'!H30</f>
        <v>33.706000000000003</v>
      </c>
      <c r="AF54" s="1308"/>
      <c r="AG54" s="1308"/>
      <c r="AH54" s="1308"/>
      <c r="AI54" s="1308"/>
      <c r="AJ54" s="1308"/>
      <c r="AK54" s="1308"/>
      <c r="AL54" s="1308"/>
      <c r="AM54" s="1308"/>
      <c r="AN54" s="1308"/>
      <c r="AO54" s="1308"/>
    </row>
    <row r="55" spans="1:44" ht="13.5">
      <c r="A55" s="1273" t="s">
        <v>45</v>
      </c>
      <c r="B55" s="1274">
        <v>9.0399999999999991</v>
      </c>
      <c r="C55" s="1274">
        <v>9.99</v>
      </c>
      <c r="D55" s="1274">
        <v>10.33</v>
      </c>
      <c r="E55" s="1274">
        <v>10.57</v>
      </c>
      <c r="F55" s="1274">
        <v>11.54</v>
      </c>
      <c r="G55" s="1274">
        <v>14.38</v>
      </c>
      <c r="H55" s="1276">
        <v>14.796666666666665</v>
      </c>
      <c r="I55" s="1276">
        <v>13.79</v>
      </c>
      <c r="J55" s="1276">
        <v>14.942500000000001</v>
      </c>
      <c r="K55" s="1276">
        <v>18.131999999999998</v>
      </c>
      <c r="L55" s="1276">
        <v>21.728000000000002</v>
      </c>
      <c r="M55" s="1276">
        <v>26.118000000000002</v>
      </c>
      <c r="N55" s="1276">
        <v>26.673999999999999</v>
      </c>
      <c r="O55" s="1276">
        <v>32.04</v>
      </c>
      <c r="P55" s="1276">
        <v>21.47</v>
      </c>
      <c r="Q55" s="1276">
        <v>28.31</v>
      </c>
      <c r="R55" s="1276">
        <v>34.558</v>
      </c>
      <c r="S55" s="1276">
        <f>+'[1]Gasolinas 2012'!H35</f>
        <v>34.664999999999999</v>
      </c>
      <c r="T55" s="1276">
        <f>+'[1]Gasolinas 2013'!H35</f>
        <v>32.412500000000001</v>
      </c>
      <c r="U55" s="1276">
        <f>+'[1]Gasolinas 2014'!H34</f>
        <v>32.31</v>
      </c>
      <c r="V55" s="1276">
        <f>+'[1]Gasolinas 2015'!H36</f>
        <v>24.585000000000001</v>
      </c>
      <c r="W55" s="1276">
        <f>+'[1]Gasolinas 2016'!H35</f>
        <v>20.832000000000001</v>
      </c>
      <c r="X55" s="1276">
        <f>+'[1]Gasolinas 2017'!H35</f>
        <v>21.240000000000002</v>
      </c>
      <c r="Y55" s="1276">
        <f>+'[1]Gasolinas 2018'!H35</f>
        <v>26.336000000000002</v>
      </c>
      <c r="Z55" s="1276">
        <f>+'[1]Gasolinas 2019'!H35</f>
        <v>25.805</v>
      </c>
      <c r="AA55" s="1276">
        <f>+'[1]Gasolinas 2020'!H34</f>
        <v>16.655000000000001</v>
      </c>
      <c r="AB55" s="1276">
        <v>26.994</v>
      </c>
      <c r="AC55" s="1276">
        <v>38.53</v>
      </c>
      <c r="AD55" s="1276">
        <f>+'Gasolineras 2023'!H35</f>
        <v>32.44</v>
      </c>
      <c r="AE55" s="1276">
        <f>+'Gasolineras 2024'!H35</f>
        <v>31.915000000000003</v>
      </c>
      <c r="AF55" s="1308"/>
      <c r="AG55" s="1308"/>
      <c r="AH55" s="1308"/>
      <c r="AI55" s="1308"/>
      <c r="AJ55" s="1308"/>
      <c r="AK55" s="1308"/>
      <c r="AL55" s="1308"/>
      <c r="AM55" s="1308"/>
      <c r="AN55" s="1308"/>
      <c r="AO55" s="1308"/>
    </row>
    <row r="56" spans="1:44" ht="13.5">
      <c r="A56" s="1281" t="s">
        <v>46</v>
      </c>
      <c r="B56" s="1282">
        <v>9.0500000000000007</v>
      </c>
      <c r="C56" s="1282">
        <v>9.92</v>
      </c>
      <c r="D56" s="1282">
        <v>10.4</v>
      </c>
      <c r="E56" s="1282">
        <v>10.65</v>
      </c>
      <c r="F56" s="1282">
        <v>11.53</v>
      </c>
      <c r="G56" s="1282">
        <v>15.09</v>
      </c>
      <c r="H56" s="1284">
        <v>14.9025</v>
      </c>
      <c r="I56" s="1284">
        <v>13.615</v>
      </c>
      <c r="J56" s="1284">
        <v>14.154999999999999</v>
      </c>
      <c r="K56" s="1284">
        <v>18.414999999999999</v>
      </c>
      <c r="L56" s="1284">
        <v>21.465</v>
      </c>
      <c r="M56" s="1284">
        <v>25.945</v>
      </c>
      <c r="N56" s="1284">
        <v>27.717500000000001</v>
      </c>
      <c r="O56" s="1284">
        <v>34.484999999999999</v>
      </c>
      <c r="P56" s="1284">
        <v>24.2</v>
      </c>
      <c r="Q56" s="1284">
        <v>26.52</v>
      </c>
      <c r="R56" s="1284">
        <v>33.67</v>
      </c>
      <c r="S56" s="1284">
        <f>+'[1]Gasolinas 2012'!H40</f>
        <v>32.51</v>
      </c>
      <c r="T56" s="1284">
        <f>+'[1]Gasolinas 2013'!H40</f>
        <v>32.015000000000001</v>
      </c>
      <c r="U56" s="1284">
        <f>+'[1]Gasolinas 2014'!H39</f>
        <v>33.105000000000004</v>
      </c>
      <c r="V56" s="1284">
        <f>+'[1]Gasolinas 2015'!H41</f>
        <v>24.802499999999998</v>
      </c>
      <c r="W56" s="1284">
        <f>+'[1]Gasolinas 2016'!H40</f>
        <v>21.3825</v>
      </c>
      <c r="X56" s="1284">
        <f>+'[1]Gasolinas 2017'!H40</f>
        <v>20.93</v>
      </c>
      <c r="Y56" s="1284">
        <f>+'[1]Gasolinas 2018'!H40</f>
        <v>25.967500000000001</v>
      </c>
      <c r="Z56" s="1284">
        <f>+'[1]Gasolinas 2019'!H40</f>
        <v>24.352499999999999</v>
      </c>
      <c r="AA56" s="1284">
        <f>+'[1]Gasolinas 2020'!H40</f>
        <v>19.181410833843643</v>
      </c>
      <c r="AB56" s="1284">
        <v>27.064999999999998</v>
      </c>
      <c r="AC56" s="1284">
        <f>+'Gasolineras 2022'!H40</f>
        <v>39.315000000000005</v>
      </c>
      <c r="AD56" s="1284">
        <f>+'Gasolineras 2023'!H40</f>
        <v>32.049999999999997</v>
      </c>
      <c r="AE56" s="1284">
        <f>+'Gasolineras 2024'!H40</f>
        <v>30.919999999999998</v>
      </c>
      <c r="AF56" s="1330"/>
      <c r="AG56" s="1308"/>
      <c r="AH56" s="1308"/>
      <c r="AI56" s="1308"/>
      <c r="AJ56" s="1313"/>
      <c r="AK56" s="1313"/>
      <c r="AL56" s="1313"/>
      <c r="AM56" s="1313"/>
      <c r="AN56" s="1313"/>
      <c r="AO56" s="1313"/>
      <c r="AP56" s="1333"/>
      <c r="AQ56" s="1333"/>
    </row>
    <row r="57" spans="1:44" ht="13.5">
      <c r="A57" s="1273" t="s">
        <v>47</v>
      </c>
      <c r="B57" s="1274">
        <v>8.81</v>
      </c>
      <c r="C57" s="1274">
        <v>9.82</v>
      </c>
      <c r="D57" s="1274">
        <v>10.26</v>
      </c>
      <c r="E57" s="1274">
        <v>10.56</v>
      </c>
      <c r="F57" s="1274">
        <v>11.71</v>
      </c>
      <c r="G57" s="1274">
        <v>15.11</v>
      </c>
      <c r="H57" s="1276">
        <v>14.288</v>
      </c>
      <c r="I57" s="1276">
        <v>14.08</v>
      </c>
      <c r="J57" s="1276">
        <v>14.083999999999998</v>
      </c>
      <c r="K57" s="1276">
        <v>18.399999999999999</v>
      </c>
      <c r="L57" s="1276">
        <v>21.432500000000001</v>
      </c>
      <c r="M57" s="1276">
        <v>25.788</v>
      </c>
      <c r="N57" s="1276">
        <v>27.442499999999999</v>
      </c>
      <c r="O57" s="1276">
        <v>35.386000000000003</v>
      </c>
      <c r="P57" s="1276">
        <v>25.065999999999999</v>
      </c>
      <c r="Q57" s="1276">
        <v>26.377500000000001</v>
      </c>
      <c r="R57" s="1276">
        <v>33.895000000000003</v>
      </c>
      <c r="S57" s="1276">
        <f>+'[1]Gasolinas 2012'!G84</f>
        <v>34.217999999999996</v>
      </c>
      <c r="T57" s="1276">
        <f>+'[1]Gasolinas 2013'!H84</f>
        <v>33.375999999999998</v>
      </c>
      <c r="U57" s="1276">
        <f>+'[1]Gasolinas 2014'!H45</f>
        <v>33.331800000000001</v>
      </c>
      <c r="V57" s="1276">
        <f>+'[1]Gasolinas 2015'!H47</f>
        <v>24.884</v>
      </c>
      <c r="W57" s="1276">
        <f>+'[1]Gasolinas 2016'!H45</f>
        <v>20.2225</v>
      </c>
      <c r="X57" s="1276">
        <f>+'[1]Gasolinas 2017'!H46</f>
        <v>20.89</v>
      </c>
      <c r="Y57" s="1276">
        <f>+'[1]Gasolinas 2018'!H46</f>
        <v>25.891999999999996</v>
      </c>
      <c r="Z57" s="1276">
        <f>+'[1]Gasolinas 2019'!H46</f>
        <v>25.033999999999999</v>
      </c>
      <c r="AA57" s="1276">
        <f>+'[1]Gasolinas 2020'!H45</f>
        <v>20.695</v>
      </c>
      <c r="AB57" s="1276">
        <v>27.662500000000001</v>
      </c>
      <c r="AC57" s="1276">
        <f>+'Gasolineras 2022'!H45</f>
        <v>34.564999999999998</v>
      </c>
      <c r="AD57" s="1276">
        <f>+'Gasolineras 2023'!H46</f>
        <v>32.869999999999997</v>
      </c>
      <c r="AE57" s="1276">
        <f>+'Gasolineras 2024'!H46</f>
        <v>31.298000000000002</v>
      </c>
      <c r="AF57" s="1308"/>
      <c r="AG57" s="1308"/>
      <c r="AH57" s="1308"/>
      <c r="AI57" s="1308"/>
      <c r="AJ57" s="1308"/>
      <c r="AK57" s="1308"/>
      <c r="AL57" s="1308"/>
      <c r="AM57" s="1308"/>
      <c r="AN57" s="1308"/>
      <c r="AO57" s="1308"/>
    </row>
    <row r="58" spans="1:44" ht="13.5">
      <c r="A58" s="1281" t="s">
        <v>48</v>
      </c>
      <c r="B58" s="1282">
        <v>8.49</v>
      </c>
      <c r="C58" s="1282">
        <v>9.8000000000000007</v>
      </c>
      <c r="D58" s="1282">
        <v>10.36</v>
      </c>
      <c r="E58" s="1282">
        <v>10.45</v>
      </c>
      <c r="F58" s="1282">
        <v>12.19</v>
      </c>
      <c r="G58" s="1282">
        <v>14.09</v>
      </c>
      <c r="H58" s="1284">
        <v>13.492000000000001</v>
      </c>
      <c r="I58" s="1284">
        <v>14.8775</v>
      </c>
      <c r="J58" s="1284">
        <v>14.592499999999999</v>
      </c>
      <c r="K58" s="1284">
        <v>18.22</v>
      </c>
      <c r="L58" s="1284">
        <v>22.09</v>
      </c>
      <c r="M58" s="1284">
        <v>27.352499999999999</v>
      </c>
      <c r="N58" s="1284">
        <v>26.824000000000002</v>
      </c>
      <c r="O58" s="1284">
        <v>34.734999999999999</v>
      </c>
      <c r="P58" s="1284">
        <v>25.17</v>
      </c>
      <c r="Q58" s="1284">
        <v>26.661999999999999</v>
      </c>
      <c r="R58" s="1284">
        <v>34.037999999999997</v>
      </c>
      <c r="S58" s="1284">
        <f>+'[1]Gasolinas 2012'!H89</f>
        <v>34.129999999999995</v>
      </c>
      <c r="T58" s="1284">
        <f>+'[1]Gasolinas 2013'!H89</f>
        <v>34.082500000000003</v>
      </c>
      <c r="U58" s="1284">
        <f>+'[1]Gasolinas 2014'!D50</f>
        <v>32.537499999999994</v>
      </c>
      <c r="V58" s="1284">
        <f>+'[1]Gasolinas 2015'!H53</f>
        <v>22.881999999999998</v>
      </c>
      <c r="W58" s="1284">
        <f>+'[1]Gasolinas 2016'!H51</f>
        <v>20.053999999999998</v>
      </c>
      <c r="X58" s="1284">
        <f>+'[1]Gasolinas 2017'!H51</f>
        <v>21.549999999999997</v>
      </c>
      <c r="Y58" s="1284">
        <f>+'[1]Gasolinas 2018'!H51</f>
        <v>25.92</v>
      </c>
      <c r="Z58" s="1284">
        <f>+'[1]Gasolinas 2019'!H51</f>
        <v>23.965</v>
      </c>
      <c r="AA58" s="1284">
        <f>+'[1]Gasolinas 2020'!H51</f>
        <v>20.404000000000003</v>
      </c>
      <c r="AB58" s="1284">
        <v>28.106000000000002</v>
      </c>
      <c r="AC58" s="1284">
        <f>+'Gasolineras 2022'!H51</f>
        <v>34.190199999999997</v>
      </c>
      <c r="AD58" s="1284">
        <f>+'Gasolineras 2023'!H51</f>
        <v>35.839999999999996</v>
      </c>
      <c r="AE58" s="1284">
        <f>+'Gasolineras 2024'!H51</f>
        <v>31.197499999999998</v>
      </c>
      <c r="AF58" s="1308"/>
      <c r="AG58" s="1308"/>
      <c r="AH58" s="1308"/>
      <c r="AI58" s="1308"/>
      <c r="AJ58" s="1308"/>
      <c r="AK58" s="1308"/>
      <c r="AL58" s="1308"/>
      <c r="AM58" s="1308"/>
      <c r="AN58" s="1308"/>
      <c r="AO58" s="1308"/>
    </row>
    <row r="59" spans="1:44" ht="15.75">
      <c r="A59" s="1273" t="s">
        <v>49</v>
      </c>
      <c r="B59" s="1274">
        <v>8.5299999999999994</v>
      </c>
      <c r="C59" s="1274">
        <v>9.84</v>
      </c>
      <c r="D59" s="1274">
        <v>10.63</v>
      </c>
      <c r="E59" s="1274">
        <v>10.35</v>
      </c>
      <c r="F59" s="1274">
        <v>12.42</v>
      </c>
      <c r="G59" s="1274">
        <v>14.36</v>
      </c>
      <c r="H59" s="1276">
        <v>13.59</v>
      </c>
      <c r="I59" s="1276">
        <v>14.83</v>
      </c>
      <c r="J59" s="1276">
        <v>16.052</v>
      </c>
      <c r="K59" s="1276">
        <v>18.087499999999999</v>
      </c>
      <c r="L59" s="1276">
        <v>24.662500000000001</v>
      </c>
      <c r="M59" s="1276">
        <v>26.4575</v>
      </c>
      <c r="N59" s="1276">
        <v>25.802499999999998</v>
      </c>
      <c r="O59" s="1276">
        <v>33.784000000000006</v>
      </c>
      <c r="P59" s="1276">
        <v>25.297499999999999</v>
      </c>
      <c r="Q59" s="1276">
        <v>25.912500000000001</v>
      </c>
      <c r="R59" s="1276">
        <v>33.642499999999998</v>
      </c>
      <c r="S59" s="1276">
        <f>+'[1]Gasolinas 2012'!H94</f>
        <v>36.274999999999999</v>
      </c>
      <c r="T59" s="1276">
        <f>+'[1]Gasolinas 2013'!H95</f>
        <v>33.761999999999993</v>
      </c>
      <c r="U59" s="1276">
        <f>+'[1]Gasolinas 2014'!H56</f>
        <v>30.812000000000001</v>
      </c>
      <c r="V59" s="1276">
        <f>+'[1]Gasolinas 2015'!H58</f>
        <v>20.942499999999999</v>
      </c>
      <c r="W59" s="1276">
        <f>+'[1]Gasolinas 2016'!H56</f>
        <v>20.664999999999999</v>
      </c>
      <c r="X59" s="1276">
        <f>+'[1]Gasolinas 2017'!H56</f>
        <v>23.125</v>
      </c>
      <c r="Y59" s="1276">
        <f>+'[1]Gasolinas 2018'!H56</f>
        <v>26.112500000000001</v>
      </c>
      <c r="Z59" s="1276">
        <f>+'[1]Gasolinas 2019'!H57</f>
        <v>23.788</v>
      </c>
      <c r="AA59" s="1276">
        <f>+'[1]Gasolinas 2020'!H56</f>
        <v>20.282499999999999</v>
      </c>
      <c r="AB59" s="1276">
        <v>28.4925</v>
      </c>
      <c r="AC59" s="1276">
        <f>+'Gasolineras 2022'!H56</f>
        <v>33.33</v>
      </c>
      <c r="AD59" s="1276">
        <f>+'Gasolineras 2023'!H56</f>
        <v>35.602499999999999</v>
      </c>
      <c r="AE59" s="1276">
        <f>+'Gasolineras 2024'!H57</f>
        <v>28.877999999999997</v>
      </c>
      <c r="AF59" s="1319"/>
      <c r="AG59" s="1319"/>
      <c r="AH59" s="1319"/>
      <c r="AI59" s="1319"/>
      <c r="AJ59" s="1319"/>
      <c r="AK59" s="1319"/>
      <c r="AL59" s="1319"/>
      <c r="AM59" s="1319"/>
      <c r="AN59" s="1319"/>
      <c r="AO59" s="1319"/>
      <c r="AP59" s="1320"/>
      <c r="AQ59" s="1320"/>
      <c r="AR59" s="1320"/>
    </row>
    <row r="60" spans="1:44" ht="13.5">
      <c r="A60" s="1281" t="s">
        <v>50</v>
      </c>
      <c r="B60" s="1282">
        <v>8.5500000000000007</v>
      </c>
      <c r="C60" s="1282">
        <v>9.8699999999999992</v>
      </c>
      <c r="D60" s="1282">
        <v>10.41</v>
      </c>
      <c r="E60" s="1282">
        <v>10.43</v>
      </c>
      <c r="F60" s="1282">
        <v>12.87</v>
      </c>
      <c r="G60" s="1282">
        <v>14.85</v>
      </c>
      <c r="H60" s="1284">
        <v>13.546000000000001</v>
      </c>
      <c r="I60" s="1284">
        <v>15.22</v>
      </c>
      <c r="J60" s="1284">
        <v>15.8025</v>
      </c>
      <c r="K60" s="1284">
        <v>18.75</v>
      </c>
      <c r="L60" s="1284">
        <v>26.334000000000003</v>
      </c>
      <c r="M60" s="1284">
        <v>23.95</v>
      </c>
      <c r="N60" s="1284">
        <v>26.046000000000003</v>
      </c>
      <c r="O60" s="1284">
        <v>30.142499999999998</v>
      </c>
      <c r="P60" s="1284">
        <v>24.6175</v>
      </c>
      <c r="Q60" s="1284">
        <v>27.494</v>
      </c>
      <c r="R60" s="1284">
        <v>33.025999999999996</v>
      </c>
      <c r="S60" s="1284">
        <f>+'[1]Gasolinas 2012'!H100</f>
        <v>35.225999999999999</v>
      </c>
      <c r="T60" s="1284">
        <f>+'[1]Gasolinas 2013'!H100</f>
        <v>31.8475</v>
      </c>
      <c r="U60" s="1284">
        <f>+'[1]Gasolinas 2014'!H61</f>
        <v>28.982500000000002</v>
      </c>
      <c r="V60" s="1284">
        <f>+'[1]Gasolinas 2015'!H63</f>
        <v>20.512500000000003</v>
      </c>
      <c r="W60" s="1284">
        <f>+'[1]Gasolinas 2016'!H62</f>
        <v>21.053999999999998</v>
      </c>
      <c r="X60" s="1284">
        <f>+'[1]Gasolinas 2017'!H62</f>
        <v>22.256</v>
      </c>
      <c r="Y60" s="1284">
        <f>+'[1]Gasolinas 2018'!H62</f>
        <v>26.477999999999998</v>
      </c>
      <c r="Z60" s="1284">
        <f>+'[1]Gasolinas 2019'!H62</f>
        <v>23.607500000000002</v>
      </c>
      <c r="AA60" s="1284">
        <v>20.350000000000001</v>
      </c>
      <c r="AB60" s="1284">
        <v>29.285</v>
      </c>
      <c r="AC60" s="1284">
        <f>+'Gasolineras 2022'!H61</f>
        <v>35.440000000000005</v>
      </c>
      <c r="AD60" s="1284">
        <f>+'Gasolineras 2023'!H62</f>
        <v>34.070000000000007</v>
      </c>
      <c r="AE60" s="1284">
        <f>+'Gasolineras 2024'!H62</f>
        <v>28.442500000000003</v>
      </c>
      <c r="AF60" s="1308"/>
      <c r="AG60" s="1308"/>
      <c r="AH60" s="1308"/>
      <c r="AI60" s="1308"/>
      <c r="AJ60" s="1308"/>
      <c r="AK60" s="1308"/>
      <c r="AL60" s="1308"/>
      <c r="AM60" s="1308"/>
      <c r="AN60" s="1308"/>
      <c r="AO60" s="1308"/>
    </row>
    <row r="61" spans="1:44" ht="13.5">
      <c r="A61" s="1273" t="s">
        <v>51</v>
      </c>
      <c r="B61" s="1274">
        <v>8.5</v>
      </c>
      <c r="C61" s="1274">
        <v>9.9600000000000009</v>
      </c>
      <c r="D61" s="1274">
        <v>10.27</v>
      </c>
      <c r="E61" s="1274">
        <v>10.46</v>
      </c>
      <c r="F61" s="1274">
        <v>12.89</v>
      </c>
      <c r="G61" s="1274">
        <v>14.755000000000001</v>
      </c>
      <c r="H61" s="1276">
        <v>13.1225</v>
      </c>
      <c r="I61" s="1276">
        <v>15.335000000000001</v>
      </c>
      <c r="J61" s="1276">
        <v>15.516666666666666</v>
      </c>
      <c r="K61" s="1276">
        <v>19.55</v>
      </c>
      <c r="L61" s="1276">
        <v>24.99</v>
      </c>
      <c r="M61" s="1276">
        <v>22.43</v>
      </c>
      <c r="N61" s="1276">
        <v>27.02</v>
      </c>
      <c r="O61" s="1276">
        <v>24.787500000000001</v>
      </c>
      <c r="P61" s="1276">
        <v>26.342000000000002</v>
      </c>
      <c r="Q61" s="1276">
        <v>27.475999999999999</v>
      </c>
      <c r="R61" s="1276">
        <v>33.494999999999997</v>
      </c>
      <c r="S61" s="1276">
        <f>+'[1]Gasolinas 2012'!H105</f>
        <v>32.252499999999998</v>
      </c>
      <c r="T61" s="1276">
        <f>+'[1]Gasolinas 2013'!H105</f>
        <v>30.71</v>
      </c>
      <c r="U61" s="1276">
        <f>+'[1]Gasolinas 2014'!H66</f>
        <v>27.02</v>
      </c>
      <c r="V61" s="1276">
        <f>+'[1]Gasolinas 2015'!H69</f>
        <v>19.637999999999998</v>
      </c>
      <c r="W61" s="1276">
        <f>+'[1]Gasolinas 2016'!H67</f>
        <v>20.352499999999999</v>
      </c>
      <c r="X61" s="1276">
        <f>+'[1]Gasolinas 2017'!H67</f>
        <v>23.247499999999999</v>
      </c>
      <c r="Y61" s="1276">
        <f>+'[1]Gasolinas 2018'!H67</f>
        <v>23.75</v>
      </c>
      <c r="Z61" s="1276">
        <f>+'[1]Gasolinas 2019'!H67</f>
        <v>23.57</v>
      </c>
      <c r="AA61" s="1276">
        <v>19.309999999999999</v>
      </c>
      <c r="AB61" s="1276">
        <v>29.779999999999994</v>
      </c>
      <c r="AC61" s="1276">
        <f>+'Gasolineras 2022'!H67</f>
        <v>34.9</v>
      </c>
      <c r="AD61" s="1276">
        <f>+'Gasolineras 2023'!H67</f>
        <v>29.535</v>
      </c>
      <c r="AE61" s="1276"/>
      <c r="AF61" s="1308"/>
      <c r="AG61" s="1308"/>
      <c r="AH61" s="1308"/>
      <c r="AI61" s="1308"/>
      <c r="AJ61" s="1308"/>
      <c r="AK61" s="1308"/>
      <c r="AL61" s="1308"/>
      <c r="AM61" s="1308"/>
      <c r="AN61" s="1308"/>
      <c r="AO61" s="1308"/>
    </row>
    <row r="62" spans="1:44" ht="13.5">
      <c r="A62" s="1281" t="s">
        <v>52</v>
      </c>
      <c r="B62" s="1282">
        <v>8.51</v>
      </c>
      <c r="C62" s="1282">
        <v>10.16</v>
      </c>
      <c r="D62" s="1282">
        <v>10.27</v>
      </c>
      <c r="E62" s="1282">
        <v>10.210000000000001</v>
      </c>
      <c r="F62" s="1282">
        <v>13.53</v>
      </c>
      <c r="G62" s="1282">
        <v>14.7475</v>
      </c>
      <c r="H62" s="1284">
        <v>12.4275</v>
      </c>
      <c r="I62" s="1284">
        <v>15.063999999999998</v>
      </c>
      <c r="J62" s="1284">
        <v>15.062000000000001</v>
      </c>
      <c r="K62" s="1284">
        <v>19.2</v>
      </c>
      <c r="L62" s="1284">
        <v>22.42</v>
      </c>
      <c r="M62" s="1284">
        <v>22.395</v>
      </c>
      <c r="N62" s="1284">
        <v>27.9725</v>
      </c>
      <c r="O62" s="1284">
        <v>21.3</v>
      </c>
      <c r="P62" s="1284">
        <v>25.934999999999999</v>
      </c>
      <c r="Q62" s="1284">
        <v>28.427499999999998</v>
      </c>
      <c r="R62" s="1284">
        <v>32.265000000000001</v>
      </c>
      <c r="S62" s="1284">
        <f>+'[1]Gasolinas 2012'!H110</f>
        <v>32.25</v>
      </c>
      <c r="T62" s="1284">
        <f>+'[1]Gasolinas 2013'!H111</f>
        <v>32.832000000000001</v>
      </c>
      <c r="U62" s="1284">
        <f>+'[1]Gasolinas 2014'!H72</f>
        <v>23.602</v>
      </c>
      <c r="V62" s="1284">
        <f>+'[1]Gasolinas 2015'!H74</f>
        <v>18.689999999999998</v>
      </c>
      <c r="W62" s="1284">
        <f>+'[1]Gasolinas 2016'!H72</f>
        <v>21.299999999999997</v>
      </c>
      <c r="X62" s="1284">
        <f>+'[1]Gasolinas 2017'!H72</f>
        <v>23.2</v>
      </c>
      <c r="Y62" s="1284">
        <f>+'[1]Gasolinas 2018'!H72</f>
        <v>21.737499999999997</v>
      </c>
      <c r="Z62" s="1284">
        <f>+'[1]Gasolinas 2019'!H73</f>
        <v>23.536000000000001</v>
      </c>
      <c r="AA62" s="1284">
        <f>+'[1]Gasolinas 2020'!H72</f>
        <v>20.805</v>
      </c>
      <c r="AB62" s="1284">
        <v>28.032499999999999</v>
      </c>
      <c r="AC62" s="1284">
        <f>+'Gasolineras 2022'!H72</f>
        <v>32.06</v>
      </c>
      <c r="AD62" s="1284">
        <f>+'Gasolineras 2023'!H72</f>
        <v>28.06</v>
      </c>
      <c r="AE62" s="1284"/>
      <c r="AF62" s="1308"/>
      <c r="AG62" s="1308"/>
      <c r="AH62" s="1308"/>
      <c r="AI62" s="1308"/>
      <c r="AJ62" s="1308"/>
      <c r="AK62" s="1308"/>
      <c r="AL62" s="1308"/>
      <c r="AM62" s="1308"/>
      <c r="AN62" s="1308"/>
      <c r="AO62" s="1308"/>
    </row>
    <row r="63" spans="1:44" ht="24.75" customHeight="1">
      <c r="A63" s="1288" t="s">
        <v>7</v>
      </c>
      <c r="B63" s="1289">
        <f t="shared" ref="B63:AD63" si="2">AVERAGE(B51:B62)</f>
        <v>8.5183333333333326</v>
      </c>
      <c r="C63" s="1289">
        <f t="shared" si="2"/>
        <v>9.6833333333333318</v>
      </c>
      <c r="D63" s="1289">
        <f t="shared" si="2"/>
        <v>10.367499999999998</v>
      </c>
      <c r="E63" s="1289">
        <f t="shared" si="2"/>
        <v>10.476666666666667</v>
      </c>
      <c r="F63" s="1289">
        <f t="shared" si="2"/>
        <v>11.661666666666667</v>
      </c>
      <c r="G63" s="1289">
        <f t="shared" si="2"/>
        <v>14.438541666666666</v>
      </c>
      <c r="H63" s="1290">
        <f t="shared" si="2"/>
        <v>13.78963888888889</v>
      </c>
      <c r="I63" s="1290">
        <f t="shared" si="2"/>
        <v>13.898458333333332</v>
      </c>
      <c r="J63" s="1290">
        <f t="shared" si="2"/>
        <v>15.304972222222224</v>
      </c>
      <c r="K63" s="1290">
        <f t="shared" si="2"/>
        <v>18.031333333333333</v>
      </c>
      <c r="L63" s="1290">
        <f t="shared" si="2"/>
        <v>21.772166666666667</v>
      </c>
      <c r="M63" s="1290">
        <f t="shared" si="2"/>
        <v>24.066916666666668</v>
      </c>
      <c r="N63" s="1290">
        <f t="shared" si="2"/>
        <v>25.49304166666667</v>
      </c>
      <c r="O63" s="1290">
        <f t="shared" si="2"/>
        <v>30.196416666666664</v>
      </c>
      <c r="P63" s="1290">
        <f t="shared" si="2"/>
        <v>23.175749999999997</v>
      </c>
      <c r="Q63" s="1290">
        <f t="shared" si="2"/>
        <v>27.305666666666667</v>
      </c>
      <c r="R63" s="1290">
        <f t="shared" si="2"/>
        <v>33.049958333333329</v>
      </c>
      <c r="S63" s="1290">
        <f t="shared" si="2"/>
        <v>34.205124999999995</v>
      </c>
      <c r="T63" s="1290">
        <f t="shared" si="2"/>
        <v>32.667083333333331</v>
      </c>
      <c r="U63" s="1290">
        <f t="shared" si="2"/>
        <v>30.905816666666666</v>
      </c>
      <c r="V63" s="1290">
        <f t="shared" si="2"/>
        <v>21.938416666666665</v>
      </c>
      <c r="W63" s="1290">
        <f t="shared" si="2"/>
        <v>19.981166666666663</v>
      </c>
      <c r="X63" s="1290">
        <f t="shared" si="2"/>
        <v>21.940541666666672</v>
      </c>
      <c r="Y63" s="1290">
        <f t="shared" si="2"/>
        <v>24.898791666666668</v>
      </c>
      <c r="Z63" s="1290">
        <f t="shared" si="2"/>
        <v>23.828458333333334</v>
      </c>
      <c r="AA63" s="1290">
        <f t="shared" si="2"/>
        <v>20.214325902820303</v>
      </c>
      <c r="AB63" s="1290">
        <v>26.912874999999996</v>
      </c>
      <c r="AC63" s="1290">
        <f>AVERAGE(AC51:AC62)</f>
        <v>34.715849999999996</v>
      </c>
      <c r="AD63" s="1290">
        <f t="shared" si="2"/>
        <v>32.608583333333335</v>
      </c>
      <c r="AE63" s="1290">
        <f>AVERAGE(AE51:AE62)</f>
        <v>30.824699999999996</v>
      </c>
      <c r="AF63" s="1308"/>
      <c r="AG63" s="1308"/>
      <c r="AH63" s="1308"/>
      <c r="AI63" s="1308"/>
      <c r="AJ63" s="1308"/>
      <c r="AK63" s="1313"/>
      <c r="AL63" s="1313"/>
      <c r="AM63" s="1313"/>
      <c r="AN63" s="1313"/>
      <c r="AO63" s="1308"/>
    </row>
    <row r="64" spans="1:44" ht="12.75" customHeight="1">
      <c r="A64" s="1331"/>
      <c r="B64" s="1272"/>
      <c r="C64" s="1272"/>
      <c r="D64" s="1272"/>
      <c r="E64" s="1272"/>
      <c r="F64" s="1272"/>
      <c r="G64" s="1272"/>
      <c r="H64" s="1272"/>
      <c r="I64" s="1272"/>
      <c r="J64" s="1272"/>
      <c r="K64" s="1272"/>
      <c r="L64" s="1272"/>
      <c r="M64" s="1272"/>
      <c r="N64" s="1272"/>
      <c r="O64" s="1272"/>
      <c r="P64" s="1272"/>
      <c r="Q64" s="1272"/>
      <c r="R64" s="1272"/>
      <c r="S64" s="1272"/>
      <c r="T64" s="1272"/>
      <c r="U64" s="1272"/>
      <c r="V64" s="1272"/>
      <c r="W64" s="1272"/>
      <c r="X64" s="1272"/>
      <c r="Y64" s="1304"/>
      <c r="Z64" s="1272"/>
      <c r="AA64" s="1272"/>
      <c r="AB64" s="1272"/>
      <c r="AC64" s="1272"/>
      <c r="AD64" s="1272"/>
      <c r="AE64" s="1272"/>
      <c r="AF64" s="1308"/>
      <c r="AG64" s="1308"/>
      <c r="AH64" s="1308"/>
      <c r="AI64" s="1308"/>
      <c r="AJ64" s="1308"/>
      <c r="AK64" s="1308"/>
      <c r="AL64" s="1308"/>
      <c r="AM64" s="1308"/>
      <c r="AN64" s="1308"/>
      <c r="AO64" s="1308"/>
    </row>
    <row r="65" spans="1:44" ht="12.75" customHeight="1">
      <c r="A65" s="1269" t="s">
        <v>727</v>
      </c>
      <c r="B65" s="1272"/>
      <c r="C65" s="1272"/>
      <c r="D65" s="1272"/>
      <c r="E65" s="1272"/>
      <c r="F65" s="1272"/>
      <c r="G65" s="1272"/>
      <c r="H65" s="1272"/>
      <c r="I65" s="1272"/>
      <c r="J65" s="1272"/>
      <c r="K65" s="1272"/>
      <c r="L65" s="1272"/>
      <c r="M65" s="1272"/>
      <c r="N65" s="1272"/>
      <c r="O65" s="1272"/>
      <c r="P65" s="1272"/>
      <c r="Q65" s="1272"/>
      <c r="R65" s="1272"/>
      <c r="S65" s="1272"/>
      <c r="T65" s="1272"/>
      <c r="U65" s="1272"/>
      <c r="V65" s="1272"/>
      <c r="W65" s="1272"/>
      <c r="X65" s="1272"/>
      <c r="Y65" s="1272"/>
      <c r="Z65" s="1272"/>
      <c r="AA65" s="1272"/>
      <c r="AB65" s="1272"/>
      <c r="AC65" s="1272"/>
      <c r="AD65" s="1272"/>
      <c r="AE65" s="1272"/>
      <c r="AF65" s="1308"/>
      <c r="AG65" s="1308"/>
      <c r="AH65" s="1308"/>
      <c r="AI65" s="1308"/>
      <c r="AJ65" s="1308"/>
      <c r="AK65" s="1308"/>
      <c r="AL65" s="1308"/>
      <c r="AM65" s="1308"/>
      <c r="AN65" s="1308"/>
      <c r="AO65" s="1308"/>
    </row>
    <row r="66" spans="1:44" ht="15.75" customHeight="1" thickBot="1">
      <c r="A66" s="1302"/>
      <c r="B66" s="1651" t="s">
        <v>2</v>
      </c>
      <c r="C66" s="1651"/>
      <c r="D66" s="1651"/>
      <c r="E66" s="1651"/>
      <c r="F66" s="1651"/>
      <c r="G66" s="1651"/>
      <c r="H66" s="1649"/>
      <c r="I66" s="1650"/>
      <c r="J66" s="1650"/>
      <c r="K66" s="1650"/>
      <c r="L66" s="1650"/>
      <c r="M66" s="1650"/>
      <c r="N66" s="1650"/>
      <c r="O66" s="1650"/>
      <c r="P66" s="1650"/>
      <c r="Q66" s="1650"/>
      <c r="R66" s="1650"/>
      <c r="S66" s="1650"/>
      <c r="T66" s="1650"/>
      <c r="U66" s="1650"/>
      <c r="V66" s="1650"/>
      <c r="W66" s="1650"/>
      <c r="X66" s="1650"/>
      <c r="Y66" s="1272"/>
      <c r="Z66" s="1272"/>
      <c r="AA66" s="1272" t="s">
        <v>648</v>
      </c>
      <c r="AB66" s="1272" t="s">
        <v>648</v>
      </c>
      <c r="AC66" s="1272" t="s">
        <v>648</v>
      </c>
      <c r="AD66" s="1272" t="s">
        <v>648</v>
      </c>
      <c r="AE66" s="1272" t="s">
        <v>648</v>
      </c>
      <c r="AF66" s="1308"/>
      <c r="AG66" s="1308"/>
      <c r="AH66" s="1308"/>
      <c r="AI66" s="1308"/>
      <c r="AJ66" s="1308"/>
      <c r="AK66" s="1308"/>
      <c r="AL66" s="1308"/>
      <c r="AM66" s="1308"/>
      <c r="AN66" s="1308"/>
      <c r="AO66" s="1308"/>
    </row>
    <row r="67" spans="1:44">
      <c r="A67" s="1620" t="s">
        <v>517</v>
      </c>
      <c r="B67" s="1601">
        <v>1995</v>
      </c>
      <c r="C67" s="1601">
        <v>1996</v>
      </c>
      <c r="D67" s="1601">
        <v>1997</v>
      </c>
      <c r="E67" s="1601">
        <v>1998</v>
      </c>
      <c r="F67" s="1601">
        <v>1999</v>
      </c>
      <c r="G67" s="1601">
        <v>2000</v>
      </c>
      <c r="H67" s="1601">
        <v>2001</v>
      </c>
      <c r="I67" s="1601">
        <v>2002</v>
      </c>
      <c r="J67" s="1601">
        <v>2003</v>
      </c>
      <c r="K67" s="1601">
        <v>2004</v>
      </c>
      <c r="L67" s="1601">
        <v>2005</v>
      </c>
      <c r="M67" s="1601">
        <v>2006</v>
      </c>
      <c r="N67" s="1601">
        <v>2007</v>
      </c>
      <c r="O67" s="1601">
        <v>2008</v>
      </c>
      <c r="P67" s="1601">
        <v>2009</v>
      </c>
      <c r="Q67" s="1601">
        <v>2010</v>
      </c>
      <c r="R67" s="1601">
        <v>2011</v>
      </c>
      <c r="S67" s="1601">
        <f>+S9</f>
        <v>2012</v>
      </c>
      <c r="T67" s="1601">
        <v>2013</v>
      </c>
      <c r="U67" s="1601">
        <v>2014</v>
      </c>
      <c r="V67" s="1601">
        <v>2015</v>
      </c>
      <c r="W67" s="1601">
        <v>2016</v>
      </c>
      <c r="X67" s="1601">
        <v>2017</v>
      </c>
      <c r="Y67" s="1601">
        <v>2018</v>
      </c>
      <c r="Z67" s="1601">
        <v>2019</v>
      </c>
      <c r="AA67" s="1601">
        <v>2020</v>
      </c>
      <c r="AB67" s="1601">
        <v>2021</v>
      </c>
      <c r="AC67" s="1601">
        <v>2022</v>
      </c>
      <c r="AD67" s="1601">
        <v>2023</v>
      </c>
      <c r="AE67" s="1601">
        <v>2024</v>
      </c>
      <c r="AF67" s="1308"/>
      <c r="AG67" s="1308"/>
      <c r="AH67" s="1308"/>
      <c r="AI67" s="1308"/>
      <c r="AJ67" s="1308"/>
      <c r="AK67" s="1308"/>
      <c r="AL67" s="1308"/>
      <c r="AM67" s="1308"/>
      <c r="AN67" s="1308"/>
      <c r="AO67" s="1308"/>
    </row>
    <row r="68" spans="1:44">
      <c r="A68" s="1620"/>
      <c r="B68" s="1602"/>
      <c r="C68" s="1602"/>
      <c r="D68" s="1602"/>
      <c r="E68" s="1602"/>
      <c r="F68" s="1602"/>
      <c r="G68" s="1602"/>
      <c r="H68" s="1602"/>
      <c r="I68" s="1602"/>
      <c r="J68" s="1602"/>
      <c r="K68" s="1602"/>
      <c r="L68" s="1602"/>
      <c r="M68" s="1602"/>
      <c r="N68" s="1602"/>
      <c r="O68" s="1602"/>
      <c r="P68" s="1602"/>
      <c r="Q68" s="1602"/>
      <c r="R68" s="1602"/>
      <c r="S68" s="1602"/>
      <c r="T68" s="1602"/>
      <c r="U68" s="1602"/>
      <c r="V68" s="1602"/>
      <c r="W68" s="1602"/>
      <c r="X68" s="1602"/>
      <c r="Y68" s="1602"/>
      <c r="Z68" s="1602"/>
      <c r="AA68" s="1602"/>
      <c r="AB68" s="1602"/>
      <c r="AC68" s="1602"/>
      <c r="AD68" s="1602"/>
      <c r="AE68" s="1602"/>
      <c r="AF68" s="1308"/>
      <c r="AG68" s="1308"/>
      <c r="AH68" s="1308"/>
      <c r="AI68" s="1308"/>
      <c r="AJ68" s="1308"/>
      <c r="AK68" s="1308"/>
      <c r="AL68" s="1308"/>
      <c r="AM68" s="1308"/>
      <c r="AN68" s="1308"/>
      <c r="AO68" s="1308"/>
    </row>
    <row r="69" spans="1:44" ht="13.5">
      <c r="A69" s="1273" t="s">
        <v>41</v>
      </c>
      <c r="B69" s="1274">
        <v>6.54</v>
      </c>
      <c r="C69" s="1274">
        <v>7.39</v>
      </c>
      <c r="D69" s="1274">
        <v>9.09</v>
      </c>
      <c r="E69" s="1274">
        <v>8.2799999999999994</v>
      </c>
      <c r="F69" s="1274">
        <v>7.14</v>
      </c>
      <c r="G69" s="1274">
        <v>10.28</v>
      </c>
      <c r="H69" s="1276">
        <v>11.326000000000001</v>
      </c>
      <c r="I69" s="1276">
        <v>8.952</v>
      </c>
      <c r="J69" s="1276">
        <v>10.4575</v>
      </c>
      <c r="K69" s="1276">
        <v>12.187999999999999</v>
      </c>
      <c r="L69" s="1276">
        <v>15.684000000000001</v>
      </c>
      <c r="M69" s="1276">
        <v>19.59</v>
      </c>
      <c r="N69" s="1276">
        <v>18.68</v>
      </c>
      <c r="O69" s="1276">
        <v>26.015000000000001</v>
      </c>
      <c r="P69" s="1276">
        <v>19.11</v>
      </c>
      <c r="Q69" s="1276">
        <v>24.13</v>
      </c>
      <c r="R69" s="1276">
        <v>27.502500000000001</v>
      </c>
      <c r="S69" s="1276">
        <f>+'[1]Gasolinas 2012'!I14</f>
        <v>30.690000000000005</v>
      </c>
      <c r="T69" s="1276">
        <f>+'[1]Gasolinas 2013'!I14</f>
        <v>31.744</v>
      </c>
      <c r="U69" s="1276">
        <f>+'[1]Gasolinas 2014'!I13</f>
        <v>31.295000000000002</v>
      </c>
      <c r="V69" s="1276">
        <f>+'[1]Gasolinas 2015'!I15</f>
        <v>18.855</v>
      </c>
      <c r="W69" s="1276">
        <f>+'[1]Gasolinas 2016'!I13</f>
        <v>13.647500000000001</v>
      </c>
      <c r="X69" s="1276">
        <f>+'[1]Gasolinas 2017'!I14</f>
        <v>18.348000000000003</v>
      </c>
      <c r="Y69" s="1276">
        <f>+'[1]Gasolinas 2018'!I14</f>
        <v>20.74</v>
      </c>
      <c r="Z69" s="1276">
        <f>+'[1]Gasolinas 2019'!I14</f>
        <v>19.869999999999997</v>
      </c>
      <c r="AA69" s="1276">
        <f>+'[1]Gasolinas 2020'!I13</f>
        <v>21.085000000000001</v>
      </c>
      <c r="AB69" s="1276">
        <v>18.017499999999998</v>
      </c>
      <c r="AC69" s="1276">
        <v>26.4</v>
      </c>
      <c r="AD69" s="1276">
        <f>+'Gasolineras 2023'!I14</f>
        <v>35.793999999999997</v>
      </c>
      <c r="AE69" s="1276">
        <f>+'Gasolineras 2024'!I14</f>
        <v>29.161999999999999</v>
      </c>
      <c r="AF69" s="1308"/>
      <c r="AG69" s="1308"/>
      <c r="AH69" s="1308"/>
      <c r="AI69" s="1308"/>
      <c r="AJ69" s="1308"/>
      <c r="AK69" s="1308"/>
      <c r="AL69" s="1308"/>
      <c r="AM69" s="1308"/>
      <c r="AN69" s="1308"/>
      <c r="AO69" s="1308"/>
    </row>
    <row r="70" spans="1:44" ht="13.5">
      <c r="A70" s="1277" t="s">
        <v>42</v>
      </c>
      <c r="B70" s="1278">
        <v>6.63</v>
      </c>
      <c r="C70" s="1278">
        <v>7.58</v>
      </c>
      <c r="D70" s="1278">
        <v>9.15</v>
      </c>
      <c r="E70" s="1278">
        <v>7.88</v>
      </c>
      <c r="F70" s="1278">
        <v>7.14</v>
      </c>
      <c r="G70" s="1278">
        <v>10.66</v>
      </c>
      <c r="H70" s="1280">
        <v>11.092499999999999</v>
      </c>
      <c r="I70" s="1280">
        <v>8.6549999999999994</v>
      </c>
      <c r="J70" s="1280">
        <v>11.4975</v>
      </c>
      <c r="K70" s="1280">
        <v>11.9</v>
      </c>
      <c r="L70" s="1280">
        <v>15.102499999999999</v>
      </c>
      <c r="M70" s="1280">
        <v>19.16</v>
      </c>
      <c r="N70" s="1280">
        <v>17.642499999999998</v>
      </c>
      <c r="O70" s="1280">
        <v>26.09</v>
      </c>
      <c r="P70" s="1280">
        <v>17.9725</v>
      </c>
      <c r="Q70" s="1280">
        <v>23.592500000000001</v>
      </c>
      <c r="R70" s="1280">
        <v>28.35</v>
      </c>
      <c r="S70" s="1280">
        <f>+'[1]Gasolinas 2012'!I19</f>
        <v>32.2425</v>
      </c>
      <c r="T70" s="1280">
        <f>+'[1]Gasolinas 2013'!I19</f>
        <v>32.32</v>
      </c>
      <c r="U70" s="1280">
        <f>+'[1]Gasolinas 2014'!I18</f>
        <v>30.487500000000001</v>
      </c>
      <c r="V70" s="1280">
        <f>+'[1]Gasolinas 2015'!I20</f>
        <v>19.807500000000001</v>
      </c>
      <c r="W70" s="1280">
        <f>+'[1]Gasolinas 2016'!I19</f>
        <v>13.02</v>
      </c>
      <c r="X70" s="1280">
        <f>+'[1]Gasolinas 2017'!I19</f>
        <v>17.89</v>
      </c>
      <c r="Y70" s="1280">
        <f>+'[1]Gasolinas 2018'!I19</f>
        <v>20.387500000000003</v>
      </c>
      <c r="Z70" s="1280">
        <f>+'[1]Gasolinas 2019'!I19</f>
        <v>21.092500000000001</v>
      </c>
      <c r="AA70" s="1280">
        <f>+'[1]Gasolinas 2020'!I18</f>
        <v>18.7425</v>
      </c>
      <c r="AB70" s="1280">
        <v>19.46</v>
      </c>
      <c r="AC70" s="1280">
        <v>29.29</v>
      </c>
      <c r="AD70" s="1280">
        <f>+'Gasolineras 2023'!I19</f>
        <v>33.019999999999996</v>
      </c>
      <c r="AE70" s="1280">
        <f>+'Gasolineras 2024'!I19</f>
        <v>30.715</v>
      </c>
      <c r="AF70" s="1308"/>
      <c r="AG70" s="1308"/>
      <c r="AH70" s="1308"/>
      <c r="AI70" s="1308"/>
      <c r="AJ70" s="1308"/>
      <c r="AK70" s="1308"/>
      <c r="AL70" s="1308"/>
      <c r="AM70" s="1308"/>
      <c r="AN70" s="1308"/>
      <c r="AO70" s="1308"/>
    </row>
    <row r="71" spans="1:44" ht="13.5">
      <c r="A71" s="1273" t="s">
        <v>43</v>
      </c>
      <c r="B71" s="1274">
        <v>6.59</v>
      </c>
      <c r="C71" s="1274">
        <v>7.71</v>
      </c>
      <c r="D71" s="1274">
        <v>8.81</v>
      </c>
      <c r="E71" s="1274">
        <v>7.84</v>
      </c>
      <c r="F71" s="1274">
        <v>7.26</v>
      </c>
      <c r="G71" s="1274">
        <v>10.8</v>
      </c>
      <c r="H71" s="1276">
        <v>10.762499999999999</v>
      </c>
      <c r="I71" s="1276">
        <v>8.6850000000000005</v>
      </c>
      <c r="J71" s="1276">
        <v>12.83</v>
      </c>
      <c r="K71" s="1276">
        <v>12.17</v>
      </c>
      <c r="L71" s="1276">
        <v>16.004999999999999</v>
      </c>
      <c r="M71" s="1276">
        <v>18.510000000000002</v>
      </c>
      <c r="N71" s="1276">
        <v>18.8</v>
      </c>
      <c r="O71" s="1276">
        <v>27.838000000000001</v>
      </c>
      <c r="P71" s="1276">
        <v>16.73</v>
      </c>
      <c r="Q71" s="1276">
        <v>23.961999999999996</v>
      </c>
      <c r="R71" s="1276">
        <v>31.395</v>
      </c>
      <c r="S71" s="1276">
        <f>+'[1]Gasolinas 2012'!I24</f>
        <v>32.744999999999997</v>
      </c>
      <c r="T71" s="1276">
        <f>+'[1]Gasolinas 2013'!I24</f>
        <v>31.434999999999999</v>
      </c>
      <c r="U71" s="1276">
        <f>+'[1]Gasolinas 2014'!I24</f>
        <v>30.332000000000001</v>
      </c>
      <c r="V71" s="1276">
        <f>+'[1]Gasolinas 2015'!I26</f>
        <v>20.178000000000001</v>
      </c>
      <c r="W71" s="1276">
        <f>+'[1]Gasolinas 2016'!I24</f>
        <v>14.8</v>
      </c>
      <c r="X71" s="1276">
        <f>+'[1]Gasolinas 2017'!I24</f>
        <v>17.594999999999999</v>
      </c>
      <c r="Y71" s="1276">
        <f>+'[1]Gasolinas 2018'!I24</f>
        <v>20.072499999999998</v>
      </c>
      <c r="Z71" s="1276">
        <f>+'[1]Gasolinas 2019'!I24</f>
        <v>21.857500000000002</v>
      </c>
      <c r="AA71" s="1276">
        <f>+'[1]Gasolinas 2020'!I24</f>
        <v>17.107999999999997</v>
      </c>
      <c r="AB71" s="1276">
        <v>21.212</v>
      </c>
      <c r="AC71" s="1276">
        <v>36.21</v>
      </c>
      <c r="AD71" s="1276">
        <f>+'Gasolineras 2023'!I24</f>
        <v>30.665000000000003</v>
      </c>
      <c r="AE71" s="1276">
        <f>+'Gasolineras 2024'!I24</f>
        <v>29.9725</v>
      </c>
      <c r="AF71" s="1308"/>
      <c r="AG71" s="1308"/>
      <c r="AH71" s="1308"/>
      <c r="AI71" s="1308"/>
      <c r="AJ71" s="1308"/>
      <c r="AK71" s="1308"/>
      <c r="AL71" s="1308"/>
      <c r="AM71" s="1308"/>
      <c r="AN71" s="1308"/>
      <c r="AO71" s="1308"/>
    </row>
    <row r="72" spans="1:44" ht="13.5">
      <c r="A72" s="1281" t="s">
        <v>44</v>
      </c>
      <c r="B72" s="1282">
        <v>6.62</v>
      </c>
      <c r="C72" s="1282">
        <v>8.0500000000000007</v>
      </c>
      <c r="D72" s="1282">
        <v>8.66</v>
      </c>
      <c r="E72" s="1282">
        <v>7.81</v>
      </c>
      <c r="F72" s="1282">
        <v>7.9</v>
      </c>
      <c r="G72" s="1282">
        <v>10.43</v>
      </c>
      <c r="H72" s="1284">
        <v>10.505000000000001</v>
      </c>
      <c r="I72" s="1284">
        <v>9.3780000000000001</v>
      </c>
      <c r="J72" s="1284">
        <v>12.2225</v>
      </c>
      <c r="K72" s="1284">
        <v>13.712</v>
      </c>
      <c r="L72" s="1284">
        <v>17.89</v>
      </c>
      <c r="M72" s="1284">
        <v>19.352499999999999</v>
      </c>
      <c r="N72" s="1284">
        <v>20.335000000000001</v>
      </c>
      <c r="O72" s="1284">
        <v>30.4725</v>
      </c>
      <c r="P72" s="1284">
        <v>16.594999999999999</v>
      </c>
      <c r="Q72" s="1284">
        <v>24.56</v>
      </c>
      <c r="R72" s="1284">
        <v>32.162500000000001</v>
      </c>
      <c r="S72" s="1284">
        <f>+'[1]Gasolinas 2012'!I30</f>
        <v>32.517999999999994</v>
      </c>
      <c r="T72" s="1284">
        <f>+'[1]Gasolinas 2013'!I30</f>
        <v>29.434000000000005</v>
      </c>
      <c r="U72" s="1284">
        <f>+'[1]Gasolinas 2014'!I29</f>
        <v>30.435000000000002</v>
      </c>
      <c r="V72" s="1284">
        <f>+'[1]Gasolinas 2015'!I31</f>
        <v>20.04</v>
      </c>
      <c r="W72" s="1284">
        <f>+'[1]Gasolinas 2016'!I29</f>
        <v>15.12</v>
      </c>
      <c r="X72" s="1284">
        <f>+'[1]Gasolinas 2017'!I29</f>
        <v>17.594999999999999</v>
      </c>
      <c r="Y72" s="1284">
        <f>+'[1]Gasolinas 2018'!I29</f>
        <v>21.2225</v>
      </c>
      <c r="Z72" s="1284">
        <f>+'[1]Gasolinas 2019'!I30</f>
        <v>21.942</v>
      </c>
      <c r="AA72" s="1284">
        <f>+'[1]Gasolinas 2020'!I29</f>
        <v>14.907499999999999</v>
      </c>
      <c r="AB72" s="1284">
        <v>20.650000000000002</v>
      </c>
      <c r="AC72" s="1284">
        <v>32.950000000000003</v>
      </c>
      <c r="AD72" s="1284">
        <f>+'Gasolineras 2023'!I29</f>
        <v>29.78</v>
      </c>
      <c r="AE72" s="1284">
        <f>+'Gasolineras 2024'!I30</f>
        <v>29.782</v>
      </c>
      <c r="AF72" s="1308"/>
      <c r="AG72" s="1308"/>
      <c r="AH72" s="1308"/>
      <c r="AI72" s="1308"/>
      <c r="AJ72" s="1308"/>
      <c r="AK72" s="1308"/>
      <c r="AL72" s="1308"/>
      <c r="AM72" s="1308"/>
      <c r="AN72" s="1308"/>
      <c r="AO72" s="1308"/>
      <c r="AP72" s="590" t="s">
        <v>586</v>
      </c>
    </row>
    <row r="73" spans="1:44" ht="13.5">
      <c r="A73" s="1273" t="s">
        <v>45</v>
      </c>
      <c r="B73" s="1274">
        <v>6.78</v>
      </c>
      <c r="C73" s="1274">
        <v>8.14</v>
      </c>
      <c r="D73" s="1274">
        <v>8.43</v>
      </c>
      <c r="E73" s="1274">
        <v>7.85</v>
      </c>
      <c r="F73" s="1274">
        <v>8.1300000000000008</v>
      </c>
      <c r="G73" s="1274">
        <v>10.27</v>
      </c>
      <c r="H73" s="1276">
        <v>10.598333333333334</v>
      </c>
      <c r="I73" s="1276">
        <v>9.4425000000000008</v>
      </c>
      <c r="J73" s="1276">
        <v>10.6325</v>
      </c>
      <c r="K73" s="1276">
        <v>13.79</v>
      </c>
      <c r="L73" s="1276">
        <v>18.306000000000001</v>
      </c>
      <c r="M73" s="1276">
        <v>20.378</v>
      </c>
      <c r="N73" s="1276">
        <v>20.905999999999999</v>
      </c>
      <c r="O73" s="1276">
        <v>32.31</v>
      </c>
      <c r="P73" s="1276">
        <v>17.329999999999998</v>
      </c>
      <c r="Q73" s="1276">
        <v>24.415999999999997</v>
      </c>
      <c r="R73" s="1276">
        <v>31.948</v>
      </c>
      <c r="S73" s="1276">
        <f>+'[1]Gasolinas 2012'!I35</f>
        <v>31.114999999999998</v>
      </c>
      <c r="T73" s="1276">
        <f>+'[1]Gasolinas 2013'!I35</f>
        <v>28.677499999999998</v>
      </c>
      <c r="U73" s="1276">
        <f>+'[1]Gasolinas 2014'!I34</f>
        <v>30.252500000000001</v>
      </c>
      <c r="V73" s="1276">
        <f>+'[1]Gasolinas 2015'!I36</f>
        <v>21.322500000000002</v>
      </c>
      <c r="W73" s="1276">
        <f>+'[1]Gasolinas 2016'!I35</f>
        <v>16.257999999999999</v>
      </c>
      <c r="X73" s="1276">
        <f>+'[1]Gasolinas 2017'!I35</f>
        <v>16.857999999999997</v>
      </c>
      <c r="Y73" s="1276">
        <f>+'[1]Gasolinas 2018'!I35</f>
        <v>22.294</v>
      </c>
      <c r="Z73" s="1276">
        <f>+'[1]Gasolinas 2019'!I35</f>
        <v>21.965000000000003</v>
      </c>
      <c r="AA73" s="1276">
        <f>+'[1]Gasolinas 2020'!I34</f>
        <v>14.092500000000001</v>
      </c>
      <c r="AB73" s="1276">
        <v>21.753999999999998</v>
      </c>
      <c r="AC73" s="1276">
        <v>34.83</v>
      </c>
      <c r="AD73" s="1276">
        <f>+'Gasolineras 2023'!I35</f>
        <v>27.427999999999997</v>
      </c>
      <c r="AE73" s="1276">
        <f>+'Gasolineras 2024'!I35</f>
        <v>28.167499999999997</v>
      </c>
      <c r="AF73" s="1308"/>
      <c r="AG73" s="1308"/>
      <c r="AH73" s="1308"/>
      <c r="AI73" s="1308"/>
      <c r="AJ73" s="1308"/>
      <c r="AK73" s="1308"/>
      <c r="AL73" s="1308"/>
      <c r="AM73" s="1308"/>
      <c r="AN73" s="1308"/>
      <c r="AO73" s="1308"/>
    </row>
    <row r="74" spans="1:44" ht="13.5">
      <c r="A74" s="1281" t="s">
        <v>46</v>
      </c>
      <c r="B74" s="1282">
        <v>6.77</v>
      </c>
      <c r="C74" s="1282">
        <v>8.02</v>
      </c>
      <c r="D74" s="1282">
        <v>8.4499999999999993</v>
      </c>
      <c r="E74" s="1282">
        <v>7.78</v>
      </c>
      <c r="F74" s="1282">
        <v>8.1199999999999992</v>
      </c>
      <c r="G74" s="1282">
        <v>10.27</v>
      </c>
      <c r="H74" s="1284">
        <v>10.385</v>
      </c>
      <c r="I74" s="1284">
        <v>9.3149999999999995</v>
      </c>
      <c r="J74" s="1284">
        <v>9.4625000000000004</v>
      </c>
      <c r="K74" s="1284">
        <v>13.615</v>
      </c>
      <c r="L74" s="1284">
        <v>16.989999999999998</v>
      </c>
      <c r="M74" s="1284">
        <v>20.482500000000002</v>
      </c>
      <c r="N74" s="1284">
        <v>21.387499999999999</v>
      </c>
      <c r="O74" s="1284">
        <v>36.155000000000001</v>
      </c>
      <c r="P74" s="1284">
        <v>19.510000000000002</v>
      </c>
      <c r="Q74" s="1284">
        <v>22.68</v>
      </c>
      <c r="R74" s="1284">
        <v>30.954999999999998</v>
      </c>
      <c r="S74" s="1284">
        <f>+'[1]Gasolinas 2012'!I40</f>
        <v>28.734999999999999</v>
      </c>
      <c r="T74" s="1284">
        <f>+'[1]Gasolinas 2013'!I40</f>
        <v>28.020000000000003</v>
      </c>
      <c r="U74" s="1284">
        <f>'[1]Gasolinas 2014'!$I$39</f>
        <v>30.282499999999999</v>
      </c>
      <c r="V74" s="1284">
        <f>+'[1]Gasolinas 2015'!I41</f>
        <v>20.7775</v>
      </c>
      <c r="W74" s="1284">
        <f>+'[1]Gasolinas 2016'!I40</f>
        <v>17.204999999999998</v>
      </c>
      <c r="X74" s="1284">
        <f>+'[1]Gasolinas 2017'!I40</f>
        <v>16.445</v>
      </c>
      <c r="Y74" s="1284">
        <f>+'[1]Gasolinas 2018'!I40</f>
        <v>22.1</v>
      </c>
      <c r="Z74" s="1284">
        <f>+'[1]Gasolinas 2019'!I40</f>
        <v>20.75</v>
      </c>
      <c r="AA74" s="1284">
        <f>+'[1]Gasolinas 2020'!I40</f>
        <v>15.340711456501191</v>
      </c>
      <c r="AB74" s="1284">
        <v>22.259999999999998</v>
      </c>
      <c r="AC74" s="1284">
        <f>+'Gasolineras 2022'!I40</f>
        <v>35.4</v>
      </c>
      <c r="AD74" s="1284">
        <f>+'Gasolineras 2023'!I40</f>
        <v>26.5275</v>
      </c>
      <c r="AE74" s="1284">
        <f>+'Gasolineras 2024'!I40</f>
        <v>27.432499999999997</v>
      </c>
      <c r="AF74" s="1308"/>
      <c r="AG74" s="1308"/>
      <c r="AH74" s="1308"/>
      <c r="AI74" s="1308"/>
      <c r="AJ74" s="1308"/>
      <c r="AK74" s="1308"/>
      <c r="AL74" s="1308"/>
      <c r="AM74" s="1308"/>
      <c r="AN74" s="1308"/>
      <c r="AO74" s="1308"/>
    </row>
    <row r="75" spans="1:44" ht="13.5">
      <c r="A75" s="1273" t="s">
        <v>47</v>
      </c>
      <c r="B75" s="1274">
        <v>6.61</v>
      </c>
      <c r="C75" s="1274">
        <v>7.9</v>
      </c>
      <c r="D75" s="1274">
        <v>8.2799999999999994</v>
      </c>
      <c r="E75" s="1274">
        <v>7.58</v>
      </c>
      <c r="F75" s="1274">
        <v>8.2799999999999994</v>
      </c>
      <c r="G75" s="1274">
        <v>10.46</v>
      </c>
      <c r="H75" s="1276">
        <v>10.166</v>
      </c>
      <c r="I75" s="1276">
        <v>9.4659999999999993</v>
      </c>
      <c r="J75" s="1276">
        <v>9.5740000000000016</v>
      </c>
      <c r="K75" s="1276">
        <v>14.08</v>
      </c>
      <c r="L75" s="1276">
        <v>17.032499999999999</v>
      </c>
      <c r="M75" s="1276">
        <v>20.571999999999999</v>
      </c>
      <c r="N75" s="1276">
        <v>21.477499999999999</v>
      </c>
      <c r="O75" s="1276">
        <v>36.951999999999998</v>
      </c>
      <c r="P75" s="1276">
        <v>20.256</v>
      </c>
      <c r="Q75" s="1276">
        <v>22.912500000000001</v>
      </c>
      <c r="R75" s="1276">
        <v>31.1</v>
      </c>
      <c r="S75" s="1276">
        <f>+'[1]Gasolinas 2012'!I84</f>
        <v>29.304000000000002</v>
      </c>
      <c r="T75" s="1276">
        <f>+'[1]Gasolinas 2013'!I84</f>
        <v>30.242000000000001</v>
      </c>
      <c r="U75" s="1276">
        <f>+'[1]Gasolinas 2014'!I45</f>
        <v>30.142000000000003</v>
      </c>
      <c r="V75" s="1276">
        <f>+'[1]Gasolinas 2015'!I47</f>
        <v>19.527999999999999</v>
      </c>
      <c r="W75" s="1276">
        <f>+'[1]Gasolinas 2016'!I45</f>
        <v>16.362499999999997</v>
      </c>
      <c r="X75" s="1276">
        <f>+'[1]Gasolinas 2017'!I46</f>
        <v>16.606000000000002</v>
      </c>
      <c r="Y75" s="1276">
        <f>+'[1]Gasolinas 2018'!I46</f>
        <v>22.095999999999997</v>
      </c>
      <c r="Z75" s="1276">
        <f>+'[1]Gasolinas 2019'!I46</f>
        <v>20.98</v>
      </c>
      <c r="AA75" s="1276">
        <f>+'[1]Gasolinas 2020'!I45</f>
        <v>16.342499999999998</v>
      </c>
      <c r="AB75" s="1276">
        <v>22.61</v>
      </c>
      <c r="AC75" s="1276">
        <f>+'Gasolineras 2022'!I45</f>
        <v>31.522500000000001</v>
      </c>
      <c r="AD75" s="1276">
        <f>+'Gasolineras 2023'!I46</f>
        <v>27.910000000000004</v>
      </c>
      <c r="AE75" s="1276">
        <f>+'Gasolineras 2024'!I46</f>
        <v>28.251999999999999</v>
      </c>
      <c r="AF75" s="1308"/>
      <c r="AG75" s="1308"/>
      <c r="AH75" s="1308"/>
      <c r="AI75" s="1308"/>
      <c r="AJ75" s="1308"/>
      <c r="AK75" s="1308"/>
      <c r="AL75" s="1308"/>
      <c r="AM75" s="1308"/>
      <c r="AN75" s="1308"/>
      <c r="AO75" s="1308"/>
    </row>
    <row r="76" spans="1:44" ht="15.75">
      <c r="A76" s="1281" t="s">
        <v>48</v>
      </c>
      <c r="B76" s="1282">
        <v>6.53</v>
      </c>
      <c r="C76" s="1282">
        <v>7.89</v>
      </c>
      <c r="D76" s="1282">
        <v>8.2200000000000006</v>
      </c>
      <c r="E76" s="1282">
        <v>7.45</v>
      </c>
      <c r="F76" s="1282">
        <v>8.6</v>
      </c>
      <c r="G76" s="1282">
        <v>10.43</v>
      </c>
      <c r="H76" s="1284">
        <v>10.022</v>
      </c>
      <c r="I76" s="1284">
        <v>9.8450000000000006</v>
      </c>
      <c r="J76" s="1284">
        <v>10.244999999999999</v>
      </c>
      <c r="K76" s="1284">
        <v>14.8775</v>
      </c>
      <c r="L76" s="1284">
        <v>17.63</v>
      </c>
      <c r="M76" s="1284">
        <v>21.425000000000001</v>
      </c>
      <c r="N76" s="1284">
        <v>21.61</v>
      </c>
      <c r="O76" s="1284">
        <v>34.979999999999997</v>
      </c>
      <c r="P76" s="1284">
        <v>21.41</v>
      </c>
      <c r="Q76" s="1284">
        <v>23.165999999999997</v>
      </c>
      <c r="R76" s="1284">
        <v>31.145999999999997</v>
      </c>
      <c r="S76" s="1284">
        <f>+'[1]Gasolinas 2012'!I89</f>
        <v>30.8825</v>
      </c>
      <c r="T76" s="1284">
        <f>+'[1]Gasolinas 2013'!I89</f>
        <v>30.689999999999998</v>
      </c>
      <c r="U76" s="1284">
        <f>+'[1]Gasolinas 2014'!E50</f>
        <v>30.414999999999999</v>
      </c>
      <c r="V76" s="1284">
        <f>+'[1]Gasolinas 2015'!I53</f>
        <v>17.398</v>
      </c>
      <c r="W76" s="1284">
        <f>+'[1]Gasolinas 2016'!I51</f>
        <v>16.218</v>
      </c>
      <c r="X76" s="1284">
        <f>+'[1]Gasolinas 2017'!I51</f>
        <v>17.547500000000003</v>
      </c>
      <c r="Y76" s="1284">
        <f>+'[1]Gasolinas 2018'!I51</f>
        <v>22.055</v>
      </c>
      <c r="Z76" s="1284">
        <f>+'[1]Gasolinas 2019'!I51</f>
        <v>20.205000000000002</v>
      </c>
      <c r="AA76" s="1284">
        <f>+'[1]Gasolinas 2020'!I51</f>
        <v>16.622</v>
      </c>
      <c r="AB76" s="1284">
        <v>22.913999999999998</v>
      </c>
      <c r="AC76" s="1284">
        <f>+'Gasolineras 2022'!I51</f>
        <v>33.887999999999998</v>
      </c>
      <c r="AD76" s="1284">
        <f>+'Gasolineras 2023'!I51</f>
        <v>31.852499999999999</v>
      </c>
      <c r="AE76" s="1284">
        <f>+'Gasolineras 2024'!I51</f>
        <v>27.422499999999999</v>
      </c>
      <c r="AF76" s="1319"/>
      <c r="AG76" s="1319"/>
      <c r="AH76" s="1319"/>
      <c r="AI76" s="1319"/>
      <c r="AJ76" s="1319"/>
      <c r="AK76" s="1319"/>
      <c r="AL76" s="1319"/>
      <c r="AM76" s="1319"/>
      <c r="AN76" s="1319"/>
      <c r="AO76" s="1319"/>
      <c r="AP76" s="1320"/>
      <c r="AQ76" s="1320"/>
      <c r="AR76" s="1320"/>
    </row>
    <row r="77" spans="1:44" ht="13.5">
      <c r="A77" s="1273" t="s">
        <v>49</v>
      </c>
      <c r="B77" s="1274">
        <v>6.65</v>
      </c>
      <c r="C77" s="1274">
        <v>7.99</v>
      </c>
      <c r="D77" s="1274">
        <v>8.31</v>
      </c>
      <c r="E77" s="1274">
        <v>7.35</v>
      </c>
      <c r="F77" s="1274">
        <v>8.99</v>
      </c>
      <c r="G77" s="1274">
        <v>11.04</v>
      </c>
      <c r="H77" s="1276">
        <v>10.1425</v>
      </c>
      <c r="I77" s="1276">
        <v>9.81</v>
      </c>
      <c r="J77" s="1276">
        <v>10.916</v>
      </c>
      <c r="K77" s="1276">
        <v>14.83</v>
      </c>
      <c r="L77" s="1276">
        <v>19.012499999999999</v>
      </c>
      <c r="M77" s="1276">
        <v>20.984999999999999</v>
      </c>
      <c r="N77" s="1276">
        <v>21.24</v>
      </c>
      <c r="O77" s="1276">
        <v>32.465999999999994</v>
      </c>
      <c r="P77" s="1276">
        <v>21.4575</v>
      </c>
      <c r="Q77" s="1276">
        <v>22.594999999999999</v>
      </c>
      <c r="R77" s="1276">
        <v>30.74</v>
      </c>
      <c r="S77" s="1276">
        <f>+'[1]Gasolinas 2012'!I94</f>
        <v>33.005000000000003</v>
      </c>
      <c r="T77" s="1276">
        <f>+'[1]Gasolinas 2013'!I95</f>
        <v>31.768000000000001</v>
      </c>
      <c r="U77" s="1276">
        <f>+'[1]Gasolinas 2014'!I56</f>
        <v>28.695999999999998</v>
      </c>
      <c r="V77" s="1276">
        <f>+'[1]Gasolinas 2015'!I58</f>
        <v>17.625</v>
      </c>
      <c r="W77" s="1276">
        <f>+'[1]Gasolinas 2016'!I56</f>
        <v>16.8825</v>
      </c>
      <c r="X77" s="1276">
        <f>+'[1]Gasolinas 2017'!I56</f>
        <v>18.302500000000002</v>
      </c>
      <c r="Y77" s="1276">
        <f>+'[1]Gasolinas 2018'!I56</f>
        <v>22.974999999999998</v>
      </c>
      <c r="Z77" s="1276">
        <f>+'[1]Gasolinas 2019'!I57</f>
        <v>20.988</v>
      </c>
      <c r="AA77" s="1276">
        <f>+'[1]Gasolinas 2020'!I56</f>
        <v>15.447500000000002</v>
      </c>
      <c r="AB77" s="1276">
        <v>23.557499999999997</v>
      </c>
      <c r="AC77" s="1276">
        <f>+'Gasolineras 2022'!I56</f>
        <v>30.702500000000001</v>
      </c>
      <c r="AD77" s="1276">
        <f>+'Gasolineras 2023'!I56</f>
        <v>33.462499999999999</v>
      </c>
      <c r="AE77" s="1276">
        <f>+'Gasolineras 2024'!I57</f>
        <v>26.218</v>
      </c>
      <c r="AF77" s="1308"/>
      <c r="AG77" s="1308"/>
      <c r="AH77" s="1308"/>
      <c r="AI77" s="1308"/>
      <c r="AJ77" s="1308"/>
      <c r="AK77" s="1308"/>
      <c r="AL77" s="1308"/>
      <c r="AM77" s="1308"/>
      <c r="AN77" s="1308"/>
      <c r="AO77" s="1308"/>
    </row>
    <row r="78" spans="1:44" ht="13.5">
      <c r="A78" s="1281" t="s">
        <v>50</v>
      </c>
      <c r="B78" s="1282">
        <v>6.71</v>
      </c>
      <c r="C78" s="1282">
        <v>8.24</v>
      </c>
      <c r="D78" s="1282">
        <v>8.31</v>
      </c>
      <c r="E78" s="1282">
        <v>7.48</v>
      </c>
      <c r="F78" s="1282">
        <v>9.36</v>
      </c>
      <c r="G78" s="1282">
        <v>11.956</v>
      </c>
      <c r="H78" s="1284">
        <v>10.133999999999999</v>
      </c>
      <c r="I78" s="1284">
        <v>10.065</v>
      </c>
      <c r="J78" s="1284">
        <v>10.5625</v>
      </c>
      <c r="K78" s="1284">
        <v>15.22</v>
      </c>
      <c r="L78" s="1284">
        <v>20.271999999999998</v>
      </c>
      <c r="M78" s="1284">
        <v>19.73</v>
      </c>
      <c r="N78" s="1284">
        <v>22.768000000000001</v>
      </c>
      <c r="O78" s="1284">
        <v>28.875</v>
      </c>
      <c r="P78" s="1284">
        <v>20.967500000000001</v>
      </c>
      <c r="Q78" s="1284">
        <v>24.55</v>
      </c>
      <c r="R78" s="1284">
        <v>30.477999999999998</v>
      </c>
      <c r="S78" s="1284">
        <f>+'[1]Gasolinas 2012'!I100</f>
        <v>32.47</v>
      </c>
      <c r="T78" s="1284">
        <f>+'[1]Gasolinas 2013'!I100</f>
        <v>30.567499999999999</v>
      </c>
      <c r="U78" s="1284">
        <f>+'[1]Gasolinas 2014'!I61</f>
        <v>26.8475</v>
      </c>
      <c r="V78" s="1284">
        <f>+'[1]Gasolinas 2015'!I63</f>
        <v>17.650000000000002</v>
      </c>
      <c r="W78" s="1284">
        <f>+'[1]Gasolinas 2016'!I62</f>
        <v>17.572000000000003</v>
      </c>
      <c r="X78" s="1284">
        <f>+'[1]Gasolinas 2017'!I62</f>
        <v>19.102</v>
      </c>
      <c r="Y78" s="1284">
        <f>+'[1]Gasolinas 2018'!I62</f>
        <v>24.192</v>
      </c>
      <c r="Z78" s="1284">
        <f>+'[1]Gasolinas 2019'!I61</f>
        <v>21.2</v>
      </c>
      <c r="AA78" s="1284">
        <v>15.01</v>
      </c>
      <c r="AB78" s="1284">
        <v>25.454999999999998</v>
      </c>
      <c r="AC78" s="1284">
        <f>+'Gasolineras 2022'!I61</f>
        <v>38.327500000000001</v>
      </c>
      <c r="AD78" s="1284">
        <f>+'Gasolineras 2023'!I62</f>
        <v>33.715999999999994</v>
      </c>
      <c r="AE78" s="1284">
        <f>+'Gasolineras 2024'!I62</f>
        <v>26.217500000000001</v>
      </c>
      <c r="AF78" s="1308"/>
      <c r="AG78" s="1308"/>
      <c r="AH78" s="1308"/>
      <c r="AI78" s="1308"/>
      <c r="AJ78" s="1308"/>
      <c r="AK78" s="1308"/>
      <c r="AL78" s="1308"/>
      <c r="AM78" s="1308"/>
      <c r="AN78" s="1308"/>
      <c r="AO78" s="1308"/>
    </row>
    <row r="79" spans="1:44" ht="12.75" customHeight="1">
      <c r="A79" s="1273" t="s">
        <v>51</v>
      </c>
      <c r="B79" s="1274">
        <v>6.77</v>
      </c>
      <c r="C79" s="1274">
        <v>8.7100000000000009</v>
      </c>
      <c r="D79" s="1274">
        <v>8.36</v>
      </c>
      <c r="E79" s="1274">
        <v>7.56</v>
      </c>
      <c r="F79" s="1274">
        <v>9.44</v>
      </c>
      <c r="G79" s="1274">
        <v>12.13</v>
      </c>
      <c r="H79" s="1276">
        <v>9.93</v>
      </c>
      <c r="I79" s="1276">
        <v>10.1425</v>
      </c>
      <c r="J79" s="1276">
        <v>10.72</v>
      </c>
      <c r="K79" s="1276">
        <v>15.335000000000001</v>
      </c>
      <c r="L79" s="1276">
        <v>20.85</v>
      </c>
      <c r="M79" s="1276">
        <v>18.760000000000002</v>
      </c>
      <c r="N79" s="1276">
        <v>25.002500000000001</v>
      </c>
      <c r="O79" s="1276">
        <v>24.715</v>
      </c>
      <c r="P79" s="1276">
        <v>23.128000000000004</v>
      </c>
      <c r="Q79" s="1276">
        <v>25.166000000000004</v>
      </c>
      <c r="R79" s="1276">
        <v>31.8675</v>
      </c>
      <c r="S79" s="1276">
        <f>+'[1]Gasolinas 2012'!I105</f>
        <v>30.884999999999998</v>
      </c>
      <c r="T79" s="1276">
        <f>+'[1]Gasolinas 2013'!I105</f>
        <v>30.477499999999999</v>
      </c>
      <c r="U79" s="1276">
        <f>+'[1]Gasolinas 2014'!I66</f>
        <v>25.09</v>
      </c>
      <c r="V79" s="1276">
        <f>+'[1]Gasolinas 2015'!I69</f>
        <v>17.213999999999999</v>
      </c>
      <c r="W79" s="1276">
        <f>+'[1]Gasolinas 2016'!I67</f>
        <v>17.175000000000001</v>
      </c>
      <c r="X79" s="1276">
        <f>+'[1]Gasolinas 2017'!I67</f>
        <v>19.93</v>
      </c>
      <c r="Y79" s="1276">
        <f>+'[1]Gasolinas 2018'!I67</f>
        <v>22.872500000000002</v>
      </c>
      <c r="Z79" s="1276">
        <f>+'[1]Gasolinas 2019'!I67</f>
        <v>20.932500000000001</v>
      </c>
      <c r="AA79" s="1276">
        <v>15.07</v>
      </c>
      <c r="AB79" s="1276">
        <v>26.024000000000001</v>
      </c>
      <c r="AC79" s="1276">
        <f>+'Gasolineras 2022'!I67</f>
        <v>38.888000000000005</v>
      </c>
      <c r="AD79" s="1276">
        <f>+'Gasolineras 2023'!I67</f>
        <v>31.1175</v>
      </c>
      <c r="AE79" s="1276"/>
      <c r="AF79" s="1308"/>
      <c r="AG79" s="1308"/>
      <c r="AH79" s="1308"/>
      <c r="AI79" s="1308"/>
      <c r="AJ79" s="1308"/>
      <c r="AK79" s="1308"/>
      <c r="AL79" s="1308"/>
      <c r="AM79" s="1308"/>
      <c r="AN79" s="1308"/>
      <c r="AO79" s="1308"/>
    </row>
    <row r="80" spans="1:44" ht="12.75" customHeight="1">
      <c r="A80" s="1281" t="s">
        <v>52</v>
      </c>
      <c r="B80" s="1282">
        <v>6.97</v>
      </c>
      <c r="C80" s="1282">
        <v>8.89</v>
      </c>
      <c r="D80" s="1282">
        <v>8.58</v>
      </c>
      <c r="E80" s="1282">
        <v>7.35</v>
      </c>
      <c r="F80" s="1282">
        <v>10.1</v>
      </c>
      <c r="G80" s="1282">
        <v>12.205</v>
      </c>
      <c r="H80" s="1284">
        <v>9.3949999999999996</v>
      </c>
      <c r="I80" s="1284">
        <v>10.064</v>
      </c>
      <c r="J80" s="1284">
        <v>11</v>
      </c>
      <c r="K80" s="1284">
        <v>15.063999999999998</v>
      </c>
      <c r="L80" s="1284">
        <v>20.434999999999999</v>
      </c>
      <c r="M80" s="1284">
        <v>18.63</v>
      </c>
      <c r="N80" s="1284">
        <v>25.927499999999998</v>
      </c>
      <c r="O80" s="1284">
        <v>20.706</v>
      </c>
      <c r="P80" s="1284">
        <v>23.052499999999998</v>
      </c>
      <c r="Q80" s="1284">
        <v>26.65</v>
      </c>
      <c r="R80" s="1284">
        <v>30.642499999999998</v>
      </c>
      <c r="S80" s="1284">
        <f>+'[1]Gasolinas 2012'!I110</f>
        <v>32.167499999999997</v>
      </c>
      <c r="T80" s="1284">
        <f>+'[1]Gasolinas 2013'!I111</f>
        <v>31.6</v>
      </c>
      <c r="U80" s="1284">
        <f>+'[1]Gasolinas 2014'!I72</f>
        <v>22.27</v>
      </c>
      <c r="V80" s="1284">
        <f>+'[1]Gasolinas 2015'!I74</f>
        <v>15.404999999999999</v>
      </c>
      <c r="W80" s="1284">
        <f>+'[1]Gasolinas 2016'!I72</f>
        <v>18.149999999999999</v>
      </c>
      <c r="X80" s="1284">
        <f>+'[1]Gasolinas 2017'!I72</f>
        <v>20.072499999999998</v>
      </c>
      <c r="Y80" s="1284">
        <f>+'[1]Gasolinas 2018'!I72</f>
        <v>20.7225</v>
      </c>
      <c r="Z80" s="1284">
        <f>+'[1]Gasolinas 2019'!I73</f>
        <v>21.088000000000001</v>
      </c>
      <c r="AA80" s="1284">
        <f>+'[1]Gasolinas 2020'!I72</f>
        <v>17.225000000000001</v>
      </c>
      <c r="AB80" s="1284">
        <v>24.357500000000002</v>
      </c>
      <c r="AC80" s="1284">
        <f>+'Gasolineras 2022'!I72</f>
        <v>34.519999999999996</v>
      </c>
      <c r="AD80" s="1284">
        <f>+'Gasolineras 2023'!I72</f>
        <v>29.2925</v>
      </c>
      <c r="AE80" s="1284"/>
      <c r="AF80" s="1308"/>
      <c r="AG80" s="1308"/>
      <c r="AH80" s="1308"/>
      <c r="AI80" s="1308"/>
      <c r="AJ80" s="1308"/>
      <c r="AK80" s="1308"/>
      <c r="AL80" s="1308"/>
      <c r="AM80" s="1308"/>
      <c r="AN80" s="1308"/>
      <c r="AO80" s="1308"/>
    </row>
    <row r="81" spans="1:41" ht="21" customHeight="1">
      <c r="A81" s="1288" t="s">
        <v>7</v>
      </c>
      <c r="B81" s="1289">
        <f t="shared" ref="B81:AA81" si="3">AVERAGE(B69:B80)</f>
        <v>6.6808333333333323</v>
      </c>
      <c r="C81" s="1289">
        <f t="shared" si="3"/>
        <v>8.0425000000000004</v>
      </c>
      <c r="D81" s="1289">
        <f t="shared" si="3"/>
        <v>8.5541666666666671</v>
      </c>
      <c r="E81" s="1289">
        <f t="shared" si="3"/>
        <v>7.6841666666666661</v>
      </c>
      <c r="F81" s="1289">
        <f t="shared" si="3"/>
        <v>8.3716666666666661</v>
      </c>
      <c r="G81" s="1289">
        <f t="shared" si="3"/>
        <v>10.910916666666665</v>
      </c>
      <c r="H81" s="1290">
        <f t="shared" si="3"/>
        <v>10.371569444444445</v>
      </c>
      <c r="I81" s="1290">
        <f t="shared" si="3"/>
        <v>9.4849999999999994</v>
      </c>
      <c r="J81" s="1290">
        <f t="shared" si="3"/>
        <v>10.843333333333334</v>
      </c>
      <c r="K81" s="1290">
        <f t="shared" si="3"/>
        <v>13.898458333333332</v>
      </c>
      <c r="L81" s="1290">
        <f t="shared" si="3"/>
        <v>17.934124999999998</v>
      </c>
      <c r="M81" s="1290">
        <f t="shared" si="3"/>
        <v>19.797916666666669</v>
      </c>
      <c r="N81" s="1290">
        <f t="shared" si="3"/>
        <v>21.314708333333336</v>
      </c>
      <c r="O81" s="1290">
        <f t="shared" si="3"/>
        <v>29.797875000000001</v>
      </c>
      <c r="P81" s="1290">
        <f t="shared" si="3"/>
        <v>19.793250000000004</v>
      </c>
      <c r="Q81" s="1290">
        <f t="shared" si="3"/>
        <v>24.031666666666666</v>
      </c>
      <c r="R81" s="1290">
        <f t="shared" si="3"/>
        <v>30.690583333333333</v>
      </c>
      <c r="S81" s="1290">
        <f t="shared" si="3"/>
        <v>31.396625</v>
      </c>
      <c r="T81" s="1290">
        <f t="shared" si="3"/>
        <v>30.581291666666672</v>
      </c>
      <c r="U81" s="1290">
        <f t="shared" si="3"/>
        <v>28.878749999999997</v>
      </c>
      <c r="V81" s="1290">
        <f t="shared" si="3"/>
        <v>18.816708333333334</v>
      </c>
      <c r="W81" s="1290">
        <f t="shared" si="3"/>
        <v>16.034208333333336</v>
      </c>
      <c r="X81" s="1290">
        <f t="shared" si="3"/>
        <v>18.024291666666667</v>
      </c>
      <c r="Y81" s="1290">
        <f t="shared" si="3"/>
        <v>21.81079166666667</v>
      </c>
      <c r="Z81" s="1290">
        <f t="shared" si="3"/>
        <v>21.072541666666666</v>
      </c>
      <c r="AA81" s="1290">
        <f t="shared" si="3"/>
        <v>16.41610095470843</v>
      </c>
      <c r="AB81" s="1290">
        <v>22.430958333333333</v>
      </c>
      <c r="AC81" s="1290">
        <f>AVERAGE(AC69:AC80)</f>
        <v>33.577374999999996</v>
      </c>
      <c r="AD81" s="1290">
        <f>AVERAGE(AD69:AD80)</f>
        <v>30.880458333333337</v>
      </c>
      <c r="AE81" s="1290">
        <f>AVERAGE(AE69:AE80)</f>
        <v>28.334150000000001</v>
      </c>
      <c r="AF81" s="1308"/>
      <c r="AG81" s="1308"/>
      <c r="AH81" s="1308"/>
      <c r="AI81" s="1308"/>
      <c r="AJ81" s="1308"/>
      <c r="AK81" s="1308"/>
      <c r="AL81" s="1308"/>
      <c r="AM81" s="1308"/>
      <c r="AN81" s="1308"/>
      <c r="AO81" s="1308"/>
    </row>
    <row r="82" spans="1:41">
      <c r="A82" s="1327"/>
      <c r="B82" s="1327"/>
      <c r="C82" s="1327"/>
      <c r="D82" s="1327"/>
      <c r="E82" s="1327"/>
      <c r="F82" s="1327"/>
      <c r="G82" s="1327"/>
      <c r="H82" s="1327"/>
      <c r="I82" s="1332"/>
      <c r="J82" s="1332"/>
      <c r="K82" s="1332"/>
      <c r="L82" s="1332"/>
      <c r="M82" s="1332"/>
      <c r="N82" s="1332"/>
      <c r="O82" s="1332"/>
      <c r="P82" s="1332"/>
      <c r="Q82" s="1332"/>
      <c r="R82" s="1332"/>
      <c r="S82" s="1332"/>
      <c r="T82" s="1332"/>
      <c r="U82" s="1332"/>
      <c r="V82" s="1332"/>
      <c r="W82" s="624"/>
      <c r="X82" s="624"/>
      <c r="Y82" s="624"/>
      <c r="Z82" s="624"/>
      <c r="AA82" s="624"/>
      <c r="AB82" s="624"/>
      <c r="AC82" s="624"/>
      <c r="AD82" s="624"/>
      <c r="AE82" s="624"/>
      <c r="AF82" s="1308"/>
      <c r="AG82" s="1308"/>
      <c r="AH82" s="1308"/>
      <c r="AI82" s="1308"/>
      <c r="AJ82" s="1308"/>
      <c r="AK82" s="1308"/>
      <c r="AL82" s="1308"/>
      <c r="AM82" s="1308"/>
      <c r="AN82" s="1308"/>
      <c r="AO82" s="1308"/>
    </row>
    <row r="83" spans="1:41">
      <c r="A83" s="1652"/>
      <c r="B83" s="1652"/>
      <c r="C83" s="1652"/>
      <c r="D83" s="1652"/>
      <c r="E83" s="1652"/>
      <c r="F83" s="1652"/>
      <c r="G83" s="1652"/>
      <c r="H83" s="1652"/>
      <c r="I83" s="1652"/>
      <c r="J83" s="1652"/>
      <c r="K83" s="1652"/>
      <c r="L83" s="1652"/>
      <c r="M83" s="1652"/>
      <c r="N83" s="1652"/>
      <c r="O83" s="1652"/>
      <c r="P83" s="1652"/>
      <c r="Q83" s="1652"/>
      <c r="R83" s="1652"/>
      <c r="S83" s="1652"/>
      <c r="T83" s="1652"/>
      <c r="U83" s="1652"/>
      <c r="V83" s="1652"/>
      <c r="W83" s="1652"/>
      <c r="X83" s="624"/>
      <c r="Y83" s="624"/>
      <c r="Z83" s="624"/>
      <c r="AA83" s="624"/>
      <c r="AB83" s="624"/>
      <c r="AC83" s="624"/>
      <c r="AD83" s="624"/>
      <c r="AE83" s="624"/>
      <c r="AF83" s="1308"/>
      <c r="AG83" s="1308"/>
      <c r="AH83" s="1308"/>
      <c r="AI83" s="1308"/>
      <c r="AJ83" s="1308"/>
      <c r="AK83" s="1308"/>
      <c r="AL83" s="1308"/>
      <c r="AM83" s="1308"/>
      <c r="AN83" s="1308"/>
      <c r="AO83" s="1308"/>
    </row>
    <row r="84" spans="1:41">
      <c r="A84" s="591"/>
      <c r="B84" s="591"/>
      <c r="C84" s="591"/>
      <c r="D84" s="591"/>
      <c r="E84" s="591"/>
      <c r="F84" s="591"/>
      <c r="G84" s="591"/>
      <c r="H84" s="591"/>
      <c r="I84" s="591"/>
      <c r="J84" s="591"/>
      <c r="K84" s="591"/>
      <c r="L84" s="591"/>
      <c r="M84" s="591"/>
      <c r="N84" s="591"/>
      <c r="O84" s="591"/>
      <c r="P84" s="591"/>
      <c r="Q84" s="591"/>
      <c r="R84" s="591"/>
      <c r="S84" s="591"/>
      <c r="T84" s="591"/>
      <c r="U84" s="591" t="s">
        <v>148</v>
      </c>
      <c r="V84" s="591"/>
      <c r="W84" s="591"/>
      <c r="X84" s="591"/>
      <c r="Y84" s="591"/>
      <c r="Z84" s="591"/>
      <c r="AA84" s="591"/>
      <c r="AB84" s="591"/>
    </row>
    <row r="85" spans="1:41">
      <c r="A85" s="591"/>
      <c r="B85" s="591"/>
      <c r="C85" s="591"/>
      <c r="D85" s="591"/>
      <c r="E85" s="591"/>
      <c r="F85" s="591"/>
      <c r="G85" s="591"/>
      <c r="H85" s="591"/>
      <c r="I85" s="591"/>
      <c r="J85" s="591"/>
      <c r="K85" s="591"/>
      <c r="L85" s="591"/>
      <c r="M85" s="591"/>
      <c r="N85" s="591"/>
      <c r="O85" s="591"/>
      <c r="P85" s="591"/>
      <c r="Q85" s="591"/>
      <c r="R85" s="591"/>
      <c r="S85" s="591"/>
      <c r="T85" s="591"/>
      <c r="U85" s="591"/>
      <c r="V85" s="591"/>
      <c r="W85" s="591"/>
      <c r="X85" s="591"/>
      <c r="Y85" s="591"/>
      <c r="Z85" s="591"/>
      <c r="AA85" s="591"/>
      <c r="AB85" s="591"/>
    </row>
  </sheetData>
  <mergeCells count="141">
    <mergeCell ref="AB67:AB68"/>
    <mergeCell ref="AD67:AD68"/>
    <mergeCell ref="A83:W83"/>
    <mergeCell ref="S67:S68"/>
    <mergeCell ref="T67:T68"/>
    <mergeCell ref="U67:U68"/>
    <mergeCell ref="V67:V68"/>
    <mergeCell ref="W67:W68"/>
    <mergeCell ref="X67:X68"/>
    <mergeCell ref="M67:M68"/>
    <mergeCell ref="N67:N68"/>
    <mergeCell ref="O67:O68"/>
    <mergeCell ref="P67:P68"/>
    <mergeCell ref="Q67:Q68"/>
    <mergeCell ref="R67:R68"/>
    <mergeCell ref="G67:G68"/>
    <mergeCell ref="H67:H68"/>
    <mergeCell ref="I67:I68"/>
    <mergeCell ref="J67:J68"/>
    <mergeCell ref="K67:K68"/>
    <mergeCell ref="L67:L68"/>
    <mergeCell ref="A67:A68"/>
    <mergeCell ref="B67:B68"/>
    <mergeCell ref="C67:C68"/>
    <mergeCell ref="D67:D68"/>
    <mergeCell ref="E67:E68"/>
    <mergeCell ref="F67:F68"/>
    <mergeCell ref="Y49:Y50"/>
    <mergeCell ref="Z49:Z50"/>
    <mergeCell ref="AA49:AA50"/>
    <mergeCell ref="Y67:Y68"/>
    <mergeCell ref="Z67:Z68"/>
    <mergeCell ref="AA67:AA68"/>
    <mergeCell ref="AB49:AB50"/>
    <mergeCell ref="AD49:AD50"/>
    <mergeCell ref="B66:G66"/>
    <mergeCell ref="H66:X66"/>
    <mergeCell ref="S49:S50"/>
    <mergeCell ref="T49:T50"/>
    <mergeCell ref="U49:U50"/>
    <mergeCell ref="V49:V50"/>
    <mergeCell ref="W49:W50"/>
    <mergeCell ref="X49:X50"/>
    <mergeCell ref="M49:M50"/>
    <mergeCell ref="N49:N50"/>
    <mergeCell ref="O49:O50"/>
    <mergeCell ref="P49:P50"/>
    <mergeCell ref="Q49:Q50"/>
    <mergeCell ref="R49:R50"/>
    <mergeCell ref="G49:G50"/>
    <mergeCell ref="H49:H50"/>
    <mergeCell ref="I49:I50"/>
    <mergeCell ref="J49:J50"/>
    <mergeCell ref="K49:K50"/>
    <mergeCell ref="L49:L50"/>
    <mergeCell ref="A44:V44"/>
    <mergeCell ref="A45:V45"/>
    <mergeCell ref="B48:G48"/>
    <mergeCell ref="H48:X48"/>
    <mergeCell ref="A49:A50"/>
    <mergeCell ref="B49:B50"/>
    <mergeCell ref="C49:C50"/>
    <mergeCell ref="D49:D50"/>
    <mergeCell ref="E49:E50"/>
    <mergeCell ref="F49:F50"/>
    <mergeCell ref="A42:W42"/>
    <mergeCell ref="Q9:Q10"/>
    <mergeCell ref="R9:R10"/>
    <mergeCell ref="S9:S10"/>
    <mergeCell ref="T9:T10"/>
    <mergeCell ref="A43:V43"/>
    <mergeCell ref="T26:T27"/>
    <mergeCell ref="U26:U27"/>
    <mergeCell ref="V26:V27"/>
    <mergeCell ref="W26:W27"/>
    <mergeCell ref="N26:N27"/>
    <mergeCell ref="O26:O27"/>
    <mergeCell ref="P26:P27"/>
    <mergeCell ref="Q26:Q27"/>
    <mergeCell ref="R26:R27"/>
    <mergeCell ref="S26:S27"/>
    <mergeCell ref="H26:H27"/>
    <mergeCell ref="I26:I27"/>
    <mergeCell ref="J26:J27"/>
    <mergeCell ref="K26:K27"/>
    <mergeCell ref="L26:L27"/>
    <mergeCell ref="M26:M27"/>
    <mergeCell ref="AE9:AE10"/>
    <mergeCell ref="V9:V10"/>
    <mergeCell ref="I9:I10"/>
    <mergeCell ref="J9:J10"/>
    <mergeCell ref="X9:X10"/>
    <mergeCell ref="Z26:Z27"/>
    <mergeCell ref="AA26:AA27"/>
    <mergeCell ref="AB26:AB27"/>
    <mergeCell ref="AD26:AD27"/>
    <mergeCell ref="X26:X27"/>
    <mergeCell ref="Y26:Y27"/>
    <mergeCell ref="K9:K10"/>
    <mergeCell ref="L9:L10"/>
    <mergeCell ref="M9:M10"/>
    <mergeCell ref="N9:N10"/>
    <mergeCell ref="AE26:AE27"/>
    <mergeCell ref="A7:AD7"/>
    <mergeCell ref="A9:A10"/>
    <mergeCell ref="B9:B10"/>
    <mergeCell ref="C9:C10"/>
    <mergeCell ref="D9:D10"/>
    <mergeCell ref="E9:E10"/>
    <mergeCell ref="F9:F10"/>
    <mergeCell ref="G9:G10"/>
    <mergeCell ref="H9:H10"/>
    <mergeCell ref="AA9:AA10"/>
    <mergeCell ref="AB9:AB10"/>
    <mergeCell ref="AD9:AD10"/>
    <mergeCell ref="W9:W10"/>
    <mergeCell ref="U9:U10"/>
    <mergeCell ref="AE49:AE50"/>
    <mergeCell ref="AE67:AE68"/>
    <mergeCell ref="AC9:AC10"/>
    <mergeCell ref="AC26:AC27"/>
    <mergeCell ref="AC49:AC50"/>
    <mergeCell ref="AC67:AC68"/>
    <mergeCell ref="A1:Z1"/>
    <mergeCell ref="A2:AD2"/>
    <mergeCell ref="A3:AD3"/>
    <mergeCell ref="A4:AD4"/>
    <mergeCell ref="A5:AD5"/>
    <mergeCell ref="A26:A27"/>
    <mergeCell ref="B26:B27"/>
    <mergeCell ref="C26:C27"/>
    <mergeCell ref="D26:D27"/>
    <mergeCell ref="E26:E27"/>
    <mergeCell ref="F26:F27"/>
    <mergeCell ref="G26:G27"/>
    <mergeCell ref="Y9:Y10"/>
    <mergeCell ref="Z9:Z10"/>
    <mergeCell ref="O9:O10"/>
    <mergeCell ref="P9:P10"/>
    <mergeCell ref="AE5:AO5"/>
    <mergeCell ref="A6:AD6"/>
  </mergeCells>
  <printOptions horizontalCentered="1"/>
  <pageMargins left="0.74748031496062994" right="0.19685039370078741" top="1.0236220472440944" bottom="0.19685039370078741" header="0" footer="0"/>
  <pageSetup paperSize="9" scale="65" fitToHeight="2" orientation="landscape" r:id="rId1"/>
  <headerFooter alignWithMargins="0"/>
  <rowBreaks count="1" manualBreakCount="1">
    <brk id="46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BAD06-C85E-41E1-B56F-FB164AF2C71E}">
  <dimension ref="D1:N29"/>
  <sheetViews>
    <sheetView view="pageBreakPreview" zoomScale="130" zoomScaleNormal="100" zoomScaleSheetLayoutView="130" workbookViewId="0">
      <selection activeCell="L19" sqref="L19"/>
    </sheetView>
  </sheetViews>
  <sheetFormatPr baseColWidth="10" defaultRowHeight="15"/>
  <cols>
    <col min="1" max="5" width="11.42578125" style="1370"/>
    <col min="6" max="6" width="17.5703125" style="1370" customWidth="1"/>
    <col min="7" max="11" width="15.5703125" style="1370" customWidth="1"/>
    <col min="12" max="12" width="15.140625" style="1370" customWidth="1"/>
    <col min="13" max="16384" width="11.42578125" style="1370"/>
  </cols>
  <sheetData>
    <row r="1" spans="4:14" ht="21">
      <c r="D1" s="1371"/>
      <c r="E1" s="1371"/>
      <c r="F1" s="1657" t="s">
        <v>54</v>
      </c>
      <c r="G1" s="1657"/>
      <c r="H1" s="1657"/>
      <c r="I1" s="1657"/>
      <c r="J1" s="1657"/>
      <c r="K1" s="1657"/>
      <c r="L1" s="1657"/>
      <c r="M1" s="1371"/>
      <c r="N1" s="1371"/>
    </row>
    <row r="2" spans="4:14" ht="18.75">
      <c r="D2" s="1371"/>
      <c r="E2" s="1371"/>
      <c r="F2" s="1658" t="s">
        <v>569</v>
      </c>
      <c r="G2" s="1658"/>
      <c r="H2" s="1658"/>
      <c r="I2" s="1658"/>
      <c r="J2" s="1658"/>
      <c r="K2" s="1658"/>
      <c r="L2" s="1658"/>
      <c r="M2" s="1371"/>
      <c r="N2" s="1371"/>
    </row>
    <row r="3" spans="4:14" ht="8.25" customHeight="1">
      <c r="D3" s="1371"/>
      <c r="E3" s="1371"/>
      <c r="F3" s="1371"/>
      <c r="G3" s="1371"/>
      <c r="H3" s="1371"/>
      <c r="I3" s="1371"/>
      <c r="J3" s="1371"/>
      <c r="K3" s="1371"/>
      <c r="L3" s="1371"/>
      <c r="M3" s="1371"/>
      <c r="N3" s="1371"/>
    </row>
    <row r="4" spans="4:14" ht="15.75">
      <c r="D4" s="1371"/>
      <c r="E4" s="1371"/>
      <c r="F4" s="1659" t="s">
        <v>22</v>
      </c>
      <c r="G4" s="1659"/>
      <c r="H4" s="1659"/>
      <c r="I4" s="1659"/>
      <c r="J4" s="1659"/>
      <c r="K4" s="1659"/>
      <c r="L4" s="1659"/>
      <c r="M4" s="1371"/>
      <c r="N4" s="1371"/>
    </row>
    <row r="5" spans="4:14" ht="15.75">
      <c r="D5" s="1371"/>
      <c r="E5" s="1371"/>
      <c r="F5" s="1659" t="s">
        <v>23</v>
      </c>
      <c r="G5" s="1659"/>
      <c r="H5" s="1659"/>
      <c r="I5" s="1659"/>
      <c r="J5" s="1659"/>
      <c r="K5" s="1659"/>
      <c r="L5" s="1659"/>
      <c r="M5" s="1371"/>
      <c r="N5" s="1371"/>
    </row>
    <row r="6" spans="4:14" ht="15.75" thickBot="1">
      <c r="D6" s="1371"/>
      <c r="E6" s="1371"/>
      <c r="F6" s="1656" t="s">
        <v>0</v>
      </c>
      <c r="G6" s="1656"/>
      <c r="H6" s="1656"/>
      <c r="I6" s="1656"/>
      <c r="J6" s="1656"/>
      <c r="K6" s="1656"/>
      <c r="L6" s="1656"/>
      <c r="M6" s="1371"/>
      <c r="N6" s="1371"/>
    </row>
    <row r="7" spans="4:14" ht="27" customHeight="1">
      <c r="D7" s="1371"/>
      <c r="E7" s="1371"/>
      <c r="F7" s="1381" t="s">
        <v>1</v>
      </c>
      <c r="G7" s="1653" t="s">
        <v>522</v>
      </c>
      <c r="H7" s="1653"/>
      <c r="I7" s="1654"/>
      <c r="J7" s="1654"/>
      <c r="K7" s="1654"/>
      <c r="L7" s="1655"/>
      <c r="M7" s="1380"/>
      <c r="N7" s="1371"/>
    </row>
    <row r="8" spans="4:14" ht="45.75" customHeight="1">
      <c r="D8" s="1371"/>
      <c r="E8" s="1371"/>
      <c r="F8" s="1379" t="s">
        <v>21</v>
      </c>
      <c r="G8" s="1404" t="s">
        <v>129</v>
      </c>
      <c r="H8" s="1405" t="s">
        <v>710</v>
      </c>
      <c r="I8" s="1404" t="s">
        <v>5</v>
      </c>
      <c r="J8" s="1405" t="s">
        <v>710</v>
      </c>
      <c r="K8" s="1404" t="s">
        <v>6</v>
      </c>
      <c r="L8" s="1378" t="s">
        <v>710</v>
      </c>
      <c r="M8" s="1371"/>
      <c r="N8" s="1371"/>
    </row>
    <row r="9" spans="4:14" ht="15.75" customHeight="1">
      <c r="D9" s="1371"/>
      <c r="E9" s="1371"/>
      <c r="F9" s="1383">
        <v>44922</v>
      </c>
      <c r="G9" s="1406">
        <v>32.549999999999997</v>
      </c>
      <c r="H9" s="1406"/>
      <c r="I9" s="1406">
        <v>30.99</v>
      </c>
      <c r="J9" s="1406"/>
      <c r="K9" s="1406">
        <v>33.75</v>
      </c>
      <c r="L9" s="1384"/>
      <c r="M9" s="1371"/>
      <c r="N9" s="1371"/>
    </row>
    <row r="10" spans="4:14" ht="15.75">
      <c r="D10" s="1371"/>
      <c r="E10" s="1371"/>
      <c r="F10" s="1377">
        <v>44929</v>
      </c>
      <c r="G10" s="1403">
        <v>32.86</v>
      </c>
      <c r="H10" s="1403">
        <f t="shared" ref="H10:H17" si="0">(G10-G9)</f>
        <v>0.31000000000000227</v>
      </c>
      <c r="I10" s="1403">
        <v>31.42</v>
      </c>
      <c r="J10" s="1403">
        <f t="shared" ref="J10:J16" si="1">(I10-I9)</f>
        <v>0.43000000000000327</v>
      </c>
      <c r="K10" s="1403">
        <v>35.31</v>
      </c>
      <c r="L10" s="1376">
        <f t="shared" ref="L10:L19" si="2">(K10-K9)</f>
        <v>1.5600000000000023</v>
      </c>
      <c r="M10" s="1371"/>
      <c r="N10" s="1371"/>
    </row>
    <row r="11" spans="4:14" ht="15.75">
      <c r="D11" s="1371"/>
      <c r="E11" s="1371"/>
      <c r="F11" s="1383">
        <v>44935</v>
      </c>
      <c r="G11" s="1406">
        <v>33</v>
      </c>
      <c r="H11" s="1406">
        <f t="shared" si="0"/>
        <v>0.14000000000000057</v>
      </c>
      <c r="I11" s="1406">
        <v>31.6</v>
      </c>
      <c r="J11" s="1406">
        <f t="shared" si="1"/>
        <v>0.17999999999999972</v>
      </c>
      <c r="K11" s="1406">
        <v>35.979999999999997</v>
      </c>
      <c r="L11" s="1384">
        <f t="shared" si="2"/>
        <v>0.6699999999999946</v>
      </c>
      <c r="M11" s="1371"/>
      <c r="N11" s="1371"/>
    </row>
    <row r="12" spans="4:14" ht="15.75">
      <c r="D12" s="1371"/>
      <c r="E12" s="1371"/>
      <c r="F12" s="1375">
        <v>44942</v>
      </c>
      <c r="G12" s="1407">
        <v>33.96</v>
      </c>
      <c r="H12" s="1403">
        <f t="shared" si="0"/>
        <v>0.96000000000000085</v>
      </c>
      <c r="I12" s="1407">
        <v>32.58</v>
      </c>
      <c r="J12" s="1407">
        <f t="shared" si="1"/>
        <v>0.97999999999999687</v>
      </c>
      <c r="K12" s="1407">
        <v>35.96</v>
      </c>
      <c r="L12" s="1374">
        <f t="shared" si="2"/>
        <v>-1.9999999999996021E-2</v>
      </c>
      <c r="M12" s="1371"/>
      <c r="N12" s="1371"/>
    </row>
    <row r="13" spans="4:14" ht="15.75">
      <c r="D13" s="1371"/>
      <c r="E13" s="1371"/>
      <c r="F13" s="1383">
        <v>44949</v>
      </c>
      <c r="G13" s="1406">
        <v>35.020000000000003</v>
      </c>
      <c r="H13" s="1406">
        <f t="shared" si="0"/>
        <v>1.0600000000000023</v>
      </c>
      <c r="I13" s="1406">
        <v>33.630000000000003</v>
      </c>
      <c r="J13" s="1406">
        <f t="shared" si="1"/>
        <v>1.0500000000000043</v>
      </c>
      <c r="K13" s="1406">
        <v>35.54</v>
      </c>
      <c r="L13" s="1384">
        <f t="shared" si="2"/>
        <v>-0.42000000000000171</v>
      </c>
      <c r="M13" s="1371"/>
      <c r="N13" s="1371"/>
    </row>
    <row r="14" spans="4:14" ht="15.75">
      <c r="D14" s="1371"/>
      <c r="E14" s="1371"/>
      <c r="F14" s="1377">
        <v>44956</v>
      </c>
      <c r="G14" s="1403">
        <v>35.659999999999997</v>
      </c>
      <c r="H14" s="1403">
        <f t="shared" si="0"/>
        <v>0.63999999999999346</v>
      </c>
      <c r="I14" s="1403">
        <v>34.26</v>
      </c>
      <c r="J14" s="1403">
        <f t="shared" si="1"/>
        <v>0.62999999999999545</v>
      </c>
      <c r="K14" s="1403">
        <v>36.18</v>
      </c>
      <c r="L14" s="1376">
        <f t="shared" si="2"/>
        <v>0.64000000000000057</v>
      </c>
      <c r="M14" s="1371"/>
      <c r="N14" s="1371"/>
    </row>
    <row r="15" spans="4:14" ht="15.75">
      <c r="D15" s="1371"/>
      <c r="E15" s="1371"/>
      <c r="F15" s="1383">
        <v>44963</v>
      </c>
      <c r="G15" s="1406">
        <v>34.94</v>
      </c>
      <c r="H15" s="1406">
        <f t="shared" si="0"/>
        <v>-0.71999999999999886</v>
      </c>
      <c r="I15" s="1406">
        <v>33.49</v>
      </c>
      <c r="J15" s="1406">
        <f t="shared" si="1"/>
        <v>-0.76999999999999602</v>
      </c>
      <c r="K15" s="1406">
        <v>35.29</v>
      </c>
      <c r="L15" s="1384">
        <f t="shared" si="2"/>
        <v>-0.89000000000000057</v>
      </c>
      <c r="M15" s="1371"/>
      <c r="N15" s="1371"/>
    </row>
    <row r="16" spans="4:14" ht="15.75">
      <c r="D16" s="1371"/>
      <c r="E16" s="1371"/>
      <c r="F16" s="1377">
        <v>44970</v>
      </c>
      <c r="G16" s="1403">
        <v>34.229999999999997</v>
      </c>
      <c r="H16" s="1403">
        <f t="shared" si="0"/>
        <v>-0.71000000000000085</v>
      </c>
      <c r="I16" s="1403">
        <v>32.74</v>
      </c>
      <c r="J16" s="1403">
        <f t="shared" si="1"/>
        <v>-0.75</v>
      </c>
      <c r="K16" s="1403">
        <v>33.54</v>
      </c>
      <c r="L16" s="1376">
        <f t="shared" si="2"/>
        <v>-1.75</v>
      </c>
      <c r="M16" s="1371"/>
      <c r="N16" s="1371"/>
    </row>
    <row r="17" spans="4:14" ht="15.75">
      <c r="D17" s="1371"/>
      <c r="E17" s="1371"/>
      <c r="F17" s="1383">
        <v>44977</v>
      </c>
      <c r="G17" s="1406">
        <v>33.74</v>
      </c>
      <c r="H17" s="1406">
        <f t="shared" si="0"/>
        <v>-0.48999999999999488</v>
      </c>
      <c r="I17" s="1406">
        <v>32.24</v>
      </c>
      <c r="J17" s="1406">
        <f>(I17-I16)</f>
        <v>-0.5</v>
      </c>
      <c r="K17" s="1406">
        <v>32.14</v>
      </c>
      <c r="L17" s="1384">
        <f t="shared" si="2"/>
        <v>-1.3999999999999986</v>
      </c>
      <c r="M17" s="1371"/>
      <c r="N17" s="1371"/>
    </row>
    <row r="18" spans="4:14" ht="15.75">
      <c r="D18" s="1371"/>
      <c r="E18" s="1371"/>
      <c r="F18" s="1383">
        <v>44984</v>
      </c>
      <c r="G18" s="1406">
        <v>33.33</v>
      </c>
      <c r="H18" s="1406">
        <f>(G18-G17)</f>
        <v>-0.41000000000000369</v>
      </c>
      <c r="I18" s="1406">
        <v>31.84</v>
      </c>
      <c r="J18" s="1406">
        <f>(I18-I17)</f>
        <v>-0.40000000000000213</v>
      </c>
      <c r="K18" s="1406">
        <v>31.11</v>
      </c>
      <c r="L18" s="1384">
        <f t="shared" si="2"/>
        <v>-1.0300000000000011</v>
      </c>
      <c r="M18" s="1371"/>
      <c r="N18" s="1371"/>
    </row>
    <row r="19" spans="4:14" ht="15.75">
      <c r="D19" s="1371"/>
      <c r="E19" s="1371"/>
      <c r="F19" s="1377">
        <v>44991</v>
      </c>
      <c r="G19" s="1403">
        <v>33.299999999999997</v>
      </c>
      <c r="H19" s="1403">
        <f>(G19-G18)</f>
        <v>-3.0000000000001137E-2</v>
      </c>
      <c r="I19" s="1403">
        <v>31.8</v>
      </c>
      <c r="J19" s="1403">
        <f>(I19-I18)</f>
        <v>-3.9999999999999147E-2</v>
      </c>
      <c r="K19" s="1403">
        <v>31</v>
      </c>
      <c r="L19" s="1376">
        <f t="shared" si="2"/>
        <v>-0.10999999999999943</v>
      </c>
      <c r="M19" s="1371"/>
      <c r="N19" s="1371"/>
    </row>
    <row r="20" spans="4:14" ht="29.25" customHeight="1" thickBot="1">
      <c r="D20" s="1371"/>
      <c r="E20" s="1371"/>
      <c r="F20" s="1382" t="s">
        <v>712</v>
      </c>
      <c r="G20" s="1373">
        <f>AVERAGE(G10:G17)</f>
        <v>34.176249999999996</v>
      </c>
      <c r="H20" s="1373"/>
      <c r="I20" s="1373">
        <f>AVERAGE(I10:I17)</f>
        <v>32.744999999999997</v>
      </c>
      <c r="J20" s="1373"/>
      <c r="K20" s="1373">
        <f>AVERAGE(K10:K17)</f>
        <v>34.9925</v>
      </c>
      <c r="L20" s="1372"/>
      <c r="M20" s="1371"/>
      <c r="N20" s="1371"/>
    </row>
    <row r="21" spans="4:14">
      <c r="D21" s="1371"/>
      <c r="E21" s="1371"/>
      <c r="F21" s="1371"/>
      <c r="G21" s="1371"/>
      <c r="H21" s="1371"/>
      <c r="I21" s="1371"/>
      <c r="J21" s="1371"/>
      <c r="K21" s="1371"/>
      <c r="L21" s="1371"/>
      <c r="M21" s="1371"/>
      <c r="N21" s="1371"/>
    </row>
    <row r="22" spans="4:14">
      <c r="D22" s="1371"/>
      <c r="E22" s="1371"/>
      <c r="F22" s="1371"/>
      <c r="G22" s="1371"/>
      <c r="H22" s="1371"/>
      <c r="I22" s="1371"/>
      <c r="J22" s="1371"/>
      <c r="K22" s="1371"/>
      <c r="L22" s="1371"/>
      <c r="M22" s="1371"/>
      <c r="N22" s="1371"/>
    </row>
    <row r="23" spans="4:14">
      <c r="D23" s="1371"/>
      <c r="E23" s="1371"/>
      <c r="F23" s="1371"/>
      <c r="G23" s="1371"/>
      <c r="H23" s="1371"/>
      <c r="I23" s="1371"/>
      <c r="J23" s="1371"/>
      <c r="K23" s="1371"/>
      <c r="L23" s="1371"/>
      <c r="M23" s="1371"/>
      <c r="N23" s="1371"/>
    </row>
    <row r="24" spans="4:14">
      <c r="D24" s="1371"/>
      <c r="E24" s="1371"/>
      <c r="F24" s="1371"/>
      <c r="G24" s="1371"/>
      <c r="H24" s="1371"/>
      <c r="I24" s="1371"/>
      <c r="J24" s="1371"/>
      <c r="K24" s="1371"/>
      <c r="L24" s="1371"/>
      <c r="M24" s="1371"/>
      <c r="N24" s="1371"/>
    </row>
    <row r="25" spans="4:14">
      <c r="E25" s="1371"/>
      <c r="F25" s="1371"/>
      <c r="G25" s="1371"/>
      <c r="H25" s="1371"/>
      <c r="I25" s="1371"/>
      <c r="J25" s="1371"/>
      <c r="K25" s="1371"/>
      <c r="L25" s="1371"/>
      <c r="M25" s="1371"/>
      <c r="N25" s="1371"/>
    </row>
    <row r="26" spans="4:14">
      <c r="E26" s="1371"/>
      <c r="F26" s="1371"/>
      <c r="G26" s="1371"/>
      <c r="H26" s="1371"/>
      <c r="I26" s="1371"/>
      <c r="J26" s="1371"/>
      <c r="K26" s="1371"/>
      <c r="L26" s="1371"/>
      <c r="M26" s="1371"/>
      <c r="N26" s="1371"/>
    </row>
    <row r="27" spans="4:14">
      <c r="E27" s="1371"/>
      <c r="F27" s="1371"/>
      <c r="G27" s="1371"/>
      <c r="H27" s="1371"/>
      <c r="I27" s="1371"/>
      <c r="J27" s="1371"/>
      <c r="K27" s="1371"/>
      <c r="L27" s="1371"/>
      <c r="M27" s="1371"/>
      <c r="N27" s="1371"/>
    </row>
    <row r="28" spans="4:14">
      <c r="E28" s="1371"/>
      <c r="F28" s="1371"/>
      <c r="G28" s="1371"/>
      <c r="H28" s="1371"/>
      <c r="I28" s="1371"/>
      <c r="J28" s="1371"/>
      <c r="K28" s="1371"/>
      <c r="L28" s="1371"/>
      <c r="M28" s="1371"/>
      <c r="N28" s="1371"/>
    </row>
    <row r="29" spans="4:14">
      <c r="E29" s="1371"/>
      <c r="F29" s="1371"/>
      <c r="G29" s="1371"/>
      <c r="H29" s="1371"/>
      <c r="I29" s="1371"/>
      <c r="J29" s="1371"/>
      <c r="K29" s="1371"/>
      <c r="L29" s="1371"/>
      <c r="M29" s="1371"/>
      <c r="N29" s="1371"/>
    </row>
  </sheetData>
  <mergeCells count="6">
    <mergeCell ref="G7:L7"/>
    <mergeCell ref="F6:L6"/>
    <mergeCell ref="F1:L1"/>
    <mergeCell ref="F2:L2"/>
    <mergeCell ref="F4:L4"/>
    <mergeCell ref="F5:L5"/>
  </mergeCells>
  <pageMargins left="1.4960629921259843" right="0.70866141732283472" top="1.7322834645669292" bottom="0.74803149606299213" header="0.31496062992125984" footer="0.31496062992125984"/>
  <pageSetup scale="95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3">
    <tabColor indexed="10"/>
  </sheetPr>
  <dimension ref="A1:XFD2779"/>
  <sheetViews>
    <sheetView view="pageBreakPreview" topLeftCell="A793" zoomScale="115" zoomScaleNormal="115" zoomScaleSheetLayoutView="115" workbookViewId="0">
      <pane xSplit="1" ySplit="2" topLeftCell="B2749" activePane="bottomRight" state="frozenSplit"/>
      <selection activeCell="AB80" sqref="AB80"/>
      <selection pane="topRight" activeCell="AB80" sqref="AB80"/>
      <selection pane="bottomLeft" activeCell="AB80" sqref="AB80"/>
      <selection pane="bottomRight" activeCell="O2780" sqref="O2780"/>
    </sheetView>
  </sheetViews>
  <sheetFormatPr baseColWidth="10" defaultColWidth="11.42578125" defaultRowHeight="12.75"/>
  <cols>
    <col min="1" max="1" width="16.7109375" customWidth="1"/>
    <col min="2" max="6" width="11.85546875" customWidth="1"/>
    <col min="7" max="7" width="13.7109375" customWidth="1"/>
    <col min="8" max="8" width="9.85546875" style="75" customWidth="1"/>
    <col min="9" max="9" width="11.140625" bestFit="1" customWidth="1"/>
    <col min="10" max="10" width="11" customWidth="1"/>
    <col min="11" max="11" width="10.7109375" style="564" customWidth="1"/>
    <col min="12" max="12" width="9.85546875" hidden="1" customWidth="1"/>
    <col min="13" max="13" width="11.42578125" hidden="1" customWidth="1"/>
    <col min="14" max="33" width="11.42578125" style="564"/>
  </cols>
  <sheetData>
    <row r="1" spans="1:9">
      <c r="A1" s="140" t="s">
        <v>127</v>
      </c>
      <c r="B1" s="140"/>
      <c r="C1" s="141"/>
      <c r="D1" s="141"/>
      <c r="E1" s="141"/>
    </row>
    <row r="2" spans="1:9">
      <c r="A2" s="140" t="s">
        <v>128</v>
      </c>
      <c r="B2" s="140"/>
      <c r="C2" s="141"/>
      <c r="D2" s="141"/>
      <c r="E2" s="141"/>
    </row>
    <row r="3" spans="1:9">
      <c r="A3" s="142" t="s">
        <v>1</v>
      </c>
      <c r="B3" s="142"/>
      <c r="C3" s="142" t="s">
        <v>129</v>
      </c>
      <c r="D3" s="142" t="s">
        <v>5</v>
      </c>
      <c r="E3" s="142" t="s">
        <v>6</v>
      </c>
    </row>
    <row r="4" spans="1:9">
      <c r="A4" s="143">
        <v>35066</v>
      </c>
      <c r="B4" s="143"/>
      <c r="C4" s="144">
        <v>9.06</v>
      </c>
      <c r="D4" s="144">
        <v>8.67</v>
      </c>
      <c r="E4" s="144">
        <v>7.18</v>
      </c>
    </row>
    <row r="5" spans="1:9">
      <c r="A5" s="143">
        <v>35072</v>
      </c>
      <c r="B5" s="143"/>
      <c r="C5" s="144">
        <v>9.2200000000000006</v>
      </c>
      <c r="D5" s="144">
        <v>8.7899999999999991</v>
      </c>
      <c r="E5" s="144">
        <v>7.34</v>
      </c>
    </row>
    <row r="6" spans="1:9">
      <c r="A6" s="143">
        <v>35079</v>
      </c>
      <c r="B6" s="143"/>
      <c r="C6" s="144">
        <v>9.26</v>
      </c>
      <c r="D6" s="144">
        <v>8.83</v>
      </c>
      <c r="E6" s="144">
        <v>7.38</v>
      </c>
    </row>
    <row r="7" spans="1:9">
      <c r="A7" s="143">
        <v>35086</v>
      </c>
      <c r="B7" s="143"/>
      <c r="C7" s="144">
        <v>9.33</v>
      </c>
      <c r="D7" s="144">
        <v>8.91</v>
      </c>
      <c r="E7" s="144">
        <v>7.48</v>
      </c>
    </row>
    <row r="8" spans="1:9">
      <c r="A8" s="143">
        <v>35093</v>
      </c>
      <c r="B8" s="143"/>
      <c r="C8" s="144">
        <v>9.51</v>
      </c>
      <c r="D8" s="144">
        <v>9.1</v>
      </c>
      <c r="E8" s="144">
        <v>7.58</v>
      </c>
    </row>
    <row r="9" spans="1:9">
      <c r="A9" s="145" t="s">
        <v>130</v>
      </c>
      <c r="B9" s="145"/>
      <c r="C9" s="144">
        <f>SUM(C4:C8)/5</f>
        <v>9.2759999999999998</v>
      </c>
      <c r="D9" s="144">
        <f>SUM(D4:D8)/5</f>
        <v>8.8600000000000012</v>
      </c>
      <c r="E9" s="144">
        <f>SUM(E4:E8)/5</f>
        <v>7.3920000000000003</v>
      </c>
      <c r="G9" s="21">
        <v>9.2799999999999994</v>
      </c>
      <c r="H9" s="21">
        <v>8.86</v>
      </c>
      <c r="I9" s="21">
        <v>7.39</v>
      </c>
    </row>
    <row r="10" spans="1:9">
      <c r="A10" s="143">
        <v>35100</v>
      </c>
      <c r="B10" s="143"/>
      <c r="C10" s="144">
        <v>9.5299999999999994</v>
      </c>
      <c r="D10" s="144">
        <v>9.1199999999999992</v>
      </c>
      <c r="E10" s="144">
        <v>7.6</v>
      </c>
    </row>
    <row r="11" spans="1:9">
      <c r="A11" s="143">
        <v>35107</v>
      </c>
      <c r="B11" s="143"/>
      <c r="C11" s="144">
        <v>9.5</v>
      </c>
      <c r="D11" s="144">
        <v>9.11</v>
      </c>
      <c r="E11" s="144">
        <v>7.6</v>
      </c>
    </row>
    <row r="12" spans="1:9">
      <c r="A12" s="143">
        <v>36210</v>
      </c>
      <c r="B12" s="143"/>
      <c r="C12" s="144">
        <v>9.4600000000000009</v>
      </c>
      <c r="D12" s="144">
        <v>9.08</v>
      </c>
      <c r="E12" s="144">
        <v>7.56</v>
      </c>
    </row>
    <row r="13" spans="1:9">
      <c r="A13" s="143">
        <v>35121</v>
      </c>
      <c r="B13" s="143"/>
      <c r="C13" s="144">
        <v>9.4</v>
      </c>
      <c r="D13" s="144">
        <v>9.02</v>
      </c>
      <c r="E13" s="144">
        <v>7.56</v>
      </c>
    </row>
    <row r="14" spans="1:9">
      <c r="A14" s="143" t="s">
        <v>130</v>
      </c>
      <c r="B14" s="143"/>
      <c r="C14" s="144">
        <f>SUM(C10:C13)/4</f>
        <v>9.4725000000000001</v>
      </c>
      <c r="D14" s="144">
        <f>SUM(D10:D13)/4</f>
        <v>9.0824999999999996</v>
      </c>
      <c r="E14" s="144">
        <f>SUM(E10:E13)/4</f>
        <v>7.5799999999999992</v>
      </c>
    </row>
    <row r="15" spans="1:9">
      <c r="A15" s="143">
        <v>35128</v>
      </c>
      <c r="B15" s="143"/>
      <c r="C15" s="144">
        <v>9.39</v>
      </c>
      <c r="D15" s="144">
        <v>9.0299999999999994</v>
      </c>
      <c r="E15" s="144">
        <v>7.55</v>
      </c>
    </row>
    <row r="16" spans="1:9">
      <c r="A16" s="143">
        <v>35135</v>
      </c>
      <c r="B16" s="143"/>
      <c r="C16" s="144">
        <v>9.4700000000000006</v>
      </c>
      <c r="D16" s="144">
        <v>9.15</v>
      </c>
      <c r="E16" s="144">
        <v>7.67</v>
      </c>
    </row>
    <row r="17" spans="1:5">
      <c r="A17" s="143">
        <v>35142</v>
      </c>
      <c r="B17" s="143"/>
      <c r="C17" s="144">
        <v>9.61</v>
      </c>
      <c r="D17" s="144">
        <v>9.2799999999999994</v>
      </c>
      <c r="E17" s="144">
        <v>7.79</v>
      </c>
    </row>
    <row r="18" spans="1:5">
      <c r="A18" s="143">
        <v>35149</v>
      </c>
      <c r="B18" s="143"/>
      <c r="C18" s="144">
        <v>9.67</v>
      </c>
      <c r="D18" s="144">
        <v>9.36</v>
      </c>
      <c r="E18" s="144">
        <v>7.83</v>
      </c>
    </row>
    <row r="19" spans="1:5">
      <c r="A19" s="143" t="s">
        <v>130</v>
      </c>
      <c r="B19" s="143"/>
      <c r="C19" s="144">
        <f>SUM(C15:C18)/4</f>
        <v>9.5350000000000001</v>
      </c>
      <c r="D19" s="144">
        <f>SUM(D15:D18)/4</f>
        <v>9.2050000000000001</v>
      </c>
      <c r="E19" s="144">
        <f>SUM(E15:E18)/4</f>
        <v>7.7099999999999991</v>
      </c>
    </row>
    <row r="20" spans="1:5">
      <c r="A20" s="143">
        <v>35156</v>
      </c>
      <c r="B20" s="143"/>
      <c r="C20" s="144">
        <v>9.73</v>
      </c>
      <c r="D20" s="144">
        <v>9.42</v>
      </c>
      <c r="E20" s="144">
        <v>7.87</v>
      </c>
    </row>
    <row r="21" spans="1:5">
      <c r="A21" s="143">
        <v>35163</v>
      </c>
      <c r="B21" s="143"/>
      <c r="C21" s="144">
        <v>9.81</v>
      </c>
      <c r="D21" s="144">
        <v>9.51</v>
      </c>
      <c r="E21" s="144">
        <v>7.91</v>
      </c>
    </row>
    <row r="22" spans="1:5">
      <c r="A22" s="143">
        <v>35170</v>
      </c>
      <c r="B22" s="143"/>
      <c r="C22" s="144">
        <v>9.9700000000000006</v>
      </c>
      <c r="D22" s="144">
        <v>9.69</v>
      </c>
      <c r="E22" s="144">
        <v>8.0399999999999991</v>
      </c>
    </row>
    <row r="23" spans="1:5">
      <c r="A23" s="143">
        <v>35177</v>
      </c>
      <c r="B23" s="143"/>
      <c r="C23" s="144">
        <v>10.039999999999999</v>
      </c>
      <c r="D23" s="144">
        <v>9.76</v>
      </c>
      <c r="E23" s="144">
        <v>8.11</v>
      </c>
    </row>
    <row r="24" spans="1:5">
      <c r="A24" s="143">
        <v>35184</v>
      </c>
      <c r="B24" s="143"/>
      <c r="C24" s="144">
        <v>10.37</v>
      </c>
      <c r="D24" s="144">
        <v>10.08</v>
      </c>
      <c r="E24" s="144">
        <v>8.33</v>
      </c>
    </row>
    <row r="25" spans="1:5">
      <c r="A25" s="143" t="s">
        <v>130</v>
      </c>
      <c r="B25" s="143"/>
      <c r="C25" s="144">
        <f>SUM(C20:C24)/5</f>
        <v>9.9839999999999982</v>
      </c>
      <c r="D25" s="144">
        <f>SUM(D20:D24)/5</f>
        <v>9.6919999999999984</v>
      </c>
      <c r="E25" s="144">
        <f>SUM(E20:E24)/5</f>
        <v>8.0519999999999996</v>
      </c>
    </row>
    <row r="26" spans="1:5">
      <c r="A26" s="143">
        <v>35191</v>
      </c>
      <c r="B26" s="143"/>
      <c r="C26" s="144">
        <v>10.36</v>
      </c>
      <c r="D26" s="144">
        <v>10.01</v>
      </c>
      <c r="E26" s="144">
        <v>8.17</v>
      </c>
    </row>
    <row r="27" spans="1:5">
      <c r="A27" s="143">
        <v>35198</v>
      </c>
      <c r="B27" s="143"/>
      <c r="C27" s="144">
        <v>10.36</v>
      </c>
      <c r="D27" s="144">
        <v>9.98</v>
      </c>
      <c r="E27" s="144">
        <v>8.1300000000000008</v>
      </c>
    </row>
    <row r="28" spans="1:5">
      <c r="A28" s="143">
        <v>35205</v>
      </c>
      <c r="B28" s="143"/>
      <c r="C28" s="144">
        <v>10.36</v>
      </c>
      <c r="D28" s="144">
        <v>9.98</v>
      </c>
      <c r="E28" s="144">
        <v>8.14</v>
      </c>
    </row>
    <row r="29" spans="1:5">
      <c r="A29" s="143">
        <v>35212</v>
      </c>
      <c r="B29" s="143"/>
      <c r="C29" s="144">
        <v>10.36</v>
      </c>
      <c r="D29" s="144">
        <v>9.9700000000000006</v>
      </c>
      <c r="E29" s="144">
        <v>8.1199999999999992</v>
      </c>
    </row>
    <row r="30" spans="1:5">
      <c r="A30" s="143" t="s">
        <v>130</v>
      </c>
      <c r="B30" s="143"/>
      <c r="C30" s="144">
        <f>SUM(C26:C29)/4</f>
        <v>10.36</v>
      </c>
      <c r="D30" s="144">
        <f>SUM(D26:D29)/4</f>
        <v>9.9850000000000012</v>
      </c>
      <c r="E30" s="144">
        <f>SUM(E26:E29)/4</f>
        <v>8.14</v>
      </c>
    </row>
    <row r="31" spans="1:5">
      <c r="A31" s="143">
        <v>35219</v>
      </c>
      <c r="B31" s="143"/>
      <c r="C31" s="144">
        <v>10.35</v>
      </c>
      <c r="D31" s="144">
        <v>9.9600000000000009</v>
      </c>
      <c r="E31" s="144">
        <v>8.08</v>
      </c>
    </row>
    <row r="32" spans="1:5">
      <c r="A32" s="143">
        <v>35226</v>
      </c>
      <c r="B32" s="143"/>
      <c r="C32" s="144">
        <v>10.31</v>
      </c>
      <c r="D32" s="144">
        <v>9.92</v>
      </c>
      <c r="E32" s="144">
        <v>8.02</v>
      </c>
    </row>
    <row r="33" spans="1:5">
      <c r="A33" s="143">
        <v>35233</v>
      </c>
      <c r="B33" s="143"/>
      <c r="C33" s="144">
        <v>10.3</v>
      </c>
      <c r="D33" s="144">
        <v>9.91</v>
      </c>
      <c r="E33" s="144">
        <v>8</v>
      </c>
    </row>
    <row r="34" spans="1:5">
      <c r="A34" s="143">
        <v>35240</v>
      </c>
      <c r="B34" s="143"/>
      <c r="C34" s="144">
        <v>10.26</v>
      </c>
      <c r="D34" s="144">
        <v>9.8699999999999992</v>
      </c>
      <c r="E34" s="144">
        <v>7.96</v>
      </c>
    </row>
    <row r="35" spans="1:5">
      <c r="A35" s="143" t="s">
        <v>130</v>
      </c>
      <c r="B35" s="143"/>
      <c r="C35" s="144">
        <f>SUM(C31:C34)/4</f>
        <v>10.305</v>
      </c>
      <c r="D35" s="144">
        <f>SUM(D31:D34)/4</f>
        <v>9.9150000000000009</v>
      </c>
      <c r="E35" s="144">
        <f>SUM(E31:E34)/4</f>
        <v>8.0150000000000006</v>
      </c>
    </row>
    <row r="36" spans="1:5">
      <c r="A36" s="143">
        <v>35247</v>
      </c>
      <c r="B36" s="143"/>
      <c r="C36" s="144">
        <v>10.25</v>
      </c>
      <c r="D36" s="144">
        <v>9.86</v>
      </c>
      <c r="E36" s="144">
        <v>7.94</v>
      </c>
    </row>
    <row r="37" spans="1:5">
      <c r="A37" s="143">
        <v>35254</v>
      </c>
      <c r="B37" s="143"/>
      <c r="C37" s="144">
        <v>10.220000000000001</v>
      </c>
      <c r="D37" s="144">
        <v>9.83</v>
      </c>
      <c r="E37" s="144">
        <v>7.92</v>
      </c>
    </row>
    <row r="38" spans="1:5">
      <c r="A38" s="143">
        <v>35261</v>
      </c>
      <c r="B38" s="143"/>
      <c r="C38" s="144">
        <v>10.199999999999999</v>
      </c>
      <c r="D38" s="144">
        <v>9.81</v>
      </c>
      <c r="E38" s="144">
        <v>7.89</v>
      </c>
    </row>
    <row r="39" spans="1:5">
      <c r="A39" s="143">
        <v>35268</v>
      </c>
      <c r="B39" s="143"/>
      <c r="C39" s="144">
        <v>10.19</v>
      </c>
      <c r="D39" s="144">
        <v>9.8000000000000007</v>
      </c>
      <c r="E39" s="144">
        <v>7.88</v>
      </c>
    </row>
    <row r="40" spans="1:5">
      <c r="A40" s="143">
        <v>35275</v>
      </c>
      <c r="B40" s="143"/>
      <c r="C40" s="144">
        <v>10.19</v>
      </c>
      <c r="D40" s="144">
        <v>9.8000000000000007</v>
      </c>
      <c r="E40" s="144">
        <v>7.88</v>
      </c>
    </row>
    <row r="41" spans="1:5">
      <c r="A41" s="143" t="s">
        <v>130</v>
      </c>
      <c r="B41" s="143"/>
      <c r="C41" s="144">
        <f>SUM(C36:C40)/5</f>
        <v>10.209999999999999</v>
      </c>
      <c r="D41" s="144">
        <f>SUM(D36:D40)/5</f>
        <v>9.8199999999999985</v>
      </c>
      <c r="E41" s="144">
        <f>SUM(E36:E40)/5</f>
        <v>7.9019999999999992</v>
      </c>
    </row>
    <row r="42" spans="1:5">
      <c r="A42" s="143">
        <v>35282</v>
      </c>
      <c r="B42" s="143"/>
      <c r="C42" s="144">
        <v>10.19</v>
      </c>
      <c r="D42" s="144">
        <v>9.8000000000000007</v>
      </c>
      <c r="E42" s="144">
        <v>7.88</v>
      </c>
    </row>
    <row r="43" spans="1:5">
      <c r="A43" s="143">
        <v>35289</v>
      </c>
      <c r="B43" s="143"/>
      <c r="C43" s="144">
        <v>10.199999999999999</v>
      </c>
      <c r="D43" s="144">
        <v>9.8000000000000007</v>
      </c>
      <c r="E43" s="144">
        <v>7.89</v>
      </c>
    </row>
    <row r="44" spans="1:5">
      <c r="A44" s="143">
        <v>35296</v>
      </c>
      <c r="B44" s="143"/>
      <c r="C44" s="144">
        <v>10.210000000000001</v>
      </c>
      <c r="D44" s="144">
        <v>9.81</v>
      </c>
      <c r="E44" s="144">
        <v>7.9</v>
      </c>
    </row>
    <row r="45" spans="1:5">
      <c r="A45" s="143">
        <v>35303</v>
      </c>
      <c r="B45" s="143"/>
      <c r="C45" s="144">
        <v>10.210000000000001</v>
      </c>
      <c r="D45" s="144">
        <v>9.7899999999999991</v>
      </c>
      <c r="E45" s="144">
        <v>7.88</v>
      </c>
    </row>
    <row r="46" spans="1:5">
      <c r="A46" s="143" t="s">
        <v>130</v>
      </c>
      <c r="B46" s="143"/>
      <c r="C46" s="144">
        <f>SUM(C42:C45)/4</f>
        <v>10.202500000000001</v>
      </c>
      <c r="D46" s="144">
        <f>SUM(D42:D45)/4</f>
        <v>9.8000000000000007</v>
      </c>
      <c r="E46" s="144">
        <f>SUM(E42:E45)/4</f>
        <v>7.8875000000000002</v>
      </c>
    </row>
    <row r="47" spans="1:5">
      <c r="A47" s="143">
        <v>35310</v>
      </c>
      <c r="B47" s="143"/>
      <c r="C47" s="144">
        <v>10.210000000000001</v>
      </c>
      <c r="D47" s="144">
        <v>9.8000000000000007</v>
      </c>
      <c r="E47" s="144">
        <v>7.89</v>
      </c>
    </row>
    <row r="48" spans="1:5">
      <c r="A48" s="143">
        <v>35317</v>
      </c>
      <c r="B48" s="143"/>
      <c r="C48" s="144">
        <v>10.220000000000001</v>
      </c>
      <c r="D48" s="144">
        <v>9.8000000000000007</v>
      </c>
      <c r="E48" s="144">
        <v>7.95</v>
      </c>
    </row>
    <row r="49" spans="1:5">
      <c r="A49" s="143">
        <v>35324</v>
      </c>
      <c r="B49" s="143"/>
      <c r="C49" s="144">
        <v>10.220000000000001</v>
      </c>
      <c r="D49" s="144">
        <v>9.82</v>
      </c>
      <c r="E49" s="144">
        <v>7.97</v>
      </c>
    </row>
    <row r="50" spans="1:5">
      <c r="A50" s="143">
        <v>35331</v>
      </c>
      <c r="B50" s="143"/>
      <c r="C50" s="144">
        <v>10.29</v>
      </c>
      <c r="D50" s="144">
        <v>9.89</v>
      </c>
      <c r="E50" s="144">
        <v>8.0399999999999991</v>
      </c>
    </row>
    <row r="51" spans="1:5">
      <c r="A51" s="143">
        <v>35338</v>
      </c>
      <c r="B51" s="143"/>
      <c r="C51" s="144">
        <v>10.31</v>
      </c>
      <c r="D51" s="144">
        <v>9.9</v>
      </c>
      <c r="E51" s="144">
        <v>8.1</v>
      </c>
    </row>
    <row r="52" spans="1:5">
      <c r="A52" s="143" t="s">
        <v>130</v>
      </c>
      <c r="B52" s="143"/>
      <c r="C52" s="144">
        <f>SUM(C47:C51)/5</f>
        <v>10.25</v>
      </c>
      <c r="D52" s="144">
        <f>SUM(D47:D51)/5</f>
        <v>9.8420000000000005</v>
      </c>
      <c r="E52" s="144">
        <f>SUM(E47:E51)/5</f>
        <v>7.9899999999999993</v>
      </c>
    </row>
    <row r="53" spans="1:5">
      <c r="A53" s="143">
        <v>35345</v>
      </c>
      <c r="B53" s="143"/>
      <c r="C53" s="144">
        <v>10.31</v>
      </c>
      <c r="D53" s="144">
        <v>9.9</v>
      </c>
      <c r="E53" s="144">
        <v>8.1</v>
      </c>
    </row>
    <row r="54" spans="1:5">
      <c r="A54" s="143">
        <v>35352</v>
      </c>
      <c r="B54" s="143"/>
      <c r="C54" s="144">
        <v>10.31</v>
      </c>
      <c r="D54" s="144">
        <v>9.9</v>
      </c>
      <c r="E54" s="144">
        <v>8.19</v>
      </c>
    </row>
    <row r="55" spans="1:5">
      <c r="A55" s="143">
        <v>35359</v>
      </c>
      <c r="B55" s="143"/>
      <c r="C55" s="144">
        <v>10.24</v>
      </c>
      <c r="D55" s="144">
        <v>9.82</v>
      </c>
      <c r="E55" s="144">
        <v>8.2799999999999994</v>
      </c>
    </row>
    <row r="56" spans="1:5">
      <c r="A56" s="143">
        <v>35366</v>
      </c>
      <c r="B56" s="143"/>
      <c r="C56" s="144">
        <v>10.24</v>
      </c>
      <c r="D56" s="144">
        <v>9.84</v>
      </c>
      <c r="E56" s="144">
        <v>8.3800000000000008</v>
      </c>
    </row>
    <row r="57" spans="1:5">
      <c r="A57" s="143" t="s">
        <v>130</v>
      </c>
      <c r="B57" s="143"/>
      <c r="C57" s="144">
        <f>SUM(C53:C56)/4</f>
        <v>10.275</v>
      </c>
      <c r="D57" s="144">
        <f>SUM(D53:D56)/4</f>
        <v>9.8650000000000002</v>
      </c>
      <c r="E57" s="144">
        <f>SUM(E53:E56)/4</f>
        <v>8.2375000000000007</v>
      </c>
    </row>
    <row r="58" spans="1:5">
      <c r="A58" s="143">
        <v>35373</v>
      </c>
      <c r="B58" s="143"/>
      <c r="C58" s="144">
        <v>10.31</v>
      </c>
      <c r="D58" s="144">
        <v>9.89</v>
      </c>
      <c r="E58" s="144">
        <v>8.5399999999999991</v>
      </c>
    </row>
    <row r="59" spans="1:5">
      <c r="A59" s="143">
        <v>35380</v>
      </c>
      <c r="B59" s="143"/>
      <c r="C59" s="144">
        <v>10.4</v>
      </c>
      <c r="D59" s="144">
        <v>9.9600000000000009</v>
      </c>
      <c r="E59" s="144">
        <v>8.7200000000000006</v>
      </c>
    </row>
    <row r="60" spans="1:5">
      <c r="A60" s="143">
        <v>35387</v>
      </c>
      <c r="B60" s="143"/>
      <c r="C60" s="144">
        <v>10.4</v>
      </c>
      <c r="D60" s="144">
        <v>9.9499999999999993</v>
      </c>
      <c r="E60" s="144">
        <v>8.76</v>
      </c>
    </row>
    <row r="61" spans="1:5">
      <c r="A61" s="143">
        <v>35394</v>
      </c>
      <c r="B61" s="143"/>
      <c r="C61" s="144">
        <v>10.49</v>
      </c>
      <c r="D61" s="144">
        <v>10.050000000000001</v>
      </c>
      <c r="E61" s="144">
        <v>8.81</v>
      </c>
    </row>
    <row r="62" spans="1:5">
      <c r="A62" s="143" t="s">
        <v>130</v>
      </c>
      <c r="B62" s="143"/>
      <c r="C62" s="144">
        <f>SUM(C58:C61)/4</f>
        <v>10.4</v>
      </c>
      <c r="D62" s="144">
        <f>SUM(D58:D61)/4</f>
        <v>9.9625000000000004</v>
      </c>
      <c r="E62" s="144">
        <f>SUM(E58:E61)/4</f>
        <v>8.7074999999999996</v>
      </c>
    </row>
    <row r="63" spans="1:5">
      <c r="A63" s="143">
        <v>35401</v>
      </c>
      <c r="B63" s="143"/>
      <c r="C63" s="144">
        <v>10.55</v>
      </c>
      <c r="D63" s="144">
        <v>10.119999999999999</v>
      </c>
      <c r="E63" s="144">
        <v>8.85</v>
      </c>
    </row>
    <row r="64" spans="1:5">
      <c r="A64" s="143">
        <v>35408</v>
      </c>
      <c r="B64" s="143"/>
      <c r="C64" s="144">
        <v>10.57</v>
      </c>
      <c r="D64" s="144">
        <v>10.14</v>
      </c>
      <c r="E64" s="144">
        <v>8.8800000000000008</v>
      </c>
    </row>
    <row r="65" spans="1:5">
      <c r="A65" s="143">
        <v>35415</v>
      </c>
      <c r="B65" s="143"/>
      <c r="C65" s="144">
        <v>10.56</v>
      </c>
      <c r="D65" s="144">
        <v>10.15</v>
      </c>
      <c r="E65" s="144">
        <v>8.89</v>
      </c>
    </row>
    <row r="66" spans="1:5">
      <c r="A66" s="143">
        <v>35422</v>
      </c>
      <c r="B66" s="143"/>
      <c r="C66" s="144">
        <v>10.59</v>
      </c>
      <c r="D66" s="144">
        <v>10.15</v>
      </c>
      <c r="E66" s="144">
        <v>8.89</v>
      </c>
    </row>
    <row r="67" spans="1:5">
      <c r="A67" s="143">
        <v>35429</v>
      </c>
      <c r="B67" s="143"/>
      <c r="C67" s="144">
        <v>10.65</v>
      </c>
      <c r="D67" s="144">
        <v>10.220000000000001</v>
      </c>
      <c r="E67" s="144">
        <v>8.9499999999999993</v>
      </c>
    </row>
    <row r="68" spans="1:5">
      <c r="A68" s="143" t="s">
        <v>130</v>
      </c>
      <c r="B68" s="143"/>
      <c r="C68" s="144">
        <f>SUM(C63:C67)/5</f>
        <v>10.584</v>
      </c>
      <c r="D68" s="144">
        <f>SUM(D63:D67)/5</f>
        <v>10.155999999999999</v>
      </c>
      <c r="E68" s="144">
        <f>SUM(E63:E67)/5</f>
        <v>8.8920000000000012</v>
      </c>
    </row>
    <row r="69" spans="1:5">
      <c r="A69" s="146"/>
      <c r="B69" s="146"/>
      <c r="C69" s="141"/>
      <c r="D69" s="141"/>
      <c r="E69" s="141"/>
    </row>
    <row r="70" spans="1:5">
      <c r="A70" s="147" t="s">
        <v>131</v>
      </c>
      <c r="B70" s="147"/>
      <c r="C70" s="148"/>
      <c r="D70" s="148"/>
      <c r="E70" s="148"/>
    </row>
    <row r="71" spans="1:5">
      <c r="A71" s="147" t="s">
        <v>132</v>
      </c>
      <c r="B71" s="147"/>
      <c r="C71" s="148"/>
      <c r="D71" s="148"/>
      <c r="E71" s="148"/>
    </row>
    <row r="72" spans="1:5">
      <c r="A72" s="149" t="s">
        <v>1</v>
      </c>
      <c r="B72" s="149"/>
      <c r="C72" s="150" t="s">
        <v>129</v>
      </c>
      <c r="D72" s="150" t="s">
        <v>5</v>
      </c>
      <c r="E72" s="150" t="s">
        <v>6</v>
      </c>
    </row>
    <row r="73" spans="1:5">
      <c r="A73" s="148"/>
      <c r="B73" s="148"/>
      <c r="C73" s="151" t="s">
        <v>133</v>
      </c>
      <c r="D73" s="151" t="s">
        <v>133</v>
      </c>
      <c r="E73" s="151" t="s">
        <v>133</v>
      </c>
    </row>
    <row r="74" spans="1:5">
      <c r="A74" s="152">
        <v>35436</v>
      </c>
      <c r="B74" s="152"/>
      <c r="C74" s="153">
        <v>10.81</v>
      </c>
      <c r="D74" s="153">
        <v>10.33</v>
      </c>
      <c r="E74" s="153">
        <v>9.0500000000000007</v>
      </c>
    </row>
    <row r="75" spans="1:5">
      <c r="A75" s="152">
        <v>35443</v>
      </c>
      <c r="B75" s="152"/>
      <c r="C75" s="153">
        <v>10.85</v>
      </c>
      <c r="D75" s="153">
        <v>10.37</v>
      </c>
      <c r="E75" s="153">
        <v>9.06</v>
      </c>
    </row>
    <row r="76" spans="1:5">
      <c r="A76" s="152">
        <v>35450</v>
      </c>
      <c r="B76" s="152"/>
      <c r="C76" s="153">
        <v>10.9</v>
      </c>
      <c r="D76" s="153">
        <v>10.44</v>
      </c>
      <c r="E76" s="153">
        <v>9.11</v>
      </c>
    </row>
    <row r="77" spans="1:5">
      <c r="A77" s="152">
        <v>35457</v>
      </c>
      <c r="B77" s="152"/>
      <c r="C77" s="153">
        <v>10.91</v>
      </c>
      <c r="D77" s="153">
        <v>10.45</v>
      </c>
      <c r="E77" s="153">
        <v>9.1199999999999992</v>
      </c>
    </row>
    <row r="78" spans="1:5" ht="13.5" customHeight="1">
      <c r="A78" s="154" t="s">
        <v>134</v>
      </c>
      <c r="B78" s="154"/>
      <c r="C78" s="155">
        <f>SUM(C74:C77)/4</f>
        <v>10.8675</v>
      </c>
      <c r="D78" s="155">
        <f>SUM(D74:D77)/4</f>
        <v>10.397500000000001</v>
      </c>
      <c r="E78" s="155">
        <f>SUM(E74:E77)/4</f>
        <v>9.0849999999999991</v>
      </c>
    </row>
    <row r="79" spans="1:5">
      <c r="A79" s="143">
        <v>35464</v>
      </c>
      <c r="B79" s="143"/>
      <c r="C79" s="144">
        <v>10.93</v>
      </c>
      <c r="D79" s="144">
        <v>10.46</v>
      </c>
      <c r="E79" s="144">
        <v>9.1300000000000008</v>
      </c>
    </row>
    <row r="80" spans="1:5">
      <c r="A80" s="143">
        <v>35471</v>
      </c>
      <c r="B80" s="143"/>
      <c r="C80" s="144">
        <v>10.97</v>
      </c>
      <c r="D80" s="144">
        <v>10.52</v>
      </c>
      <c r="E80" s="144">
        <v>9.18</v>
      </c>
    </row>
    <row r="81" spans="1:5">
      <c r="A81" s="143">
        <v>35478</v>
      </c>
      <c r="B81" s="143"/>
      <c r="C81" s="144">
        <v>10.97</v>
      </c>
      <c r="D81" s="144">
        <v>10.52</v>
      </c>
      <c r="E81" s="144">
        <v>9.17</v>
      </c>
    </row>
    <row r="82" spans="1:5">
      <c r="A82" s="143">
        <v>35486</v>
      </c>
      <c r="B82" s="143"/>
      <c r="C82" s="144">
        <v>10.91</v>
      </c>
      <c r="D82" s="144">
        <v>10.5</v>
      </c>
      <c r="E82" s="144">
        <v>9.1300000000000008</v>
      </c>
    </row>
    <row r="83" spans="1:5" ht="13.5" customHeight="1">
      <c r="A83" s="154" t="s">
        <v>134</v>
      </c>
      <c r="B83" s="154"/>
      <c r="C83" s="156">
        <f>SUM(C79:C82)/4</f>
        <v>10.945</v>
      </c>
      <c r="D83" s="156">
        <f>SUM(D79:D82)/4</f>
        <v>10.5</v>
      </c>
      <c r="E83" s="156">
        <f>SUM(E79:E82)/4</f>
        <v>9.1525000000000016</v>
      </c>
    </row>
    <row r="84" spans="1:5">
      <c r="A84" s="143">
        <v>35492</v>
      </c>
      <c r="B84" s="143"/>
      <c r="C84" s="144">
        <v>10.66</v>
      </c>
      <c r="D84" s="144">
        <v>10.36</v>
      </c>
      <c r="E84" s="144">
        <v>8.8699999999999992</v>
      </c>
    </row>
    <row r="85" spans="1:5">
      <c r="A85" s="143">
        <v>35499</v>
      </c>
      <c r="B85" s="143"/>
      <c r="C85" s="144">
        <v>10.62</v>
      </c>
      <c r="D85" s="144">
        <v>10.3</v>
      </c>
      <c r="E85" s="144">
        <v>8.82</v>
      </c>
    </row>
    <row r="86" spans="1:5">
      <c r="A86" s="143">
        <v>35506</v>
      </c>
      <c r="B86" s="143"/>
      <c r="C86" s="144">
        <v>10.59</v>
      </c>
      <c r="D86" s="144">
        <v>10.27</v>
      </c>
      <c r="E86" s="144">
        <v>8.7899999999999991</v>
      </c>
    </row>
    <row r="87" spans="1:5">
      <c r="A87" s="143">
        <v>35513</v>
      </c>
      <c r="B87" s="143"/>
      <c r="C87" s="144">
        <v>10.58</v>
      </c>
      <c r="D87" s="144">
        <v>10.26</v>
      </c>
      <c r="E87" s="144">
        <v>8.7799999999999994</v>
      </c>
    </row>
    <row r="88" spans="1:5" ht="12.75" customHeight="1">
      <c r="A88" s="143">
        <v>35520</v>
      </c>
      <c r="B88" s="143"/>
      <c r="C88" s="144">
        <v>10.58</v>
      </c>
      <c r="D88" s="144">
        <v>10.25</v>
      </c>
      <c r="E88" s="144">
        <v>8.7799999999999994</v>
      </c>
    </row>
    <row r="89" spans="1:5" ht="12" customHeight="1">
      <c r="A89" s="154" t="s">
        <v>134</v>
      </c>
      <c r="B89" s="154"/>
      <c r="C89" s="156">
        <f>SUM(C84:C88)/5</f>
        <v>10.606</v>
      </c>
      <c r="D89" s="156">
        <f>SUM(D84:D88)/5</f>
        <v>10.288</v>
      </c>
      <c r="E89" s="156">
        <f>SUM(E84:E88)/5</f>
        <v>8.8079999999999998</v>
      </c>
    </row>
    <row r="90" spans="1:5">
      <c r="A90" s="143">
        <v>35527</v>
      </c>
      <c r="B90" s="143"/>
      <c r="C90" s="144">
        <v>10.59</v>
      </c>
      <c r="D90" s="144">
        <v>10.26</v>
      </c>
      <c r="E90" s="144">
        <v>8.74</v>
      </c>
    </row>
    <row r="91" spans="1:5">
      <c r="A91" s="143">
        <v>35534</v>
      </c>
      <c r="B91" s="143"/>
      <c r="C91" s="144">
        <v>10.56</v>
      </c>
      <c r="D91" s="144">
        <v>10.24</v>
      </c>
      <c r="E91" s="144">
        <v>8.69</v>
      </c>
    </row>
    <row r="92" spans="1:5">
      <c r="A92" s="143">
        <v>35541</v>
      </c>
      <c r="B92" s="143"/>
      <c r="C92" s="144">
        <v>10.56</v>
      </c>
      <c r="D92" s="144">
        <v>10.25</v>
      </c>
      <c r="E92" s="144">
        <v>8.64</v>
      </c>
    </row>
    <row r="93" spans="1:5">
      <c r="A93" s="143">
        <v>35548</v>
      </c>
      <c r="B93" s="143"/>
      <c r="C93" s="144">
        <v>10.71</v>
      </c>
      <c r="D93" s="144">
        <v>10.4</v>
      </c>
      <c r="E93" s="144">
        <v>8.56</v>
      </c>
    </row>
    <row r="94" spans="1:5" ht="12.75" customHeight="1">
      <c r="A94" s="154" t="s">
        <v>134</v>
      </c>
      <c r="B94" s="154"/>
      <c r="C94" s="156">
        <f>SUM(C90:C93)/4</f>
        <v>10.605</v>
      </c>
      <c r="D94" s="156">
        <f>SUM(D90:D93)/4</f>
        <v>10.2875</v>
      </c>
      <c r="E94" s="156">
        <f>SUM(E90:E93)/4</f>
        <v>8.6575000000000006</v>
      </c>
    </row>
    <row r="95" spans="1:5">
      <c r="A95" s="143">
        <v>35555</v>
      </c>
      <c r="B95" s="143"/>
      <c r="C95" s="144">
        <v>10.6</v>
      </c>
      <c r="D95" s="144">
        <v>10.31</v>
      </c>
      <c r="E95" s="144">
        <v>8.41</v>
      </c>
    </row>
    <row r="96" spans="1:5">
      <c r="A96" s="143">
        <v>35562</v>
      </c>
      <c r="B96" s="143"/>
      <c r="C96" s="144">
        <v>10.65</v>
      </c>
      <c r="D96" s="144">
        <v>10.33</v>
      </c>
      <c r="E96" s="144">
        <v>8.43</v>
      </c>
    </row>
    <row r="97" spans="1:5">
      <c r="A97" s="143">
        <v>35569</v>
      </c>
      <c r="B97" s="143"/>
      <c r="C97" s="144">
        <v>10.66</v>
      </c>
      <c r="D97" s="144">
        <v>10.34</v>
      </c>
      <c r="E97" s="144">
        <v>8.43</v>
      </c>
    </row>
    <row r="98" spans="1:5">
      <c r="A98" s="143">
        <v>35576</v>
      </c>
      <c r="B98" s="143"/>
      <c r="C98" s="144">
        <v>10.67</v>
      </c>
      <c r="D98" s="144">
        <v>10.35</v>
      </c>
      <c r="E98" s="144">
        <v>8.44</v>
      </c>
    </row>
    <row r="99" spans="1:5" ht="13.5" customHeight="1">
      <c r="A99" s="154" t="s">
        <v>134</v>
      </c>
      <c r="B99" s="154"/>
      <c r="C99" s="156">
        <f>SUM(C95:C98)/4</f>
        <v>10.645</v>
      </c>
      <c r="D99" s="156">
        <f>SUM(D95:D98)/4</f>
        <v>10.3325</v>
      </c>
      <c r="E99" s="156">
        <f>SUM(E95:E98)/4</f>
        <v>8.4275000000000002</v>
      </c>
    </row>
    <row r="100" spans="1:5">
      <c r="A100" s="143">
        <v>35583</v>
      </c>
      <c r="B100" s="143"/>
      <c r="C100" s="144">
        <v>10.68</v>
      </c>
      <c r="D100" s="144">
        <v>10.37</v>
      </c>
      <c r="E100" s="144">
        <v>8.44</v>
      </c>
    </row>
    <row r="101" spans="1:5">
      <c r="A101" s="143">
        <v>35590</v>
      </c>
      <c r="B101" s="143"/>
      <c r="C101" s="144">
        <v>10.71</v>
      </c>
      <c r="D101" s="144">
        <v>10.39</v>
      </c>
      <c r="E101" s="144">
        <v>8.44</v>
      </c>
    </row>
    <row r="102" spans="1:5">
      <c r="A102" s="143">
        <v>35597</v>
      </c>
      <c r="B102" s="143"/>
      <c r="C102" s="144">
        <v>10.72</v>
      </c>
      <c r="D102" s="144">
        <v>10.41</v>
      </c>
      <c r="E102" s="144">
        <v>8.4499999999999993</v>
      </c>
    </row>
    <row r="103" spans="1:5" ht="15" customHeight="1">
      <c r="A103" s="143">
        <v>35604</v>
      </c>
      <c r="B103" s="143"/>
      <c r="C103" s="144">
        <v>10.72</v>
      </c>
      <c r="D103" s="144">
        <v>10.41</v>
      </c>
      <c r="E103" s="144">
        <v>8.4499999999999993</v>
      </c>
    </row>
    <row r="104" spans="1:5" ht="12" customHeight="1">
      <c r="A104" s="154" t="s">
        <v>134</v>
      </c>
      <c r="B104" s="154"/>
      <c r="C104" s="156">
        <f>SUM(C100:C103)/4</f>
        <v>10.7075</v>
      </c>
      <c r="D104" s="156">
        <f>SUM(D100:D103)/4</f>
        <v>10.395</v>
      </c>
      <c r="E104" s="156">
        <f>SUM(E100:E103)/4</f>
        <v>8.4450000000000003</v>
      </c>
    </row>
    <row r="105" spans="1:5">
      <c r="A105" s="143">
        <v>35612</v>
      </c>
      <c r="B105" s="143"/>
      <c r="C105" s="144">
        <v>10.7</v>
      </c>
      <c r="D105" s="144">
        <v>10.39</v>
      </c>
      <c r="E105" s="144">
        <v>8.41</v>
      </c>
    </row>
    <row r="106" spans="1:5">
      <c r="A106" s="143">
        <v>35618</v>
      </c>
      <c r="B106" s="143"/>
      <c r="C106" s="144">
        <v>10.64</v>
      </c>
      <c r="D106" s="144">
        <v>10.33</v>
      </c>
      <c r="E106" s="144">
        <v>8.35</v>
      </c>
    </row>
    <row r="107" spans="1:5">
      <c r="A107" s="143">
        <v>35625</v>
      </c>
      <c r="B107" s="143"/>
      <c r="C107" s="144">
        <v>10.52</v>
      </c>
      <c r="D107" s="144">
        <v>10.199999999999999</v>
      </c>
      <c r="E107" s="144">
        <v>8.25</v>
      </c>
    </row>
    <row r="108" spans="1:5">
      <c r="A108" s="143">
        <v>35632</v>
      </c>
      <c r="B108" s="143"/>
      <c r="C108" s="144">
        <v>10.51</v>
      </c>
      <c r="D108" s="144">
        <v>10.19</v>
      </c>
      <c r="E108" s="144">
        <v>8.19</v>
      </c>
    </row>
    <row r="109" spans="1:5">
      <c r="A109" s="143">
        <v>35639</v>
      </c>
      <c r="B109" s="143"/>
      <c r="C109" s="144">
        <v>10.5</v>
      </c>
      <c r="D109" s="144">
        <v>10.19</v>
      </c>
      <c r="E109" s="144">
        <v>8.1999999999999993</v>
      </c>
    </row>
    <row r="110" spans="1:5" ht="12.75" customHeight="1">
      <c r="A110" s="154" t="s">
        <v>134</v>
      </c>
      <c r="B110" s="154"/>
      <c r="C110" s="156">
        <f>SUM(C105:C109)/5</f>
        <v>10.574</v>
      </c>
      <c r="D110" s="156">
        <f>SUM(D105:D109)/5</f>
        <v>10.26</v>
      </c>
      <c r="E110" s="156">
        <f>SUM(E105:E109)/5</f>
        <v>8.2799999999999976</v>
      </c>
    </row>
    <row r="111" spans="1:5">
      <c r="A111" s="143">
        <v>35646</v>
      </c>
      <c r="B111" s="143"/>
      <c r="C111" s="144">
        <v>10.5</v>
      </c>
      <c r="D111" s="144">
        <v>10.19</v>
      </c>
      <c r="E111" s="144">
        <v>8.18</v>
      </c>
    </row>
    <row r="112" spans="1:5">
      <c r="A112" s="143">
        <v>35653</v>
      </c>
      <c r="B112" s="143"/>
      <c r="C112" s="144">
        <v>10.62</v>
      </c>
      <c r="D112" s="144">
        <v>10.29</v>
      </c>
      <c r="E112" s="144">
        <v>8.19</v>
      </c>
    </row>
    <row r="113" spans="1:5">
      <c r="A113" s="143">
        <v>35660</v>
      </c>
      <c r="B113" s="143"/>
      <c r="C113" s="144">
        <v>10.73</v>
      </c>
      <c r="D113" s="144">
        <v>10.38</v>
      </c>
      <c r="E113" s="144">
        <v>8.2200000000000006</v>
      </c>
    </row>
    <row r="114" spans="1:5" ht="11.25" customHeight="1">
      <c r="A114" s="143">
        <v>35667</v>
      </c>
      <c r="B114" s="143"/>
      <c r="C114" s="144">
        <v>10.92</v>
      </c>
      <c r="D114" s="144">
        <v>10.56</v>
      </c>
      <c r="E114" s="144">
        <v>8.2799999999999994</v>
      </c>
    </row>
    <row r="115" spans="1:5" ht="12" customHeight="1">
      <c r="A115" s="154" t="s">
        <v>134</v>
      </c>
      <c r="B115" s="154"/>
      <c r="C115" s="156">
        <f>SUM(C111:C114)/4</f>
        <v>10.692499999999999</v>
      </c>
      <c r="D115" s="156">
        <f>SUM(D111:D114)/4</f>
        <v>10.355</v>
      </c>
      <c r="E115" s="156">
        <f>SUM(E111:E114)/4</f>
        <v>8.2174999999999994</v>
      </c>
    </row>
    <row r="116" spans="1:5">
      <c r="A116" s="143">
        <v>35674</v>
      </c>
      <c r="B116" s="143"/>
      <c r="C116" s="144">
        <v>11.01</v>
      </c>
      <c r="D116" s="144">
        <v>10.63</v>
      </c>
      <c r="E116" s="144">
        <v>8.31</v>
      </c>
    </row>
    <row r="117" spans="1:5">
      <c r="A117" s="143">
        <v>35681</v>
      </c>
      <c r="B117" s="143"/>
      <c r="C117" s="144">
        <v>11.09</v>
      </c>
      <c r="D117" s="144">
        <v>10.69</v>
      </c>
      <c r="E117" s="144">
        <v>8.32</v>
      </c>
    </row>
    <row r="118" spans="1:5">
      <c r="A118" s="143">
        <v>35689</v>
      </c>
      <c r="B118" s="143"/>
      <c r="C118" s="144">
        <v>11.01</v>
      </c>
      <c r="D118" s="144">
        <v>10.62</v>
      </c>
      <c r="E118" s="144">
        <v>8.3000000000000007</v>
      </c>
    </row>
    <row r="119" spans="1:5">
      <c r="A119" s="143">
        <v>35695</v>
      </c>
      <c r="B119" s="143"/>
      <c r="C119" s="144">
        <v>11</v>
      </c>
      <c r="D119" s="144">
        <v>10.61</v>
      </c>
      <c r="E119" s="144">
        <v>8.31</v>
      </c>
    </row>
    <row r="120" spans="1:5" ht="11.25" customHeight="1">
      <c r="A120" s="143">
        <v>35702</v>
      </c>
      <c r="B120" s="143"/>
      <c r="C120" s="144">
        <v>10.97</v>
      </c>
      <c r="D120" s="144">
        <v>10.58</v>
      </c>
      <c r="E120" s="144">
        <v>8.3000000000000007</v>
      </c>
    </row>
    <row r="121" spans="1:5" ht="12" customHeight="1">
      <c r="A121" s="154" t="s">
        <v>134</v>
      </c>
      <c r="B121" s="154"/>
      <c r="C121" s="156">
        <f>SUM(C116:C120)/5</f>
        <v>11.016</v>
      </c>
      <c r="D121" s="156">
        <f>SUM(D116:D120)/5</f>
        <v>10.625999999999999</v>
      </c>
      <c r="E121" s="156">
        <f>SUM(E116:E120)/5</f>
        <v>8.3080000000000016</v>
      </c>
    </row>
    <row r="122" spans="1:5">
      <c r="A122" s="143">
        <v>35709</v>
      </c>
      <c r="B122" s="143"/>
      <c r="C122" s="144">
        <v>10.9</v>
      </c>
      <c r="D122" s="144">
        <v>10.55</v>
      </c>
      <c r="E122" s="144">
        <v>8.2799999999999994</v>
      </c>
    </row>
    <row r="123" spans="1:5">
      <c r="A123" s="143">
        <v>35716</v>
      </c>
      <c r="B123" s="143"/>
      <c r="C123" s="144">
        <v>10.73</v>
      </c>
      <c r="D123" s="144">
        <v>10.41</v>
      </c>
      <c r="E123" s="144">
        <v>8.31</v>
      </c>
    </row>
    <row r="124" spans="1:5">
      <c r="A124" s="143">
        <v>35724</v>
      </c>
      <c r="B124" s="143"/>
      <c r="C124" s="144">
        <v>10.72</v>
      </c>
      <c r="D124" s="144">
        <v>10.36</v>
      </c>
      <c r="E124" s="144">
        <v>8.32</v>
      </c>
    </row>
    <row r="125" spans="1:5">
      <c r="A125" s="143">
        <v>35730</v>
      </c>
      <c r="B125" s="143"/>
      <c r="C125" s="144">
        <v>10.71</v>
      </c>
      <c r="D125" s="144">
        <v>10.33</v>
      </c>
      <c r="E125" s="144">
        <v>8.33</v>
      </c>
    </row>
    <row r="126" spans="1:5" ht="12.75" customHeight="1">
      <c r="A126" s="154" t="s">
        <v>134</v>
      </c>
      <c r="B126" s="154"/>
      <c r="C126" s="156">
        <f>SUM(C122:C125)/4</f>
        <v>10.765000000000001</v>
      </c>
      <c r="D126" s="156">
        <f>SUM(D122:D125)/4</f>
        <v>10.4125</v>
      </c>
      <c r="E126" s="156">
        <f>SUM(E122:E125)/4</f>
        <v>8.31</v>
      </c>
    </row>
    <row r="127" spans="1:5">
      <c r="A127" s="143">
        <v>35737</v>
      </c>
      <c r="B127" s="143"/>
      <c r="C127" s="144">
        <v>10.67</v>
      </c>
      <c r="D127" s="144">
        <v>10.31</v>
      </c>
      <c r="E127" s="144">
        <v>8.31</v>
      </c>
    </row>
    <row r="128" spans="1:5">
      <c r="A128" s="143">
        <v>35744</v>
      </c>
      <c r="B128" s="143"/>
      <c r="C128" s="144">
        <v>10.58</v>
      </c>
      <c r="D128" s="144">
        <v>10.28</v>
      </c>
      <c r="E128" s="144">
        <v>8.35</v>
      </c>
    </row>
    <row r="129" spans="1:6">
      <c r="A129" s="143">
        <v>35751</v>
      </c>
      <c r="B129" s="143"/>
      <c r="C129" s="144">
        <v>10.54</v>
      </c>
      <c r="D129" s="144">
        <v>10.25</v>
      </c>
      <c r="E129" s="144">
        <v>8.3800000000000008</v>
      </c>
    </row>
    <row r="130" spans="1:6" ht="12" customHeight="1">
      <c r="A130" s="143">
        <v>35758</v>
      </c>
      <c r="B130" s="143"/>
      <c r="C130" s="144">
        <v>10.53</v>
      </c>
      <c r="D130" s="144">
        <v>10.24</v>
      </c>
      <c r="E130" s="144">
        <v>8.39</v>
      </c>
    </row>
    <row r="131" spans="1:6" ht="12.75" customHeight="1">
      <c r="A131" s="154" t="s">
        <v>134</v>
      </c>
      <c r="B131" s="154"/>
      <c r="C131" s="156">
        <f>SUM(C127:C130)/4</f>
        <v>10.58</v>
      </c>
      <c r="D131" s="156">
        <f>SUM(D127:D130)/4</f>
        <v>10.27</v>
      </c>
      <c r="E131" s="156">
        <f>SUM(E127:E130)/4</f>
        <v>8.3574999999999999</v>
      </c>
    </row>
    <row r="132" spans="1:6">
      <c r="A132" s="143">
        <v>35765</v>
      </c>
      <c r="B132" s="143"/>
      <c r="C132" s="144">
        <v>10.53</v>
      </c>
      <c r="D132" s="144">
        <v>10.23</v>
      </c>
      <c r="E132" s="144">
        <v>8.5399999999999991</v>
      </c>
    </row>
    <row r="133" spans="1:6">
      <c r="A133" s="143">
        <v>35772</v>
      </c>
      <c r="B133" s="143"/>
      <c r="C133" s="144">
        <v>10.58</v>
      </c>
      <c r="D133" s="144">
        <v>10.29</v>
      </c>
      <c r="E133" s="144">
        <v>8.59</v>
      </c>
    </row>
    <row r="134" spans="1:6">
      <c r="A134" s="143">
        <v>35779</v>
      </c>
      <c r="B134" s="143"/>
      <c r="C134" s="144">
        <v>10.58</v>
      </c>
      <c r="D134" s="144">
        <v>10.29</v>
      </c>
      <c r="E134" s="144">
        <v>8.6</v>
      </c>
    </row>
    <row r="135" spans="1:6">
      <c r="A135" s="143">
        <v>35786</v>
      </c>
      <c r="B135" s="143"/>
      <c r="C135" s="144">
        <v>10.55</v>
      </c>
      <c r="D135" s="144">
        <v>10.26</v>
      </c>
      <c r="E135" s="144">
        <v>8.59</v>
      </c>
    </row>
    <row r="136" spans="1:6">
      <c r="A136" s="143">
        <v>35793</v>
      </c>
      <c r="B136" s="143"/>
      <c r="C136" s="144">
        <v>10.57</v>
      </c>
      <c r="D136" s="144">
        <v>10.27</v>
      </c>
      <c r="E136" s="144">
        <v>8.58</v>
      </c>
    </row>
    <row r="137" spans="1:6" ht="14.25" customHeight="1">
      <c r="A137" s="157" t="s">
        <v>134</v>
      </c>
      <c r="B137" s="157"/>
      <c r="C137" s="156">
        <f>SUM(C132:C136)/5</f>
        <v>10.561999999999999</v>
      </c>
      <c r="D137" s="156">
        <f>SUM(D132:D136)/5</f>
        <v>10.268000000000001</v>
      </c>
      <c r="E137" s="156">
        <f>SUM(E132:E136)/5</f>
        <v>8.5799999999999983</v>
      </c>
    </row>
    <row r="138" spans="1:6" ht="14.25" customHeight="1">
      <c r="A138" s="158"/>
      <c r="B138" s="158"/>
      <c r="C138" s="159"/>
      <c r="D138" s="159"/>
      <c r="E138" s="159"/>
    </row>
    <row r="139" spans="1:6" ht="14.25" customHeight="1">
      <c r="A139" s="160" t="s">
        <v>131</v>
      </c>
      <c r="B139" s="160"/>
      <c r="C139" s="156"/>
      <c r="D139" s="156"/>
      <c r="E139" s="159"/>
    </row>
    <row r="140" spans="1:6" ht="13.5" customHeight="1">
      <c r="A140" s="161" t="s">
        <v>135</v>
      </c>
      <c r="B140" s="161"/>
      <c r="C140" s="4"/>
      <c r="D140" s="156"/>
      <c r="E140" s="159"/>
      <c r="F140" s="141"/>
    </row>
    <row r="141" spans="1:6" ht="13.5" customHeight="1">
      <c r="A141" s="158"/>
      <c r="B141" s="158"/>
      <c r="C141" s="51" t="s">
        <v>129</v>
      </c>
      <c r="D141" s="51" t="s">
        <v>5</v>
      </c>
      <c r="E141" s="51" t="s">
        <v>6</v>
      </c>
      <c r="F141" s="141"/>
    </row>
    <row r="142" spans="1:6" ht="13.5" customHeight="1">
      <c r="A142" s="158"/>
      <c r="B142" s="158"/>
      <c r="C142" s="51" t="s">
        <v>136</v>
      </c>
      <c r="D142" s="51" t="s">
        <v>136</v>
      </c>
      <c r="E142" s="51" t="s">
        <v>136</v>
      </c>
      <c r="F142" s="141"/>
    </row>
    <row r="143" spans="1:6">
      <c r="A143" s="143">
        <v>35800</v>
      </c>
      <c r="B143" s="143"/>
      <c r="C143" s="6">
        <v>10.59</v>
      </c>
      <c r="D143" s="6">
        <v>10.29</v>
      </c>
      <c r="E143" s="6">
        <v>8.58</v>
      </c>
      <c r="F143" s="141"/>
    </row>
    <row r="144" spans="1:6">
      <c r="A144" s="143">
        <v>35807</v>
      </c>
      <c r="B144" s="143"/>
      <c r="C144" s="144">
        <v>11.2</v>
      </c>
      <c r="D144" s="144">
        <v>10.87</v>
      </c>
      <c r="E144" s="144">
        <v>8.26</v>
      </c>
      <c r="F144" s="141"/>
    </row>
    <row r="145" spans="1:6">
      <c r="A145" s="143">
        <v>35814</v>
      </c>
      <c r="B145" s="143"/>
      <c r="C145" s="6">
        <v>11.18</v>
      </c>
      <c r="D145" s="6">
        <v>10.85</v>
      </c>
      <c r="E145" s="6">
        <v>8.19</v>
      </c>
      <c r="F145" s="141"/>
    </row>
    <row r="146" spans="1:6">
      <c r="A146" s="143">
        <v>35821</v>
      </c>
      <c r="B146" s="143"/>
      <c r="C146" s="6">
        <v>11.05</v>
      </c>
      <c r="D146" s="6">
        <v>10.72</v>
      </c>
      <c r="E146" s="6">
        <v>8.07</v>
      </c>
      <c r="F146" s="141"/>
    </row>
    <row r="147" spans="1:6">
      <c r="A147" s="157" t="s">
        <v>134</v>
      </c>
      <c r="B147" s="157"/>
      <c r="C147" s="156">
        <f>SUM(C143:C146)/4</f>
        <v>11.004999999999999</v>
      </c>
      <c r="D147" s="156">
        <f>SUM(D143:D146)/4</f>
        <v>10.682499999999999</v>
      </c>
      <c r="E147" s="156">
        <f>SUM(E143:E146)/4</f>
        <v>8.2750000000000004</v>
      </c>
      <c r="F147" s="141"/>
    </row>
    <row r="148" spans="1:6">
      <c r="A148" s="143">
        <v>35828</v>
      </c>
      <c r="B148" s="143"/>
      <c r="C148" s="6">
        <v>10.89</v>
      </c>
      <c r="D148" s="6">
        <v>10.57</v>
      </c>
      <c r="E148" s="144">
        <v>7.9</v>
      </c>
      <c r="F148" s="141"/>
    </row>
    <row r="149" spans="1:6">
      <c r="A149" s="143">
        <v>35835</v>
      </c>
      <c r="B149" s="143"/>
      <c r="C149" s="6">
        <v>10.86</v>
      </c>
      <c r="D149" s="6">
        <v>10.54</v>
      </c>
      <c r="E149" s="6">
        <v>7.87</v>
      </c>
      <c r="F149" s="141"/>
    </row>
    <row r="150" spans="1:6">
      <c r="A150" s="143">
        <v>35842</v>
      </c>
      <c r="B150" s="143"/>
      <c r="C150" s="6">
        <v>10.84</v>
      </c>
      <c r="D150" s="6">
        <v>10.51</v>
      </c>
      <c r="E150" s="6">
        <v>7.87</v>
      </c>
      <c r="F150" s="141"/>
    </row>
    <row r="151" spans="1:6">
      <c r="A151" s="143">
        <v>35849</v>
      </c>
      <c r="B151" s="143"/>
      <c r="C151" s="6">
        <v>10.85</v>
      </c>
      <c r="D151" s="6">
        <v>10.51</v>
      </c>
      <c r="E151" s="6">
        <v>7.86</v>
      </c>
      <c r="F151" s="141"/>
    </row>
    <row r="152" spans="1:6">
      <c r="A152" s="157" t="s">
        <v>134</v>
      </c>
      <c r="B152" s="157"/>
      <c r="C152" s="156">
        <f>SUM(C148:C151)/4</f>
        <v>10.860000000000001</v>
      </c>
      <c r="D152" s="156">
        <f>SUM(D148:D151)/4</f>
        <v>10.532499999999999</v>
      </c>
      <c r="E152" s="156">
        <f>SUM(E148:E151)/4</f>
        <v>7.875</v>
      </c>
      <c r="F152" s="141"/>
    </row>
    <row r="153" spans="1:6">
      <c r="A153" s="143">
        <v>35856</v>
      </c>
      <c r="B153" s="143"/>
      <c r="C153" s="6">
        <v>10.85</v>
      </c>
      <c r="D153" s="6">
        <v>10.51</v>
      </c>
      <c r="E153" s="6">
        <v>7.86</v>
      </c>
      <c r="F153" s="141"/>
    </row>
    <row r="154" spans="1:6">
      <c r="A154" s="143">
        <v>35863</v>
      </c>
      <c r="B154" s="143"/>
      <c r="C154" s="6">
        <v>10.85</v>
      </c>
      <c r="D154" s="6">
        <v>10.51</v>
      </c>
      <c r="E154" s="6">
        <v>7.85</v>
      </c>
      <c r="F154" s="141"/>
    </row>
    <row r="155" spans="1:6">
      <c r="A155" s="143">
        <v>35870</v>
      </c>
      <c r="B155" s="143"/>
      <c r="C155" s="6">
        <v>10.84</v>
      </c>
      <c r="D155" s="6">
        <v>10.51</v>
      </c>
      <c r="E155" s="6">
        <v>7.85</v>
      </c>
      <c r="F155" s="141"/>
    </row>
    <row r="156" spans="1:6">
      <c r="A156" s="143">
        <v>35877</v>
      </c>
      <c r="B156" s="143"/>
      <c r="C156" s="6">
        <v>10.68</v>
      </c>
      <c r="D156" s="6">
        <v>10.41</v>
      </c>
      <c r="E156" s="6">
        <v>7.82</v>
      </c>
      <c r="F156" s="141"/>
    </row>
    <row r="157" spans="1:6">
      <c r="A157" s="143">
        <v>35884</v>
      </c>
      <c r="B157" s="143"/>
      <c r="C157" s="6">
        <v>10.63</v>
      </c>
      <c r="D157" s="6">
        <v>10.36</v>
      </c>
      <c r="E157" s="6">
        <v>7.81</v>
      </c>
      <c r="F157" s="141"/>
    </row>
    <row r="158" spans="1:6">
      <c r="A158" s="157" t="s">
        <v>134</v>
      </c>
      <c r="B158" s="157"/>
      <c r="C158" s="156">
        <f>SUM(C153:C157)/5</f>
        <v>10.77</v>
      </c>
      <c r="D158" s="156">
        <f>SUM(D153:D157)/5</f>
        <v>10.459999999999999</v>
      </c>
      <c r="E158" s="156">
        <f>SUM(E153:E157)/5</f>
        <v>7.838000000000001</v>
      </c>
      <c r="F158" s="141"/>
    </row>
    <row r="159" spans="1:6">
      <c r="A159" s="143">
        <v>35891</v>
      </c>
      <c r="B159" s="143"/>
      <c r="C159" s="6">
        <v>10.62</v>
      </c>
      <c r="D159" s="6">
        <v>10.36</v>
      </c>
      <c r="E159" s="6">
        <v>7.81</v>
      </c>
    </row>
    <row r="160" spans="1:6">
      <c r="A160" s="143">
        <v>35898</v>
      </c>
      <c r="B160" s="143"/>
      <c r="C160" s="6">
        <v>10.62</v>
      </c>
      <c r="D160" s="6">
        <v>10.35</v>
      </c>
      <c r="E160" s="144">
        <v>7.8</v>
      </c>
    </row>
    <row r="161" spans="1:5">
      <c r="A161" s="143">
        <v>35905</v>
      </c>
      <c r="B161" s="143"/>
      <c r="C161" s="6">
        <v>10.64</v>
      </c>
      <c r="D161" s="6">
        <v>10.37</v>
      </c>
      <c r="E161" s="6">
        <v>7.81</v>
      </c>
    </row>
    <row r="162" spans="1:5">
      <c r="A162" s="143">
        <v>35912</v>
      </c>
      <c r="B162" s="143"/>
      <c r="C162" s="6">
        <v>10.68</v>
      </c>
      <c r="D162" s="6">
        <v>10.41</v>
      </c>
      <c r="E162" s="6">
        <v>7.82</v>
      </c>
    </row>
    <row r="163" spans="1:5">
      <c r="A163" s="157" t="s">
        <v>134</v>
      </c>
      <c r="B163" s="157"/>
      <c r="C163" s="156">
        <f>SUM(C159:C162)/4</f>
        <v>10.64</v>
      </c>
      <c r="D163" s="156">
        <f>SUM(D159:D162)/4</f>
        <v>10.372499999999999</v>
      </c>
      <c r="E163" s="156">
        <f>SUM(E159:E162)/4</f>
        <v>7.81</v>
      </c>
    </row>
    <row r="164" spans="1:5">
      <c r="A164" s="143">
        <v>35919</v>
      </c>
      <c r="B164" s="143"/>
      <c r="C164" s="144">
        <v>10.7</v>
      </c>
      <c r="D164" s="144">
        <v>10.42</v>
      </c>
      <c r="E164" s="144">
        <v>7.82</v>
      </c>
    </row>
    <row r="165" spans="1:5">
      <c r="A165" s="143">
        <v>35926</v>
      </c>
      <c r="B165" s="143"/>
      <c r="C165" s="144">
        <v>10.83</v>
      </c>
      <c r="D165" s="144">
        <v>10.53</v>
      </c>
      <c r="E165" s="144">
        <v>7.82</v>
      </c>
    </row>
    <row r="166" spans="1:5">
      <c r="A166" s="143">
        <v>35933</v>
      </c>
      <c r="B166" s="143"/>
      <c r="C166" s="144">
        <v>11.03</v>
      </c>
      <c r="D166" s="144">
        <v>10.66</v>
      </c>
      <c r="E166" s="144">
        <v>7.83</v>
      </c>
    </row>
    <row r="167" spans="1:5">
      <c r="A167" s="143">
        <v>35940</v>
      </c>
      <c r="B167" s="143"/>
      <c r="C167" s="144">
        <v>11.03</v>
      </c>
      <c r="D167" s="144">
        <v>10.67</v>
      </c>
      <c r="E167" s="144">
        <v>7.91</v>
      </c>
    </row>
    <row r="168" spans="1:5">
      <c r="A168" s="157" t="s">
        <v>134</v>
      </c>
      <c r="B168" s="157"/>
      <c r="C168" s="156">
        <f>SUM(C164:C167)/4</f>
        <v>10.897500000000001</v>
      </c>
      <c r="D168" s="156">
        <f>SUM(D164:D167)/4</f>
        <v>10.57</v>
      </c>
      <c r="E168" s="156">
        <f>SUM(E164:E167)/4</f>
        <v>7.8449999999999998</v>
      </c>
    </row>
    <row r="169" spans="1:5">
      <c r="A169" s="143">
        <v>35947</v>
      </c>
      <c r="B169" s="143"/>
      <c r="C169" s="6">
        <v>11.03</v>
      </c>
      <c r="D169" s="6">
        <v>10.67</v>
      </c>
      <c r="E169" s="6">
        <v>7.91</v>
      </c>
    </row>
    <row r="170" spans="1:5">
      <c r="A170" s="143">
        <v>35954</v>
      </c>
      <c r="B170" s="143"/>
      <c r="C170" s="6">
        <v>11.03</v>
      </c>
      <c r="D170" s="6">
        <v>10.67</v>
      </c>
      <c r="E170" s="6">
        <v>7.83</v>
      </c>
    </row>
    <row r="171" spans="1:5">
      <c r="A171" s="143">
        <v>35962</v>
      </c>
      <c r="B171" s="143"/>
      <c r="C171" s="6">
        <v>11.01</v>
      </c>
      <c r="D171" s="6">
        <v>10.64</v>
      </c>
      <c r="E171" s="6">
        <v>7.77</v>
      </c>
    </row>
    <row r="172" spans="1:5">
      <c r="A172" s="143">
        <v>35968</v>
      </c>
      <c r="B172" s="143"/>
      <c r="C172" s="6">
        <v>10.99</v>
      </c>
      <c r="D172" s="6">
        <v>10.63</v>
      </c>
      <c r="E172" s="6">
        <v>7.72</v>
      </c>
    </row>
    <row r="173" spans="1:5">
      <c r="A173" s="143">
        <v>35975</v>
      </c>
      <c r="B173" s="143"/>
      <c r="C173" s="6">
        <v>10.97</v>
      </c>
      <c r="D173" s="6">
        <v>10.63</v>
      </c>
      <c r="E173" s="6">
        <v>7.69</v>
      </c>
    </row>
    <row r="174" spans="1:5">
      <c r="A174" s="157" t="s">
        <v>134</v>
      </c>
      <c r="B174" s="157"/>
      <c r="C174" s="156">
        <f>SUM(C169:C173)/5</f>
        <v>11.006</v>
      </c>
      <c r="D174" s="156">
        <f>SUM(D169:D173)/5</f>
        <v>10.648</v>
      </c>
      <c r="E174" s="156">
        <f>SUM(E169:E173)/5</f>
        <v>7.7839999999999989</v>
      </c>
    </row>
    <row r="175" spans="1:5">
      <c r="A175" s="143">
        <v>35982</v>
      </c>
      <c r="B175" s="143"/>
      <c r="C175" s="6">
        <v>10.94</v>
      </c>
      <c r="D175" s="6">
        <v>10.59</v>
      </c>
      <c r="E175" s="6">
        <v>7.63</v>
      </c>
    </row>
    <row r="176" spans="1:5">
      <c r="A176" s="143">
        <v>35989</v>
      </c>
      <c r="B176" s="143"/>
      <c r="C176" s="144">
        <v>10.9</v>
      </c>
      <c r="D176" s="6">
        <v>10.56</v>
      </c>
      <c r="E176" s="6">
        <v>7.58</v>
      </c>
    </row>
    <row r="177" spans="1:5">
      <c r="A177" s="143">
        <v>35996</v>
      </c>
      <c r="B177" s="143"/>
      <c r="C177" s="6">
        <v>10.88</v>
      </c>
      <c r="D177" s="6">
        <v>10.55</v>
      </c>
      <c r="E177" s="6">
        <v>7.57</v>
      </c>
    </row>
    <row r="178" spans="1:5">
      <c r="A178" s="143">
        <v>36003</v>
      </c>
      <c r="B178" s="143"/>
      <c r="C178" s="6">
        <v>10.86</v>
      </c>
      <c r="D178" s="6">
        <v>10.53</v>
      </c>
      <c r="E178" s="6">
        <v>7.54</v>
      </c>
    </row>
    <row r="179" spans="1:5">
      <c r="A179" s="157" t="s">
        <v>134</v>
      </c>
      <c r="B179" s="157"/>
      <c r="C179" s="156">
        <f>SUM(C175:C178)/4</f>
        <v>10.895</v>
      </c>
      <c r="D179" s="156">
        <f>SUM(D175:D178)/4</f>
        <v>10.557499999999999</v>
      </c>
      <c r="E179" s="156">
        <f>SUM(E175:E178)/4</f>
        <v>7.58</v>
      </c>
    </row>
    <row r="180" spans="1:5">
      <c r="A180" s="143">
        <v>36010</v>
      </c>
      <c r="B180" s="143"/>
      <c r="C180" s="6">
        <v>10.85</v>
      </c>
      <c r="D180" s="6">
        <v>10.52</v>
      </c>
      <c r="E180" s="6">
        <v>7.52</v>
      </c>
    </row>
    <row r="181" spans="1:5">
      <c r="A181" s="143">
        <v>36017</v>
      </c>
      <c r="B181" s="143"/>
      <c r="C181" s="144">
        <v>10.84</v>
      </c>
      <c r="D181" s="6">
        <v>10.51</v>
      </c>
      <c r="E181" s="6">
        <v>7.51</v>
      </c>
    </row>
    <row r="182" spans="1:5">
      <c r="A182" s="143">
        <v>36024</v>
      </c>
      <c r="B182" s="143"/>
      <c r="C182" s="6">
        <v>10.82</v>
      </c>
      <c r="D182" s="6">
        <v>10.48</v>
      </c>
      <c r="E182" s="6">
        <v>7.48</v>
      </c>
    </row>
    <row r="183" spans="1:5">
      <c r="A183" s="143">
        <v>36031</v>
      </c>
      <c r="B183" s="143"/>
      <c r="C183" s="6">
        <v>10.76</v>
      </c>
      <c r="D183" s="6">
        <v>10.39</v>
      </c>
      <c r="E183" s="6">
        <v>7.39</v>
      </c>
    </row>
    <row r="184" spans="1:5">
      <c r="A184" s="143">
        <v>36038</v>
      </c>
      <c r="B184" s="143"/>
      <c r="C184" s="6">
        <v>10.74</v>
      </c>
      <c r="D184" s="6">
        <v>10.35</v>
      </c>
      <c r="E184" s="6">
        <v>7.35</v>
      </c>
    </row>
    <row r="185" spans="1:5">
      <c r="A185" s="157" t="s">
        <v>134</v>
      </c>
      <c r="B185" s="157"/>
      <c r="C185" s="156">
        <f>SUM(C180:C184)/5</f>
        <v>10.802</v>
      </c>
      <c r="D185" s="156">
        <f>SUM(D180:D184)/5</f>
        <v>10.450000000000001</v>
      </c>
      <c r="E185" s="156">
        <f>SUM(E180:E184)/5</f>
        <v>7.45</v>
      </c>
    </row>
    <row r="186" spans="1:5">
      <c r="A186" s="143">
        <v>36045</v>
      </c>
      <c r="B186" s="143"/>
      <c r="C186" s="6">
        <v>10.75</v>
      </c>
      <c r="D186" s="6">
        <v>10.35</v>
      </c>
      <c r="E186" s="6">
        <v>7.35</v>
      </c>
    </row>
    <row r="187" spans="1:5">
      <c r="A187" s="143">
        <v>36052</v>
      </c>
      <c r="B187" s="143"/>
      <c r="C187" s="6">
        <v>10.76</v>
      </c>
      <c r="D187" s="6">
        <v>10.36</v>
      </c>
      <c r="E187" s="6">
        <v>7.36</v>
      </c>
    </row>
    <row r="188" spans="1:5">
      <c r="A188" s="143">
        <v>36059</v>
      </c>
      <c r="B188" s="143"/>
      <c r="C188" s="6">
        <v>10.76</v>
      </c>
      <c r="D188" s="6">
        <v>10.35</v>
      </c>
      <c r="E188" s="6">
        <v>7.35</v>
      </c>
    </row>
    <row r="189" spans="1:5">
      <c r="A189" s="143">
        <v>36066</v>
      </c>
      <c r="B189" s="143"/>
      <c r="C189" s="6">
        <v>10.75</v>
      </c>
      <c r="D189" s="6">
        <v>10.34</v>
      </c>
      <c r="E189" s="6">
        <v>7.34</v>
      </c>
    </row>
    <row r="190" spans="1:5">
      <c r="A190" s="157" t="s">
        <v>134</v>
      </c>
      <c r="B190" s="157"/>
      <c r="C190" s="144">
        <f>AVERAGE(C186:C189)</f>
        <v>10.754999999999999</v>
      </c>
      <c r="D190" s="144">
        <f>AVERAGE(D186:D189)</f>
        <v>10.350000000000001</v>
      </c>
      <c r="E190" s="144">
        <f>AVERAGE(E186:E189)</f>
        <v>7.3500000000000005</v>
      </c>
    </row>
    <row r="191" spans="1:5">
      <c r="A191" s="143">
        <v>36073</v>
      </c>
      <c r="B191" s="143"/>
      <c r="C191" s="6">
        <v>10.76</v>
      </c>
      <c r="D191" s="6">
        <v>10.35</v>
      </c>
      <c r="E191" s="144">
        <v>7.37</v>
      </c>
    </row>
    <row r="192" spans="1:5">
      <c r="A192" s="143">
        <v>36080</v>
      </c>
      <c r="B192" s="143"/>
      <c r="C192" s="6">
        <v>10.84</v>
      </c>
      <c r="D192" s="6">
        <v>10.41</v>
      </c>
      <c r="E192" s="144">
        <v>7.43</v>
      </c>
    </row>
    <row r="193" spans="1:5">
      <c r="A193" s="143">
        <v>36087</v>
      </c>
      <c r="B193" s="143"/>
      <c r="C193" s="6">
        <v>10.89</v>
      </c>
      <c r="D193" s="6">
        <v>10.45</v>
      </c>
      <c r="E193" s="144">
        <v>7.52</v>
      </c>
    </row>
    <row r="194" spans="1:5">
      <c r="A194" s="143">
        <v>36094</v>
      </c>
      <c r="B194" s="143"/>
      <c r="C194" s="6">
        <v>10.97</v>
      </c>
      <c r="D194" s="6">
        <v>10.52</v>
      </c>
      <c r="E194" s="144">
        <v>7.6</v>
      </c>
    </row>
    <row r="195" spans="1:5">
      <c r="A195" s="157" t="s">
        <v>134</v>
      </c>
      <c r="B195" s="157"/>
      <c r="C195" s="144">
        <f>AVERAGE(C191:C194)</f>
        <v>10.865</v>
      </c>
      <c r="D195" s="144">
        <f>AVERAGE(D191:D194)</f>
        <v>10.432499999999999</v>
      </c>
      <c r="E195" s="6">
        <f>AVERAGE(E191:E194)</f>
        <v>7.48</v>
      </c>
    </row>
    <row r="196" spans="1:5">
      <c r="A196" s="143">
        <v>36101</v>
      </c>
      <c r="B196" s="143"/>
      <c r="C196" s="144">
        <v>10.9</v>
      </c>
      <c r="D196" s="6">
        <v>10.46</v>
      </c>
      <c r="E196" s="144">
        <v>7.56</v>
      </c>
    </row>
    <row r="197" spans="1:5">
      <c r="A197" s="143">
        <v>36108</v>
      </c>
      <c r="B197" s="143"/>
      <c r="C197" s="6">
        <v>10.91</v>
      </c>
      <c r="D197" s="6">
        <v>10.47</v>
      </c>
      <c r="E197" s="144">
        <v>7.58</v>
      </c>
    </row>
    <row r="198" spans="1:5">
      <c r="A198" s="143">
        <v>36115</v>
      </c>
      <c r="B198" s="143"/>
      <c r="C198" s="6">
        <v>10.9</v>
      </c>
      <c r="D198" s="6">
        <v>10.46</v>
      </c>
      <c r="E198" s="144">
        <v>7.56</v>
      </c>
    </row>
    <row r="199" spans="1:5">
      <c r="A199" s="143">
        <v>36122</v>
      </c>
      <c r="B199" s="143"/>
      <c r="C199" s="6">
        <v>10.9</v>
      </c>
      <c r="D199" s="6">
        <v>10.46</v>
      </c>
      <c r="E199" s="144">
        <v>7.56</v>
      </c>
    </row>
    <row r="200" spans="1:5">
      <c r="A200" s="143">
        <v>36129</v>
      </c>
      <c r="B200" s="143"/>
      <c r="C200" s="6">
        <v>10.89</v>
      </c>
      <c r="D200" s="6">
        <v>10.45</v>
      </c>
      <c r="E200" s="144">
        <v>7.56</v>
      </c>
    </row>
    <row r="201" spans="1:5">
      <c r="A201" s="157" t="s">
        <v>134</v>
      </c>
      <c r="B201" s="157"/>
      <c r="C201" s="144">
        <f>AVERAGE(C196:C200)</f>
        <v>10.9</v>
      </c>
      <c r="D201" s="144">
        <f>AVERAGE(D196:D200)</f>
        <v>10.459999999999999</v>
      </c>
      <c r="E201" s="144">
        <f>AVERAGE(E196:E200)</f>
        <v>7.5640000000000001</v>
      </c>
    </row>
    <row r="202" spans="1:5">
      <c r="A202" s="143">
        <v>36136</v>
      </c>
      <c r="B202" s="143"/>
      <c r="C202" s="144">
        <v>10.76</v>
      </c>
      <c r="D202" s="144">
        <v>10.34</v>
      </c>
      <c r="E202" s="144">
        <v>7.5</v>
      </c>
    </row>
    <row r="203" spans="1:5">
      <c r="A203" s="143">
        <v>36143</v>
      </c>
      <c r="B203" s="143"/>
      <c r="C203" s="144">
        <v>10.7</v>
      </c>
      <c r="D203" s="144">
        <v>10.29</v>
      </c>
      <c r="E203" s="144">
        <v>7.42</v>
      </c>
    </row>
    <row r="204" spans="1:5">
      <c r="A204" s="143">
        <v>36150</v>
      </c>
      <c r="B204" s="143"/>
      <c r="C204" s="144">
        <v>10.52</v>
      </c>
      <c r="D204" s="144">
        <v>10.119999999999999</v>
      </c>
      <c r="E204" s="144">
        <v>7.26</v>
      </c>
    </row>
    <row r="205" spans="1:5">
      <c r="A205" s="143">
        <v>36157</v>
      </c>
      <c r="B205" s="143"/>
      <c r="C205" s="144">
        <v>10.48</v>
      </c>
      <c r="D205" s="144">
        <v>10.07</v>
      </c>
      <c r="E205" s="144">
        <v>7.21</v>
      </c>
    </row>
    <row r="206" spans="1:5">
      <c r="A206" s="157" t="s">
        <v>134</v>
      </c>
      <c r="B206" s="157"/>
      <c r="C206" s="144">
        <f>AVERAGE(C202:C205)</f>
        <v>10.615</v>
      </c>
      <c r="D206" s="144">
        <f>AVERAGE(D202:D205)</f>
        <v>10.205</v>
      </c>
      <c r="E206" s="144">
        <f>AVERAGE(E202:E205)</f>
        <v>7.3475000000000001</v>
      </c>
    </row>
    <row r="207" spans="1:5">
      <c r="A207" s="162"/>
      <c r="B207" s="162"/>
      <c r="C207" s="163"/>
      <c r="D207" s="163"/>
      <c r="E207" s="163"/>
    </row>
    <row r="208" spans="1:5" ht="18.75">
      <c r="A208" s="160" t="s">
        <v>137</v>
      </c>
      <c r="B208" s="160"/>
      <c r="C208" s="164"/>
      <c r="D208" s="164"/>
      <c r="E208" s="165"/>
    </row>
    <row r="209" spans="1:10">
      <c r="A209" s="166" t="s">
        <v>138</v>
      </c>
      <c r="B209" s="166"/>
      <c r="C209" s="4"/>
      <c r="D209" s="167"/>
      <c r="E209" s="165"/>
    </row>
    <row r="210" spans="1:10">
      <c r="A210" s="168" t="s">
        <v>1</v>
      </c>
      <c r="B210" s="168" t="s">
        <v>139</v>
      </c>
      <c r="C210" s="51" t="s">
        <v>140</v>
      </c>
      <c r="D210" s="51" t="s">
        <v>5</v>
      </c>
      <c r="E210" s="51" t="s">
        <v>6</v>
      </c>
      <c r="F210" s="169" t="s">
        <v>57</v>
      </c>
      <c r="G210" s="169" t="s">
        <v>58</v>
      </c>
      <c r="J210" s="108" t="s">
        <v>61</v>
      </c>
    </row>
    <row r="211" spans="1:10">
      <c r="A211" s="141"/>
      <c r="B211" s="142" t="s">
        <v>141</v>
      </c>
      <c r="C211" s="142" t="s">
        <v>141</v>
      </c>
      <c r="D211" s="142" t="s">
        <v>141</v>
      </c>
      <c r="E211" s="142" t="s">
        <v>141</v>
      </c>
      <c r="F211" s="142" t="s">
        <v>141</v>
      </c>
      <c r="G211" s="170" t="s">
        <v>141</v>
      </c>
      <c r="J211" s="6" t="s">
        <v>141</v>
      </c>
    </row>
    <row r="212" spans="1:10">
      <c r="A212" s="143">
        <v>36164</v>
      </c>
      <c r="B212" s="144">
        <v>10.99</v>
      </c>
      <c r="C212" s="6">
        <v>10.47</v>
      </c>
      <c r="D212" s="6">
        <v>10.06</v>
      </c>
      <c r="E212" s="6">
        <v>7.18</v>
      </c>
      <c r="F212" s="142">
        <v>7.44</v>
      </c>
      <c r="G212" s="6">
        <f>(3.47+3.28+3.21)/3</f>
        <v>3.3200000000000003</v>
      </c>
      <c r="J212" s="144">
        <f>(7.5+7.25)/2</f>
        <v>7.375</v>
      </c>
    </row>
    <row r="213" spans="1:10">
      <c r="A213" s="143">
        <v>36171</v>
      </c>
      <c r="B213" s="144">
        <v>10.95</v>
      </c>
      <c r="C213" s="6">
        <v>10.41</v>
      </c>
      <c r="D213" s="6">
        <v>10.02</v>
      </c>
      <c r="E213" s="6">
        <v>7.13</v>
      </c>
      <c r="F213" s="142">
        <v>7.44</v>
      </c>
      <c r="G213" s="6">
        <f>(3.47+3.24+3.31)/3</f>
        <v>3.3400000000000003</v>
      </c>
      <c r="J213" s="144">
        <f>(7.5+7.25)/2</f>
        <v>7.375</v>
      </c>
    </row>
    <row r="214" spans="1:10">
      <c r="A214" s="143">
        <v>36178</v>
      </c>
      <c r="B214" s="144">
        <v>10.93</v>
      </c>
      <c r="C214" s="6">
        <v>10.39</v>
      </c>
      <c r="D214" s="6">
        <v>10.02</v>
      </c>
      <c r="E214" s="6">
        <v>7.12</v>
      </c>
      <c r="F214" s="142">
        <v>7.44</v>
      </c>
      <c r="G214" s="6">
        <f>(3.39+3.29+3.25)/3</f>
        <v>3.31</v>
      </c>
      <c r="J214" s="144">
        <f>(7.5+7.25)/2</f>
        <v>7.375</v>
      </c>
    </row>
    <row r="215" spans="1:10">
      <c r="A215" s="143">
        <v>36185</v>
      </c>
      <c r="B215" s="144">
        <v>10.92</v>
      </c>
      <c r="C215" s="6">
        <v>10.38</v>
      </c>
      <c r="D215" s="6">
        <v>10.01</v>
      </c>
      <c r="E215" s="144">
        <v>7.1</v>
      </c>
      <c r="F215" s="142">
        <v>7.44</v>
      </c>
      <c r="G215" s="144">
        <f>(3.39+3.29+3.52)/3</f>
        <v>3.4</v>
      </c>
      <c r="J215" s="144">
        <f>(7.5+7.25)/2</f>
        <v>7.375</v>
      </c>
    </row>
    <row r="216" spans="1:10">
      <c r="A216" s="171" t="s">
        <v>7</v>
      </c>
      <c r="B216" s="51">
        <f t="shared" ref="B216:G216" si="0">AVERAGE(B212:B215)</f>
        <v>10.9475</v>
      </c>
      <c r="C216" s="51">
        <f t="shared" si="0"/>
        <v>10.412500000000001</v>
      </c>
      <c r="D216" s="51">
        <f t="shared" si="0"/>
        <v>10.0275</v>
      </c>
      <c r="E216" s="51">
        <f t="shared" si="0"/>
        <v>7.1325000000000003</v>
      </c>
      <c r="F216" s="172">
        <f t="shared" si="0"/>
        <v>7.44</v>
      </c>
      <c r="G216" s="51">
        <f t="shared" si="0"/>
        <v>3.3425000000000002</v>
      </c>
      <c r="J216" s="51">
        <f>AVERAGE(J212:J215)</f>
        <v>7.375</v>
      </c>
    </row>
    <row r="217" spans="1:10">
      <c r="A217" s="171"/>
      <c r="B217" s="51"/>
      <c r="C217" s="51"/>
      <c r="D217" s="51"/>
      <c r="E217" s="51"/>
      <c r="F217" s="172"/>
      <c r="G217" s="51"/>
      <c r="J217" s="51"/>
    </row>
    <row r="218" spans="1:10">
      <c r="A218" s="143">
        <v>36192</v>
      </c>
      <c r="B218" s="144">
        <v>10.92</v>
      </c>
      <c r="C218" s="6">
        <v>10.39</v>
      </c>
      <c r="D218" s="6">
        <v>10.02</v>
      </c>
      <c r="E218" s="6">
        <v>7.13</v>
      </c>
      <c r="F218" s="142">
        <v>7.41</v>
      </c>
      <c r="G218" s="144">
        <f>(3.39+3.56+3.48)/3</f>
        <v>3.4766666666666666</v>
      </c>
      <c r="J218" s="144">
        <f>(7.5+7.25)/2</f>
        <v>7.375</v>
      </c>
    </row>
    <row r="219" spans="1:10">
      <c r="A219" s="143">
        <v>36199</v>
      </c>
      <c r="B219" s="144">
        <v>10.92</v>
      </c>
      <c r="C219" s="6">
        <v>10.39</v>
      </c>
      <c r="D219" s="6">
        <v>10.02</v>
      </c>
      <c r="E219" s="6">
        <v>7.15</v>
      </c>
      <c r="F219" s="142">
        <v>7.41</v>
      </c>
      <c r="G219" s="144">
        <f>(3.39+3.38+3.35)/3</f>
        <v>3.3733333333333331</v>
      </c>
      <c r="J219" s="144">
        <f>(7.5+7.25)/2</f>
        <v>7.375</v>
      </c>
    </row>
    <row r="220" spans="1:10">
      <c r="A220" s="143">
        <v>36206</v>
      </c>
      <c r="B220" s="144">
        <v>10.91</v>
      </c>
      <c r="C220" s="6">
        <v>10.39</v>
      </c>
      <c r="D220" s="6">
        <v>10.01</v>
      </c>
      <c r="E220" s="6">
        <v>7.14</v>
      </c>
      <c r="F220" s="142">
        <v>7.41</v>
      </c>
      <c r="G220" s="144">
        <f>(3.39+3.32+3.29)/3</f>
        <v>3.3333333333333335</v>
      </c>
      <c r="J220" s="144">
        <f>(7.5+7.25)/2</f>
        <v>7.375</v>
      </c>
    </row>
    <row r="221" spans="1:10">
      <c r="A221" s="143">
        <v>36213</v>
      </c>
      <c r="B221" s="144">
        <v>10.92</v>
      </c>
      <c r="C221" s="6">
        <v>10.38</v>
      </c>
      <c r="D221" s="6">
        <v>10.01</v>
      </c>
      <c r="E221" s="6">
        <v>7.14</v>
      </c>
      <c r="F221" s="142">
        <v>7.41</v>
      </c>
      <c r="G221" s="144">
        <f>(3.26+3.25+3.24)/3</f>
        <v>3.25</v>
      </c>
      <c r="J221" s="144">
        <f>(7.5+7.25)/2</f>
        <v>7.375</v>
      </c>
    </row>
    <row r="222" spans="1:10">
      <c r="A222" s="171" t="s">
        <v>7</v>
      </c>
      <c r="B222" s="51">
        <f t="shared" ref="B222:G222" si="1">AVERAGE(B218:B221)</f>
        <v>10.9175</v>
      </c>
      <c r="C222" s="51">
        <f t="shared" si="1"/>
        <v>10.387500000000001</v>
      </c>
      <c r="D222" s="51">
        <f t="shared" si="1"/>
        <v>10.014999999999999</v>
      </c>
      <c r="E222" s="51">
        <f t="shared" si="1"/>
        <v>7.1400000000000006</v>
      </c>
      <c r="F222" s="172">
        <f t="shared" si="1"/>
        <v>7.41</v>
      </c>
      <c r="G222" s="51">
        <f t="shared" si="1"/>
        <v>3.3583333333333334</v>
      </c>
      <c r="J222" s="51">
        <f>AVERAGE(J218:J221)</f>
        <v>7.375</v>
      </c>
    </row>
    <row r="223" spans="1:10">
      <c r="A223" s="171"/>
      <c r="B223" s="51"/>
      <c r="C223" s="51"/>
      <c r="D223" s="51"/>
      <c r="E223" s="51"/>
      <c r="F223" s="172"/>
      <c r="G223" s="51"/>
      <c r="J223" s="51"/>
    </row>
    <row r="224" spans="1:10">
      <c r="A224" s="143">
        <v>36220</v>
      </c>
      <c r="B224" s="144">
        <v>10.87</v>
      </c>
      <c r="C224" s="6">
        <v>10.37</v>
      </c>
      <c r="D224" s="6">
        <v>10.01</v>
      </c>
      <c r="E224" s="6">
        <v>7.14</v>
      </c>
      <c r="F224" s="142">
        <v>7.41</v>
      </c>
      <c r="G224" s="144">
        <f>(3.32+3.37+3.35)/3</f>
        <v>3.3466666666666662</v>
      </c>
      <c r="J224" s="144">
        <f>(7.5+7.25)/2</f>
        <v>7.375</v>
      </c>
    </row>
    <row r="225" spans="1:10">
      <c r="A225" s="143">
        <v>36227</v>
      </c>
      <c r="B225" s="144">
        <v>10.86</v>
      </c>
      <c r="C225" s="144">
        <v>10.36</v>
      </c>
      <c r="D225" s="144">
        <v>10.01</v>
      </c>
      <c r="E225" s="144">
        <v>7.13</v>
      </c>
      <c r="F225" s="142">
        <v>7.41</v>
      </c>
      <c r="G225" s="144">
        <f>(3.53+3.53+3.5)/3</f>
        <v>3.5199999999999996</v>
      </c>
      <c r="J225" s="144">
        <f>(7.5+7.25)/2</f>
        <v>7.375</v>
      </c>
    </row>
    <row r="226" spans="1:10">
      <c r="A226" s="143">
        <v>36234</v>
      </c>
      <c r="B226" s="144">
        <v>10.97</v>
      </c>
      <c r="C226" s="144">
        <v>10.43</v>
      </c>
      <c r="D226" s="144">
        <v>10.08</v>
      </c>
      <c r="E226" s="144">
        <v>7.18</v>
      </c>
      <c r="F226" s="142">
        <v>7.43</v>
      </c>
      <c r="G226" s="144">
        <f>(3.63+3.63+3.58)/3</f>
        <v>3.6133333333333333</v>
      </c>
      <c r="J226" s="144">
        <f>(7.5+7.25)/2</f>
        <v>7.375</v>
      </c>
    </row>
    <row r="227" spans="1:10">
      <c r="A227" s="143">
        <v>36241</v>
      </c>
      <c r="B227" s="144">
        <v>11.21</v>
      </c>
      <c r="C227" s="144">
        <v>10.69</v>
      </c>
      <c r="D227" s="144">
        <v>10.34</v>
      </c>
      <c r="E227" s="144">
        <v>7.37</v>
      </c>
      <c r="F227" s="142">
        <v>7.43</v>
      </c>
      <c r="G227" s="144">
        <f>(3.63+3.76+3.59)/3</f>
        <v>3.66</v>
      </c>
      <c r="J227" s="144">
        <f>(7.5+7.25)/2</f>
        <v>7.375</v>
      </c>
    </row>
    <row r="228" spans="1:10">
      <c r="A228" s="143">
        <v>36248</v>
      </c>
      <c r="B228" s="144">
        <v>11.67</v>
      </c>
      <c r="C228" s="144">
        <v>10.84</v>
      </c>
      <c r="D228" s="144">
        <v>10.47</v>
      </c>
      <c r="E228" s="144">
        <v>7.48</v>
      </c>
      <c r="F228" s="142">
        <v>7.46</v>
      </c>
      <c r="G228" s="144">
        <f>(3.88+3.76+3.67)/3</f>
        <v>3.7699999999999996</v>
      </c>
      <c r="J228" s="144">
        <f>(7.5+7.25)/2</f>
        <v>7.375</v>
      </c>
    </row>
    <row r="229" spans="1:10">
      <c r="A229" s="171" t="s">
        <v>7</v>
      </c>
      <c r="B229" s="51">
        <f t="shared" ref="B229:G229" si="2">AVERAGE(B224:B228)</f>
        <v>11.116</v>
      </c>
      <c r="C229" s="51">
        <f t="shared" si="2"/>
        <v>10.538</v>
      </c>
      <c r="D229" s="51">
        <f t="shared" si="2"/>
        <v>10.181999999999999</v>
      </c>
      <c r="E229" s="51">
        <f t="shared" si="2"/>
        <v>7.26</v>
      </c>
      <c r="F229" s="172">
        <f t="shared" si="2"/>
        <v>7.4279999999999999</v>
      </c>
      <c r="G229" s="51">
        <f t="shared" si="2"/>
        <v>3.5819999999999994</v>
      </c>
      <c r="J229" s="51">
        <f>AVERAGE(J224:J228)</f>
        <v>7.375</v>
      </c>
    </row>
    <row r="230" spans="1:10">
      <c r="A230" s="171"/>
      <c r="B230" s="51"/>
      <c r="C230" s="51"/>
      <c r="D230" s="51"/>
      <c r="E230" s="51"/>
      <c r="F230" s="172"/>
      <c r="G230" s="51"/>
      <c r="J230" s="51"/>
    </row>
    <row r="231" spans="1:10">
      <c r="A231" s="143">
        <v>36255</v>
      </c>
      <c r="B231" s="144">
        <v>11.57</v>
      </c>
      <c r="C231" s="144">
        <v>11.03</v>
      </c>
      <c r="D231" s="144">
        <v>10.66</v>
      </c>
      <c r="E231" s="144">
        <v>7.63</v>
      </c>
      <c r="F231" s="142">
        <v>7.47</v>
      </c>
      <c r="G231" s="144">
        <f>(3.88+4.06+3.89)/3</f>
        <v>3.9433333333333334</v>
      </c>
      <c r="J231" s="144">
        <f>(7.5+7.25)/2</f>
        <v>7.375</v>
      </c>
    </row>
    <row r="232" spans="1:10">
      <c r="A232" s="143">
        <v>36262</v>
      </c>
      <c r="B232" s="144">
        <v>11.87</v>
      </c>
      <c r="C232" s="144">
        <v>11.3</v>
      </c>
      <c r="D232" s="144">
        <v>10.91</v>
      </c>
      <c r="E232" s="144">
        <v>7.88</v>
      </c>
      <c r="F232" s="142">
        <v>7.54</v>
      </c>
      <c r="G232" s="144">
        <f>(3.88+4.06+3.89)/3</f>
        <v>3.9433333333333334</v>
      </c>
      <c r="J232" s="144">
        <f>(7.5+7.25)/2</f>
        <v>7.375</v>
      </c>
    </row>
    <row r="233" spans="1:10">
      <c r="A233" s="143">
        <v>36269</v>
      </c>
      <c r="B233" s="144">
        <v>11.99</v>
      </c>
      <c r="C233" s="144">
        <v>11.43</v>
      </c>
      <c r="D233" s="144">
        <v>11.05</v>
      </c>
      <c r="E233" s="144">
        <v>7.97</v>
      </c>
      <c r="F233" s="142">
        <v>7.59</v>
      </c>
      <c r="G233" s="144">
        <f>(4.13+4.36+4.12)/3</f>
        <v>4.2033333333333331</v>
      </c>
      <c r="J233" s="144">
        <f>(7.5+7.25)/2</f>
        <v>7.375</v>
      </c>
    </row>
    <row r="234" spans="1:10">
      <c r="A234" s="143">
        <v>36276</v>
      </c>
      <c r="B234" s="144">
        <v>12.52</v>
      </c>
      <c r="C234" s="144">
        <v>11.88</v>
      </c>
      <c r="D234" s="144">
        <v>11.5</v>
      </c>
      <c r="E234" s="144">
        <v>8.11</v>
      </c>
      <c r="F234" s="142">
        <v>7.59</v>
      </c>
      <c r="G234" s="144">
        <f>(4.13+4.36+4.12)/3</f>
        <v>4.2033333333333331</v>
      </c>
      <c r="J234" s="144">
        <f>(7.5+7.25)/2</f>
        <v>7.375</v>
      </c>
    </row>
    <row r="235" spans="1:10">
      <c r="A235" s="171" t="s">
        <v>7</v>
      </c>
      <c r="B235" s="51">
        <f t="shared" ref="B235:G235" si="3">AVERAGE(B231:B234)</f>
        <v>11.987500000000001</v>
      </c>
      <c r="C235" s="51">
        <f t="shared" si="3"/>
        <v>11.41</v>
      </c>
      <c r="D235" s="51">
        <f t="shared" si="3"/>
        <v>11.030000000000001</v>
      </c>
      <c r="E235" s="51">
        <f t="shared" si="3"/>
        <v>7.8975</v>
      </c>
      <c r="F235" s="172">
        <f t="shared" si="3"/>
        <v>7.5475000000000003</v>
      </c>
      <c r="G235" s="51">
        <f t="shared" si="3"/>
        <v>4.0733333333333333</v>
      </c>
      <c r="J235" s="51">
        <f>AVERAGE(J231:J234)</f>
        <v>7.375</v>
      </c>
    </row>
    <row r="236" spans="1:10">
      <c r="A236" s="171"/>
      <c r="B236" s="51"/>
      <c r="C236" s="51"/>
      <c r="D236" s="51"/>
      <c r="E236" s="51"/>
      <c r="F236" s="172"/>
      <c r="G236" s="51"/>
      <c r="J236" s="51"/>
    </row>
    <row r="237" spans="1:10">
      <c r="A237" s="143">
        <v>36283</v>
      </c>
      <c r="B237" s="144">
        <v>12.52</v>
      </c>
      <c r="C237" s="6">
        <v>11.91</v>
      </c>
      <c r="D237" s="144">
        <v>11.53</v>
      </c>
      <c r="E237" s="6">
        <v>8.1300000000000008</v>
      </c>
      <c r="F237" s="142">
        <v>7.59</v>
      </c>
      <c r="G237" s="144">
        <f>(4.44+4.51+4.49)/3</f>
        <v>4.4799999999999995</v>
      </c>
      <c r="J237" s="144">
        <f>(7.5+7.25)/2</f>
        <v>7.375</v>
      </c>
    </row>
    <row r="238" spans="1:10">
      <c r="A238" s="143">
        <v>36290</v>
      </c>
      <c r="B238" s="144">
        <v>12.52</v>
      </c>
      <c r="C238" s="6">
        <v>11.92</v>
      </c>
      <c r="D238" s="6">
        <v>11.54</v>
      </c>
      <c r="E238" s="6">
        <v>8.14</v>
      </c>
      <c r="F238" s="142">
        <v>7.59</v>
      </c>
      <c r="G238" s="144">
        <f>(4.44+4.54+4.49)/3</f>
        <v>4.49</v>
      </c>
      <c r="J238" s="144">
        <f>(7.5+7.25)/2</f>
        <v>7.375</v>
      </c>
    </row>
    <row r="239" spans="1:10">
      <c r="A239" s="143">
        <v>36297</v>
      </c>
      <c r="B239" s="144">
        <v>12.52</v>
      </c>
      <c r="C239" s="6">
        <v>11.91</v>
      </c>
      <c r="D239" s="6">
        <v>11.54</v>
      </c>
      <c r="E239" s="6">
        <v>8.1300000000000008</v>
      </c>
      <c r="F239" s="142">
        <v>7.65</v>
      </c>
      <c r="G239" s="144">
        <f>(4.44+4.54+4.52)/3</f>
        <v>4.5</v>
      </c>
      <c r="J239" s="144">
        <f>(7.5+7.25)/2</f>
        <v>7.375</v>
      </c>
    </row>
    <row r="240" spans="1:10">
      <c r="A240" s="143">
        <v>36304</v>
      </c>
      <c r="B240" s="144">
        <v>12.51</v>
      </c>
      <c r="C240" s="6">
        <v>11.91</v>
      </c>
      <c r="D240" s="6">
        <v>11.53</v>
      </c>
      <c r="E240" s="6">
        <v>8.1300000000000008</v>
      </c>
      <c r="F240" s="142">
        <v>7.67</v>
      </c>
      <c r="G240" s="144">
        <f>(4.44+4.45+4.44)/3</f>
        <v>4.4433333333333342</v>
      </c>
      <c r="J240" s="144">
        <f>(7.5+7.25)/2</f>
        <v>7.375</v>
      </c>
    </row>
    <row r="241" spans="1:10">
      <c r="A241" s="143">
        <v>36311</v>
      </c>
      <c r="B241" s="144">
        <v>12.5</v>
      </c>
      <c r="C241" s="144">
        <v>11.9</v>
      </c>
      <c r="D241" s="6">
        <v>11.52</v>
      </c>
      <c r="E241" s="6">
        <v>8.1300000000000008</v>
      </c>
      <c r="F241" s="142">
        <v>7.67</v>
      </c>
      <c r="G241" s="144">
        <f>(4.44+4.27+4.26)/3</f>
        <v>4.3233333333333333</v>
      </c>
      <c r="J241" s="144">
        <f>(7.5+7.25)/2</f>
        <v>7.375</v>
      </c>
    </row>
    <row r="242" spans="1:10">
      <c r="A242" s="171" t="s">
        <v>7</v>
      </c>
      <c r="B242" s="51">
        <f t="shared" ref="B242:G242" si="4">AVERAGE(B237:B241)</f>
        <v>12.513999999999999</v>
      </c>
      <c r="C242" s="51">
        <f t="shared" si="4"/>
        <v>11.909999999999998</v>
      </c>
      <c r="D242" s="51">
        <f t="shared" si="4"/>
        <v>11.532</v>
      </c>
      <c r="E242" s="51">
        <f t="shared" si="4"/>
        <v>8.1320000000000014</v>
      </c>
      <c r="F242" s="172">
        <f t="shared" si="4"/>
        <v>7.6340000000000003</v>
      </c>
      <c r="G242" s="51">
        <f t="shared" si="4"/>
        <v>4.4473333333333338</v>
      </c>
      <c r="J242" s="51">
        <f>AVERAGE(J237:J241)</f>
        <v>7.375</v>
      </c>
    </row>
    <row r="243" spans="1:10">
      <c r="A243" s="171"/>
      <c r="B243" s="171"/>
      <c r="C243" s="51"/>
      <c r="D243" s="51"/>
      <c r="E243" s="51"/>
      <c r="F243" s="172"/>
      <c r="G243" s="51"/>
      <c r="J243" s="51"/>
    </row>
    <row r="244" spans="1:10">
      <c r="A244" s="143">
        <v>36318</v>
      </c>
      <c r="B244" s="144">
        <v>12.5</v>
      </c>
      <c r="C244" s="6">
        <v>11.89</v>
      </c>
      <c r="D244" s="6">
        <v>11.52</v>
      </c>
      <c r="E244" s="6">
        <v>8.1199999999999992</v>
      </c>
      <c r="F244" s="6">
        <v>7.67</v>
      </c>
      <c r="G244" s="144">
        <f>(4.44+4.37+4.26)/3</f>
        <v>4.3566666666666665</v>
      </c>
      <c r="J244" s="144">
        <f>(7.5+7.25)/2</f>
        <v>7.375</v>
      </c>
    </row>
    <row r="245" spans="1:10">
      <c r="A245" s="143">
        <v>36325</v>
      </c>
      <c r="B245" s="144">
        <v>12.52</v>
      </c>
      <c r="C245" s="6">
        <v>11.91</v>
      </c>
      <c r="D245" s="6">
        <v>11.52</v>
      </c>
      <c r="E245" s="6">
        <v>8.1199999999999992</v>
      </c>
      <c r="F245" s="6">
        <v>7.67</v>
      </c>
      <c r="G245" s="144">
        <f>(4.28+4.5+4.48)/3</f>
        <v>4.4200000000000008</v>
      </c>
      <c r="J245" s="144">
        <f>(7.5+7.25)/2</f>
        <v>7.375</v>
      </c>
    </row>
    <row r="246" spans="1:10">
      <c r="A246" s="143">
        <v>36332</v>
      </c>
      <c r="B246" s="144">
        <v>12.52</v>
      </c>
      <c r="C246" s="6">
        <v>11.91</v>
      </c>
      <c r="D246" s="6">
        <v>11.53</v>
      </c>
      <c r="E246" s="6">
        <v>8.11</v>
      </c>
      <c r="F246" s="6">
        <v>7.66</v>
      </c>
      <c r="G246" s="144">
        <f>(4.52+4.59+4.57)/3</f>
        <v>4.5599999999999996</v>
      </c>
      <c r="J246" s="144">
        <f>(7.5+7.25)/2</f>
        <v>7.375</v>
      </c>
    </row>
    <row r="247" spans="1:10">
      <c r="A247" s="143">
        <v>36339</v>
      </c>
      <c r="B247" s="144">
        <v>12.52</v>
      </c>
      <c r="C247" s="6">
        <v>11.93</v>
      </c>
      <c r="D247" s="6">
        <v>11.54</v>
      </c>
      <c r="E247" s="6">
        <v>8.14</v>
      </c>
      <c r="F247" s="6">
        <v>7.67</v>
      </c>
      <c r="G247" s="144">
        <f>(4.52+4.59+4.62)/3</f>
        <v>4.5766666666666671</v>
      </c>
      <c r="J247" s="144">
        <f>(7.5+7.25)/2</f>
        <v>7.375</v>
      </c>
    </row>
    <row r="248" spans="1:10">
      <c r="A248" s="171" t="s">
        <v>7</v>
      </c>
      <c r="B248" s="51">
        <f t="shared" ref="B248:G248" si="5">AVERAGE(B244:B247)</f>
        <v>12.515000000000001</v>
      </c>
      <c r="C248" s="51">
        <f t="shared" si="5"/>
        <v>11.91</v>
      </c>
      <c r="D248" s="51">
        <f t="shared" si="5"/>
        <v>11.5275</v>
      </c>
      <c r="E248" s="51">
        <f t="shared" si="5"/>
        <v>8.1224999999999987</v>
      </c>
      <c r="F248" s="51">
        <f t="shared" si="5"/>
        <v>7.6675000000000004</v>
      </c>
      <c r="G248" s="51">
        <f t="shared" si="5"/>
        <v>4.4783333333333335</v>
      </c>
      <c r="J248" s="51">
        <f>AVERAGE(J244:J247)</f>
        <v>7.375</v>
      </c>
    </row>
    <row r="249" spans="1:10">
      <c r="A249" s="171"/>
      <c r="B249" s="51"/>
      <c r="C249" s="51"/>
      <c r="D249" s="51"/>
      <c r="E249" s="51"/>
      <c r="F249" s="51"/>
      <c r="G249" s="51"/>
      <c r="J249" s="51"/>
    </row>
    <row r="250" spans="1:10">
      <c r="A250" s="143">
        <v>36346</v>
      </c>
      <c r="B250" s="144">
        <v>12.63</v>
      </c>
      <c r="C250" s="144">
        <v>11.99</v>
      </c>
      <c r="D250" s="144">
        <v>11.6</v>
      </c>
      <c r="E250" s="144">
        <v>8.1999999999999993</v>
      </c>
      <c r="F250" s="6">
        <v>7.87</v>
      </c>
      <c r="G250" s="144">
        <f>(4.52+4.6+4.59)/3</f>
        <v>4.5699999999999994</v>
      </c>
      <c r="J250" s="144">
        <f>(7.5+7.25)/2</f>
        <v>7.375</v>
      </c>
    </row>
    <row r="251" spans="1:10">
      <c r="A251" s="143">
        <v>36353</v>
      </c>
      <c r="B251" s="144">
        <v>12.82</v>
      </c>
      <c r="C251" s="144">
        <v>12.15</v>
      </c>
      <c r="D251" s="144">
        <v>11.71</v>
      </c>
      <c r="E251" s="144">
        <v>8.2899999999999991</v>
      </c>
      <c r="F251" s="6">
        <v>7.87</v>
      </c>
      <c r="G251" s="144">
        <f>(4.52+4.64+4.63)/3</f>
        <v>4.5966666666666667</v>
      </c>
      <c r="J251" s="144">
        <f>(7.5+7.25)/2</f>
        <v>7.375</v>
      </c>
    </row>
    <row r="252" spans="1:10">
      <c r="A252" s="143">
        <v>36360</v>
      </c>
      <c r="B252" s="6">
        <v>12.85</v>
      </c>
      <c r="C252" s="6">
        <v>12.22</v>
      </c>
      <c r="D252" s="6">
        <v>11.77</v>
      </c>
      <c r="E252" s="6">
        <v>8.33</v>
      </c>
      <c r="F252" s="6">
        <v>7.89</v>
      </c>
      <c r="G252" s="144">
        <f>(4.58+4.75+4.73)/3</f>
        <v>4.6866666666666665</v>
      </c>
      <c r="J252" s="144">
        <f>(7.5+7.25)/2</f>
        <v>7.375</v>
      </c>
    </row>
    <row r="253" spans="1:10">
      <c r="A253" s="143">
        <v>36367</v>
      </c>
      <c r="B253" s="6">
        <v>12.84</v>
      </c>
      <c r="C253" s="6">
        <v>12.23</v>
      </c>
      <c r="D253" s="6">
        <v>11.76</v>
      </c>
      <c r="E253" s="6">
        <v>8.31</v>
      </c>
      <c r="F253" s="6">
        <v>8.0500000000000007</v>
      </c>
      <c r="G253" s="144">
        <f>(4.58+5.01+4.99)/3</f>
        <v>4.8600000000000003</v>
      </c>
      <c r="J253" s="144">
        <f>(7.5+7.25)/2</f>
        <v>7.375</v>
      </c>
    </row>
    <row r="254" spans="1:10">
      <c r="A254" s="171" t="s">
        <v>7</v>
      </c>
      <c r="B254" s="51">
        <f t="shared" ref="B254:G254" si="6">AVERAGE(B250:B253)</f>
        <v>12.785</v>
      </c>
      <c r="C254" s="51">
        <f t="shared" si="6"/>
        <v>12.147500000000001</v>
      </c>
      <c r="D254" s="51">
        <f t="shared" si="6"/>
        <v>11.709999999999999</v>
      </c>
      <c r="E254" s="51">
        <f t="shared" si="6"/>
        <v>8.2825000000000006</v>
      </c>
      <c r="F254" s="51">
        <f t="shared" si="6"/>
        <v>7.92</v>
      </c>
      <c r="G254" s="51">
        <f t="shared" si="6"/>
        <v>4.6783333333333328</v>
      </c>
      <c r="J254" s="51">
        <f>AVERAGE(J250:J253)</f>
        <v>7.375</v>
      </c>
    </row>
    <row r="255" spans="1:10">
      <c r="A255" s="171"/>
      <c r="B255" s="51"/>
      <c r="C255" s="51"/>
      <c r="D255" s="51"/>
      <c r="E255" s="51"/>
      <c r="F255" s="51"/>
      <c r="G255" s="51"/>
      <c r="J255" s="51"/>
    </row>
    <row r="256" spans="1:10">
      <c r="A256" s="143">
        <v>36374</v>
      </c>
      <c r="B256" s="6">
        <v>12.92</v>
      </c>
      <c r="C256" s="6">
        <v>12.32</v>
      </c>
      <c r="D256" s="6">
        <v>11.84</v>
      </c>
      <c r="E256" s="6">
        <v>8.39</v>
      </c>
      <c r="F256" s="6">
        <v>8.14</v>
      </c>
      <c r="G256" s="173">
        <f>(5.08+4.87+5.06)/3</f>
        <v>5.003333333333333</v>
      </c>
      <c r="J256" s="144">
        <f>(7.5+7.25)/2</f>
        <v>7.375</v>
      </c>
    </row>
    <row r="257" spans="1:10" ht="15">
      <c r="A257" s="143">
        <v>36381</v>
      </c>
      <c r="B257" s="6">
        <v>13.21</v>
      </c>
      <c r="C257" s="6">
        <v>12.62</v>
      </c>
      <c r="D257" s="144">
        <v>12.1</v>
      </c>
      <c r="E257" s="6">
        <v>8.4499999999999993</v>
      </c>
      <c r="F257" s="6">
        <v>8.18</v>
      </c>
      <c r="G257" s="173">
        <v>5</v>
      </c>
      <c r="J257" s="174"/>
    </row>
    <row r="258" spans="1:10">
      <c r="A258" s="143">
        <v>36388</v>
      </c>
      <c r="B258" s="144">
        <v>13.3</v>
      </c>
      <c r="C258" s="6">
        <v>12.7</v>
      </c>
      <c r="D258" s="6">
        <v>12.14</v>
      </c>
      <c r="E258" s="6">
        <v>8.52</v>
      </c>
      <c r="F258" s="144">
        <v>8.18</v>
      </c>
      <c r="G258" s="173">
        <v>5.0999999999999996</v>
      </c>
    </row>
    <row r="259" spans="1:10">
      <c r="A259" s="143">
        <v>36395</v>
      </c>
      <c r="B259" s="144">
        <v>13.44</v>
      </c>
      <c r="C259" s="6">
        <v>12.85</v>
      </c>
      <c r="D259" s="6">
        <v>12.35</v>
      </c>
      <c r="E259" s="6">
        <v>8.65</v>
      </c>
      <c r="F259" s="144">
        <v>8.1999999999999993</v>
      </c>
      <c r="G259" s="173">
        <v>5.34</v>
      </c>
    </row>
    <row r="260" spans="1:10">
      <c r="A260" s="143">
        <v>36402</v>
      </c>
      <c r="B260" s="144">
        <v>13.72</v>
      </c>
      <c r="C260" s="6">
        <v>13.03</v>
      </c>
      <c r="D260" s="144">
        <v>12.5</v>
      </c>
      <c r="E260" s="6">
        <v>9.01</v>
      </c>
      <c r="F260" s="144">
        <v>8.43</v>
      </c>
      <c r="G260" s="173">
        <v>5.74</v>
      </c>
    </row>
    <row r="261" spans="1:10">
      <c r="A261" s="171" t="s">
        <v>7</v>
      </c>
      <c r="B261" s="51">
        <f t="shared" ref="B261:G261" si="7">AVERAGE(B256:B260)</f>
        <v>13.318000000000001</v>
      </c>
      <c r="C261" s="51">
        <f t="shared" si="7"/>
        <v>12.704000000000001</v>
      </c>
      <c r="D261" s="51">
        <f t="shared" si="7"/>
        <v>12.186</v>
      </c>
      <c r="E261" s="51">
        <f t="shared" si="7"/>
        <v>8.6039999999999992</v>
      </c>
      <c r="F261" s="51">
        <f t="shared" si="7"/>
        <v>8.2260000000000009</v>
      </c>
      <c r="G261" s="51">
        <f t="shared" si="7"/>
        <v>5.2366666666666672</v>
      </c>
    </row>
    <row r="262" spans="1:10">
      <c r="A262" s="171"/>
      <c r="B262" s="51"/>
      <c r="C262" s="51"/>
      <c r="D262" s="51"/>
      <c r="E262" s="51"/>
      <c r="F262" s="51"/>
      <c r="G262" s="51"/>
    </row>
    <row r="263" spans="1:10">
      <c r="A263" s="143">
        <v>36409</v>
      </c>
      <c r="B263" s="144">
        <v>13.44</v>
      </c>
      <c r="C263" s="6">
        <v>12.73</v>
      </c>
      <c r="D263" s="6">
        <v>12.01</v>
      </c>
      <c r="E263" s="6">
        <v>8.83</v>
      </c>
      <c r="F263" s="144">
        <v>8.39</v>
      </c>
      <c r="G263" s="173">
        <v>5.6</v>
      </c>
    </row>
    <row r="264" spans="1:10">
      <c r="A264" s="143">
        <v>36416</v>
      </c>
      <c r="B264" s="144">
        <v>13.44</v>
      </c>
      <c r="C264" s="6">
        <v>12.84</v>
      </c>
      <c r="D264" s="6">
        <v>12.32</v>
      </c>
      <c r="E264" s="6">
        <v>8.91</v>
      </c>
      <c r="F264" s="144">
        <v>8.39</v>
      </c>
      <c r="G264" s="173">
        <v>5.54</v>
      </c>
    </row>
    <row r="265" spans="1:10">
      <c r="A265" s="143">
        <v>36423</v>
      </c>
      <c r="B265" s="144">
        <v>13.58</v>
      </c>
      <c r="C265" s="6">
        <v>13.02</v>
      </c>
      <c r="D265" s="6">
        <v>12.45</v>
      </c>
      <c r="E265" s="6">
        <v>9.01</v>
      </c>
      <c r="F265" s="144">
        <v>8.39</v>
      </c>
      <c r="G265" s="173">
        <v>5.81</v>
      </c>
    </row>
    <row r="266" spans="1:10">
      <c r="A266" s="143">
        <v>36430</v>
      </c>
      <c r="B266" s="144">
        <v>13.78</v>
      </c>
      <c r="C266" s="144">
        <v>13.2</v>
      </c>
      <c r="D266" s="6">
        <v>12.58</v>
      </c>
      <c r="E266" s="6">
        <v>9.1300000000000008</v>
      </c>
      <c r="F266" s="144">
        <v>8.44</v>
      </c>
      <c r="G266" s="173">
        <v>5.87</v>
      </c>
    </row>
    <row r="267" spans="1:10">
      <c r="A267" s="171" t="s">
        <v>7</v>
      </c>
      <c r="B267" s="51">
        <f t="shared" ref="B267:G267" si="8">AVERAGE(B263:B266)</f>
        <v>13.56</v>
      </c>
      <c r="C267" s="51">
        <f t="shared" si="8"/>
        <v>12.947500000000002</v>
      </c>
      <c r="D267" s="51">
        <f t="shared" si="8"/>
        <v>12.34</v>
      </c>
      <c r="E267" s="51">
        <f t="shared" si="8"/>
        <v>8.9700000000000006</v>
      </c>
      <c r="F267" s="51">
        <f t="shared" si="8"/>
        <v>8.4024999999999999</v>
      </c>
      <c r="G267" s="51">
        <f t="shared" si="8"/>
        <v>5.7050000000000001</v>
      </c>
    </row>
    <row r="268" spans="1:10">
      <c r="A268" s="171"/>
      <c r="B268" s="51"/>
      <c r="C268" s="51"/>
      <c r="D268" s="51"/>
      <c r="E268" s="51"/>
      <c r="F268" s="51"/>
      <c r="G268" s="51"/>
    </row>
    <row r="269" spans="1:10">
      <c r="A269" s="143">
        <v>36437</v>
      </c>
      <c r="B269" s="144">
        <v>14.04</v>
      </c>
      <c r="C269" s="6">
        <v>13.46</v>
      </c>
      <c r="D269" s="6">
        <v>12.76</v>
      </c>
      <c r="E269" s="6">
        <v>9.2899999999999991</v>
      </c>
      <c r="F269" s="21">
        <v>9.0299999999999994</v>
      </c>
      <c r="G269" s="173">
        <v>5.9</v>
      </c>
    </row>
    <row r="270" spans="1:10">
      <c r="A270" s="143">
        <v>36444</v>
      </c>
      <c r="B270" s="144">
        <v>14.16</v>
      </c>
      <c r="C270" s="6">
        <v>13.59</v>
      </c>
      <c r="D270" s="6">
        <v>12.86</v>
      </c>
      <c r="E270" s="6">
        <v>9.35</v>
      </c>
      <c r="F270" s="21">
        <v>9.11</v>
      </c>
      <c r="G270" s="173">
        <v>5.89</v>
      </c>
    </row>
    <row r="271" spans="1:10">
      <c r="A271" s="143">
        <v>36451</v>
      </c>
      <c r="B271" s="144">
        <v>14.26</v>
      </c>
      <c r="C271" s="6">
        <v>13.67</v>
      </c>
      <c r="D271" s="6">
        <v>12.93</v>
      </c>
      <c r="E271" s="144">
        <v>9.4</v>
      </c>
      <c r="F271" s="21">
        <v>9.24</v>
      </c>
      <c r="G271" s="173">
        <v>5.9161000000000001</v>
      </c>
    </row>
    <row r="272" spans="1:10">
      <c r="A272" s="143">
        <v>36458</v>
      </c>
      <c r="B272" s="144">
        <v>14.25</v>
      </c>
      <c r="C272" s="6">
        <v>13.69</v>
      </c>
      <c r="D272" s="6">
        <v>12.94</v>
      </c>
      <c r="E272" s="6">
        <v>9.41</v>
      </c>
      <c r="F272" s="21">
        <v>9.24</v>
      </c>
      <c r="G272" s="173">
        <v>5.77</v>
      </c>
    </row>
    <row r="273" spans="1:7">
      <c r="A273" s="171" t="s">
        <v>7</v>
      </c>
      <c r="B273" s="51">
        <f t="shared" ref="B273:G273" si="9">AVERAGE(B269:B272)</f>
        <v>14.1775</v>
      </c>
      <c r="C273" s="51">
        <f t="shared" si="9"/>
        <v>13.602499999999999</v>
      </c>
      <c r="D273" s="51">
        <f t="shared" si="9"/>
        <v>12.872499999999999</v>
      </c>
      <c r="E273" s="51">
        <f t="shared" si="9"/>
        <v>9.3625000000000007</v>
      </c>
      <c r="F273" s="51">
        <f t="shared" si="9"/>
        <v>9.1550000000000011</v>
      </c>
      <c r="G273" s="51">
        <f t="shared" si="9"/>
        <v>5.8690249999999997</v>
      </c>
    </row>
    <row r="274" spans="1:7">
      <c r="A274" s="171"/>
      <c r="B274" s="51"/>
      <c r="C274" s="51"/>
      <c r="D274" s="51"/>
      <c r="E274" s="51"/>
      <c r="F274" s="51"/>
      <c r="G274" s="51"/>
    </row>
    <row r="275" spans="1:7">
      <c r="A275" s="143">
        <v>36466</v>
      </c>
      <c r="B275" s="144">
        <v>14.24</v>
      </c>
      <c r="C275" s="6">
        <v>13.69</v>
      </c>
      <c r="D275" s="6">
        <v>12.94</v>
      </c>
      <c r="E275" s="6">
        <v>9.41</v>
      </c>
      <c r="F275" s="21">
        <v>9.24</v>
      </c>
      <c r="G275" s="173">
        <v>5.78</v>
      </c>
    </row>
    <row r="276" spans="1:7">
      <c r="A276" s="143">
        <v>36473</v>
      </c>
      <c r="B276" s="144">
        <v>14.11</v>
      </c>
      <c r="C276" s="6">
        <v>13.53</v>
      </c>
      <c r="D276" s="6">
        <v>12.88</v>
      </c>
      <c r="E276" s="6">
        <v>9.39</v>
      </c>
      <c r="F276" s="21">
        <v>9.24</v>
      </c>
      <c r="G276" s="173">
        <v>5.78</v>
      </c>
    </row>
    <row r="277" spans="1:7">
      <c r="A277" s="143">
        <v>36479</v>
      </c>
      <c r="B277" s="144">
        <v>13.97</v>
      </c>
      <c r="C277" s="6">
        <v>13.39</v>
      </c>
      <c r="D277" s="6">
        <v>12.82</v>
      </c>
      <c r="E277" s="6">
        <v>9.39</v>
      </c>
      <c r="F277" s="21">
        <v>9.24</v>
      </c>
      <c r="G277" s="173">
        <v>5.66</v>
      </c>
    </row>
    <row r="278" spans="1:7">
      <c r="A278" s="143">
        <v>36486</v>
      </c>
      <c r="B278" s="144">
        <v>13.97</v>
      </c>
      <c r="C278" s="6">
        <v>13.38</v>
      </c>
      <c r="D278" s="6">
        <v>12.82</v>
      </c>
      <c r="E278" s="6">
        <v>9.43</v>
      </c>
      <c r="F278" s="21">
        <v>9.31</v>
      </c>
      <c r="G278" s="173">
        <v>5.7</v>
      </c>
    </row>
    <row r="279" spans="1:7">
      <c r="A279" s="143">
        <v>36493</v>
      </c>
      <c r="B279" s="144">
        <v>14.12</v>
      </c>
      <c r="C279" s="6">
        <v>13.58</v>
      </c>
      <c r="D279" s="6">
        <v>12.99</v>
      </c>
      <c r="E279" s="6">
        <v>9.6</v>
      </c>
      <c r="F279" s="21">
        <v>9.39</v>
      </c>
      <c r="G279" s="173">
        <v>5.8585000000000003</v>
      </c>
    </row>
    <row r="280" spans="1:7">
      <c r="A280" s="171" t="s">
        <v>7</v>
      </c>
      <c r="B280" s="51">
        <f t="shared" ref="B280:G280" si="10">AVERAGE(B275:B279)</f>
        <v>14.081999999999999</v>
      </c>
      <c r="C280" s="51">
        <f t="shared" si="10"/>
        <v>13.514000000000001</v>
      </c>
      <c r="D280" s="51">
        <f t="shared" si="10"/>
        <v>12.89</v>
      </c>
      <c r="E280" s="51">
        <f t="shared" si="10"/>
        <v>9.4440000000000008</v>
      </c>
      <c r="F280" s="51">
        <f t="shared" si="10"/>
        <v>9.2840000000000007</v>
      </c>
      <c r="G280" s="51">
        <f t="shared" si="10"/>
        <v>5.7556999999999992</v>
      </c>
    </row>
    <row r="281" spans="1:7">
      <c r="A281" s="171"/>
      <c r="B281" s="51"/>
      <c r="C281" s="51"/>
      <c r="D281" s="51"/>
      <c r="E281" s="51"/>
      <c r="F281" s="51"/>
      <c r="G281" s="51"/>
    </row>
    <row r="282" spans="1:7">
      <c r="A282" s="143">
        <v>36500</v>
      </c>
      <c r="B282" s="144">
        <v>14.5</v>
      </c>
      <c r="C282" s="6">
        <v>13.99</v>
      </c>
      <c r="D282" s="6">
        <v>13.39</v>
      </c>
      <c r="E282" s="6">
        <v>9.9499999999999993</v>
      </c>
      <c r="F282" s="21">
        <v>9.5500000000000007</v>
      </c>
      <c r="G282" s="173">
        <v>5.95</v>
      </c>
    </row>
    <row r="283" spans="1:7">
      <c r="A283" s="143">
        <v>36507</v>
      </c>
      <c r="B283" s="144">
        <v>14.7</v>
      </c>
      <c r="C283" s="6">
        <v>14.21</v>
      </c>
      <c r="D283" s="6">
        <v>13.59</v>
      </c>
      <c r="E283" s="6">
        <v>10.14</v>
      </c>
      <c r="F283" s="21">
        <v>9.59</v>
      </c>
      <c r="G283" s="173">
        <v>5.89</v>
      </c>
    </row>
    <row r="284" spans="1:7">
      <c r="A284" s="143">
        <v>36514</v>
      </c>
      <c r="B284" s="144">
        <v>14.69</v>
      </c>
      <c r="C284" s="144">
        <v>14.2</v>
      </c>
      <c r="D284" s="144">
        <v>13.6</v>
      </c>
      <c r="E284" s="144">
        <v>10.15</v>
      </c>
      <c r="F284" s="21">
        <v>9.59</v>
      </c>
      <c r="G284" s="173">
        <v>5.79</v>
      </c>
    </row>
    <row r="285" spans="1:7">
      <c r="A285" s="143">
        <v>36521</v>
      </c>
      <c r="B285" s="144">
        <v>14.63</v>
      </c>
      <c r="C285" s="6">
        <v>14.12</v>
      </c>
      <c r="D285" s="6">
        <v>13.55</v>
      </c>
      <c r="E285" s="6">
        <v>10.15</v>
      </c>
      <c r="F285" s="21">
        <v>9.59</v>
      </c>
      <c r="G285" s="173">
        <v>5.6</v>
      </c>
    </row>
    <row r="286" spans="1:7">
      <c r="A286" s="171" t="s">
        <v>7</v>
      </c>
      <c r="B286" s="51">
        <f t="shared" ref="B286:G286" si="11">AVERAGE(B282:B285)</f>
        <v>14.63</v>
      </c>
      <c r="C286" s="51">
        <f t="shared" si="11"/>
        <v>14.13</v>
      </c>
      <c r="D286" s="51">
        <f t="shared" si="11"/>
        <v>13.532499999999999</v>
      </c>
      <c r="E286" s="51">
        <f t="shared" si="11"/>
        <v>10.0975</v>
      </c>
      <c r="F286" s="51">
        <f t="shared" si="11"/>
        <v>9.58</v>
      </c>
      <c r="G286" s="51">
        <f t="shared" si="11"/>
        <v>5.8074999999999992</v>
      </c>
    </row>
    <row r="287" spans="1:7">
      <c r="A287" s="171"/>
      <c r="B287" s="51"/>
      <c r="C287" s="51"/>
      <c r="D287" s="51"/>
      <c r="E287" s="51"/>
      <c r="F287" s="51"/>
      <c r="G287" s="51"/>
    </row>
    <row r="288" spans="1:7">
      <c r="A288" s="171"/>
      <c r="B288" s="51">
        <f>AVERAGE(+B216,B222,B229,B235,B242,B248,B254:C254,B254,B254,B254,B254,C254,B261,B267,B273,B280,B286)</f>
        <v>12.665833333333333</v>
      </c>
      <c r="C288" s="51">
        <f>AVERAGE(+C216,C222,C229,C235,C242,C248,C254:D254,C254,C254,C254,C254,D254,C261,C267,C273,C280,C286)</f>
        <v>12.090194444444444</v>
      </c>
      <c r="D288" s="51">
        <f>AVERAGE(+D216,D222,D229,D235,D242,D248,D254:E254,D254,D254,D254,D254,E254,D261,D267,D273,D280,D286)</f>
        <v>11.291666666666664</v>
      </c>
      <c r="E288" s="51">
        <f>AVERAGE(+E216,E222,E229,E235,E242,E248,E254:F254,E254,E254,E254,E254,F254,E261,E267,E273,E280,E286)</f>
        <v>8.3008333333333333</v>
      </c>
      <c r="F288" s="51">
        <f>AVERAGE(+F216,F222,F229,F235,F242,F248,F254:G254,F254,F254,F254,F254,G254,F261,F267,F273,F280,F286)</f>
        <v>7.7072870370370383</v>
      </c>
      <c r="G288" s="51">
        <f>AVERAGE(+G216,G222,G229,G235,G242,G248,G254:J254,G254,G254,G254,G254,J254,G261,G267,G273,G280,G286)</f>
        <v>4.9887439814814813</v>
      </c>
    </row>
    <row r="289" spans="1:9" ht="18.75" customHeight="1">
      <c r="A289" s="1684" t="s">
        <v>142</v>
      </c>
      <c r="B289" s="1684"/>
      <c r="C289" s="1684"/>
      <c r="D289" s="1684"/>
      <c r="E289" s="1684"/>
      <c r="F289" s="1684"/>
      <c r="G289" s="175"/>
    </row>
    <row r="290" spans="1:9">
      <c r="A290" s="1685" t="s">
        <v>143</v>
      </c>
      <c r="B290" s="1685"/>
      <c r="C290" s="1685"/>
      <c r="D290" s="1685"/>
      <c r="E290" s="1685"/>
      <c r="F290" s="1685"/>
      <c r="G290" s="175"/>
    </row>
    <row r="291" spans="1:9">
      <c r="A291" s="1686" t="s">
        <v>144</v>
      </c>
      <c r="B291" s="1686"/>
      <c r="C291" s="1686"/>
      <c r="D291" s="1686"/>
      <c r="E291" s="1686"/>
      <c r="F291" s="1686"/>
      <c r="G291" s="175"/>
    </row>
    <row r="292" spans="1:9">
      <c r="A292" s="176"/>
      <c r="B292" s="176"/>
      <c r="G292" s="175"/>
    </row>
    <row r="293" spans="1:9">
      <c r="A293" s="177" t="s">
        <v>1</v>
      </c>
      <c r="B293" s="23" t="s">
        <v>139</v>
      </c>
      <c r="C293" s="23" t="s">
        <v>140</v>
      </c>
      <c r="D293" s="23" t="s">
        <v>5</v>
      </c>
      <c r="E293" s="23" t="s">
        <v>6</v>
      </c>
      <c r="F293" s="178" t="s">
        <v>57</v>
      </c>
      <c r="G293" s="178" t="s">
        <v>58</v>
      </c>
      <c r="H293" s="178" t="s">
        <v>145</v>
      </c>
      <c r="I293" s="178" t="s">
        <v>61</v>
      </c>
    </row>
    <row r="294" spans="1:9">
      <c r="A294" s="177"/>
      <c r="B294" s="179" t="s">
        <v>146</v>
      </c>
      <c r="C294" s="179" t="s">
        <v>146</v>
      </c>
      <c r="D294" s="179" t="s">
        <v>146</v>
      </c>
      <c r="E294" s="179" t="s">
        <v>146</v>
      </c>
      <c r="F294" s="124" t="s">
        <v>141</v>
      </c>
      <c r="G294" s="180" t="s">
        <v>141</v>
      </c>
      <c r="H294" s="179" t="s">
        <v>146</v>
      </c>
      <c r="I294" s="179" t="s">
        <v>146</v>
      </c>
    </row>
    <row r="295" spans="1:9">
      <c r="A295" s="181">
        <v>36528</v>
      </c>
      <c r="B295" s="182">
        <v>14.44</v>
      </c>
      <c r="C295" s="183">
        <v>14.05</v>
      </c>
      <c r="D295" s="183">
        <v>13.49</v>
      </c>
      <c r="E295" s="183">
        <v>10.14</v>
      </c>
      <c r="F295" s="184">
        <v>9.59</v>
      </c>
      <c r="G295" s="185">
        <v>5.63</v>
      </c>
      <c r="I295" s="184">
        <v>8.61</v>
      </c>
    </row>
    <row r="296" spans="1:9">
      <c r="A296" s="181">
        <v>36535</v>
      </c>
      <c r="B296" s="182">
        <v>14.36</v>
      </c>
      <c r="C296" s="183">
        <v>13.89</v>
      </c>
      <c r="D296" s="183">
        <v>13.35</v>
      </c>
      <c r="E296" s="183">
        <v>10.11</v>
      </c>
      <c r="F296" s="184">
        <v>9.9499999999999993</v>
      </c>
      <c r="G296" s="185">
        <v>5.63</v>
      </c>
      <c r="I296" s="184">
        <v>8.61</v>
      </c>
    </row>
    <row r="297" spans="1:9">
      <c r="A297" s="181">
        <v>36542</v>
      </c>
      <c r="B297" s="182">
        <v>14.37</v>
      </c>
      <c r="C297" s="183">
        <v>13.89</v>
      </c>
      <c r="D297" s="183">
        <v>13.35</v>
      </c>
      <c r="E297" s="183">
        <v>10.15</v>
      </c>
      <c r="F297" s="184">
        <v>10.039999999999999</v>
      </c>
      <c r="G297" s="185">
        <v>5.77</v>
      </c>
      <c r="I297" s="184">
        <v>8.61</v>
      </c>
    </row>
    <row r="298" spans="1:9">
      <c r="A298" s="181">
        <v>36549</v>
      </c>
      <c r="B298" s="182">
        <v>14.53</v>
      </c>
      <c r="C298" s="183">
        <v>14.13</v>
      </c>
      <c r="D298" s="183">
        <v>13.58</v>
      </c>
      <c r="E298" s="183">
        <v>10.39</v>
      </c>
      <c r="F298" s="184">
        <v>10.18</v>
      </c>
      <c r="G298" s="185">
        <v>5.74</v>
      </c>
      <c r="I298" s="184">
        <v>8.61</v>
      </c>
    </row>
    <row r="299" spans="1:9">
      <c r="A299" s="181">
        <v>36556</v>
      </c>
      <c r="B299" s="182">
        <v>14.85</v>
      </c>
      <c r="C299" s="183">
        <v>14.41</v>
      </c>
      <c r="D299" s="183">
        <v>13.85</v>
      </c>
      <c r="E299" s="183">
        <v>10.63</v>
      </c>
      <c r="F299" s="184">
        <v>10.27</v>
      </c>
      <c r="G299" s="185">
        <v>6.04</v>
      </c>
      <c r="I299" s="184">
        <v>8.61</v>
      </c>
    </row>
    <row r="300" spans="1:9">
      <c r="A300" s="186" t="s">
        <v>7</v>
      </c>
      <c r="B300" s="126">
        <f t="shared" ref="B300:I300" si="12">AVERAGE(B295:B299)</f>
        <v>14.51</v>
      </c>
      <c r="C300" s="126">
        <f t="shared" si="12"/>
        <v>14.074000000000002</v>
      </c>
      <c r="D300" s="126">
        <f t="shared" si="12"/>
        <v>13.523999999999997</v>
      </c>
      <c r="E300" s="126">
        <f t="shared" si="12"/>
        <v>10.284000000000001</v>
      </c>
      <c r="F300" s="126">
        <f t="shared" si="12"/>
        <v>10.006</v>
      </c>
      <c r="G300" s="126">
        <f t="shared" si="12"/>
        <v>5.7620000000000005</v>
      </c>
      <c r="H300" s="126" t="e">
        <f t="shared" si="12"/>
        <v>#DIV/0!</v>
      </c>
      <c r="I300" s="126">
        <f t="shared" si="12"/>
        <v>8.61</v>
      </c>
    </row>
    <row r="301" spans="1:9">
      <c r="A301" s="187"/>
      <c r="B301" s="188"/>
      <c r="C301" s="187"/>
      <c r="D301" s="187"/>
      <c r="E301" s="187"/>
      <c r="G301" s="175"/>
      <c r="H301"/>
      <c r="I301" s="189"/>
    </row>
    <row r="302" spans="1:9">
      <c r="A302" s="143">
        <v>36563</v>
      </c>
      <c r="B302" s="144">
        <v>14.85</v>
      </c>
      <c r="C302" s="6">
        <v>14.52</v>
      </c>
      <c r="D302" s="6">
        <v>13.97</v>
      </c>
      <c r="E302" s="6">
        <v>10.73</v>
      </c>
      <c r="F302" s="21">
        <v>10.51</v>
      </c>
      <c r="G302" s="175"/>
      <c r="H302"/>
      <c r="I302" s="189">
        <v>10.19</v>
      </c>
    </row>
    <row r="303" spans="1:9">
      <c r="A303" s="143">
        <v>36570</v>
      </c>
      <c r="B303" s="144">
        <v>14.8</v>
      </c>
      <c r="C303" s="6">
        <v>14.36</v>
      </c>
      <c r="D303" s="6">
        <v>13.8</v>
      </c>
      <c r="E303" s="6">
        <v>10.61</v>
      </c>
      <c r="F303" s="21">
        <v>10.61</v>
      </c>
      <c r="G303" s="175"/>
      <c r="H303"/>
      <c r="I303" s="189">
        <v>10.19</v>
      </c>
    </row>
    <row r="304" spans="1:9">
      <c r="A304" s="143">
        <v>36577</v>
      </c>
      <c r="B304" s="144">
        <v>14.8</v>
      </c>
      <c r="C304" s="6">
        <v>14.35</v>
      </c>
      <c r="D304" s="6">
        <v>13.83</v>
      </c>
      <c r="E304" s="6">
        <v>10.64</v>
      </c>
      <c r="F304" s="21">
        <v>10.8</v>
      </c>
      <c r="G304" s="175"/>
      <c r="H304"/>
      <c r="I304" s="189">
        <v>10.19</v>
      </c>
    </row>
    <row r="305" spans="1:9">
      <c r="A305" s="143">
        <v>36584</v>
      </c>
      <c r="B305" s="144">
        <v>14.86</v>
      </c>
      <c r="C305" s="6">
        <v>14.43</v>
      </c>
      <c r="D305" s="6">
        <v>13.93</v>
      </c>
      <c r="E305" s="6">
        <v>10.65</v>
      </c>
      <c r="F305" s="21">
        <v>11.01</v>
      </c>
      <c r="G305" s="175"/>
      <c r="H305"/>
      <c r="I305" s="189">
        <v>10.19</v>
      </c>
    </row>
    <row r="306" spans="1:9">
      <c r="A306" s="171" t="s">
        <v>7</v>
      </c>
      <c r="B306" s="51">
        <f>AVERAGE(B302:B305)</f>
        <v>14.827500000000001</v>
      </c>
      <c r="C306" s="51">
        <f>AVERAGE(C302:C305)</f>
        <v>14.414999999999999</v>
      </c>
      <c r="D306" s="51">
        <f>AVERAGE(D302:D305)</f>
        <v>13.8825</v>
      </c>
      <c r="E306" s="51">
        <f>AVERAGE(E302:E305)</f>
        <v>10.657500000000001</v>
      </c>
      <c r="F306" s="51">
        <f>AVERAGE(F302:F305)</f>
        <v>10.7325</v>
      </c>
      <c r="G306" s="51" t="e">
        <f>AVERAGE(G301:G305)</f>
        <v>#DIV/0!</v>
      </c>
      <c r="H306" s="51" t="e">
        <f>AVERAGE(H301:H305)</f>
        <v>#DIV/0!</v>
      </c>
      <c r="I306" s="51">
        <f>AVERAGE(I301:I305)</f>
        <v>10.19</v>
      </c>
    </row>
    <row r="307" spans="1:9">
      <c r="A307" s="187"/>
      <c r="B307" s="188"/>
      <c r="C307" s="187"/>
      <c r="D307" s="187"/>
      <c r="E307" s="187"/>
      <c r="G307" s="175"/>
      <c r="H307"/>
      <c r="I307" s="189"/>
    </row>
    <row r="308" spans="1:9">
      <c r="A308" s="143">
        <v>36591</v>
      </c>
      <c r="B308" s="144">
        <v>14.87</v>
      </c>
      <c r="C308" s="6">
        <v>14.46</v>
      </c>
      <c r="D308" s="6">
        <v>13.98</v>
      </c>
      <c r="E308" s="6">
        <v>10.68</v>
      </c>
      <c r="F308" s="189">
        <v>11.04</v>
      </c>
      <c r="G308" s="175"/>
      <c r="H308"/>
      <c r="I308" s="189">
        <v>10.42</v>
      </c>
    </row>
    <row r="309" spans="1:9">
      <c r="A309" s="143">
        <v>36598</v>
      </c>
      <c r="B309" s="144">
        <v>15.27</v>
      </c>
      <c r="C309" s="6">
        <v>14.84</v>
      </c>
      <c r="D309" s="6">
        <v>14.41</v>
      </c>
      <c r="E309" s="144">
        <v>10.8</v>
      </c>
      <c r="F309" s="189">
        <v>11.11</v>
      </c>
      <c r="G309" s="175"/>
      <c r="H309"/>
      <c r="I309" s="189">
        <v>10.42</v>
      </c>
    </row>
    <row r="310" spans="1:9">
      <c r="A310" s="143">
        <v>36605</v>
      </c>
      <c r="B310" s="144">
        <v>15.45</v>
      </c>
      <c r="C310" s="6">
        <v>14.98</v>
      </c>
      <c r="D310" s="6">
        <v>14.58</v>
      </c>
      <c r="E310" s="6">
        <v>10.87</v>
      </c>
      <c r="F310" s="189">
        <v>11.11</v>
      </c>
      <c r="G310" s="175"/>
      <c r="H310"/>
      <c r="I310" s="189">
        <v>10.42</v>
      </c>
    </row>
    <row r="311" spans="1:9">
      <c r="A311" s="143">
        <v>36612</v>
      </c>
      <c r="B311" s="144">
        <v>15.41</v>
      </c>
      <c r="C311" s="6">
        <v>14.98</v>
      </c>
      <c r="D311" s="6">
        <v>14.58</v>
      </c>
      <c r="E311" s="6">
        <v>10.83</v>
      </c>
      <c r="F311" s="189">
        <v>11.11</v>
      </c>
      <c r="G311" s="175"/>
      <c r="H311"/>
      <c r="I311" s="189">
        <v>10.42</v>
      </c>
    </row>
    <row r="312" spans="1:9">
      <c r="A312" s="171" t="s">
        <v>7</v>
      </c>
      <c r="B312" s="51">
        <f>AVERAGE(B308:B311)</f>
        <v>15.25</v>
      </c>
      <c r="C312" s="51">
        <f>AVERAGE(C308:C311)</f>
        <v>14.815000000000001</v>
      </c>
      <c r="D312" s="51">
        <f>AVERAGE(D308:D311)</f>
        <v>14.387499999999999</v>
      </c>
      <c r="E312" s="51">
        <f>AVERAGE(E308:E311)</f>
        <v>10.795</v>
      </c>
      <c r="F312" s="51">
        <f>AVERAGE(F308:F311)</f>
        <v>11.092499999999999</v>
      </c>
      <c r="G312" s="51" t="e">
        <f>AVERAGE(G307:G311)</f>
        <v>#DIV/0!</v>
      </c>
      <c r="H312" s="51" t="e">
        <f>AVERAGE(H307:H311)</f>
        <v>#DIV/0!</v>
      </c>
      <c r="I312" s="51">
        <f>AVERAGE(I307:I311)</f>
        <v>10.42</v>
      </c>
    </row>
    <row r="313" spans="1:9">
      <c r="A313" s="187"/>
      <c r="B313" s="188"/>
      <c r="C313" s="187"/>
      <c r="D313" s="187"/>
      <c r="E313" s="187"/>
      <c r="G313" s="175"/>
      <c r="H313"/>
      <c r="I313" s="189"/>
    </row>
    <row r="314" spans="1:9">
      <c r="A314" s="143">
        <v>36619</v>
      </c>
      <c r="B314" s="144">
        <v>15.31</v>
      </c>
      <c r="C314" s="6">
        <v>14.83</v>
      </c>
      <c r="D314" s="6">
        <v>14.43</v>
      </c>
      <c r="E314" s="6">
        <v>10.62</v>
      </c>
      <c r="F314" s="189">
        <v>11.11</v>
      </c>
      <c r="G314" s="175"/>
      <c r="H314"/>
      <c r="I314" s="189">
        <v>9.9700000000000006</v>
      </c>
    </row>
    <row r="315" spans="1:9">
      <c r="A315" s="143">
        <v>36626</v>
      </c>
      <c r="B315" s="144">
        <v>15.2</v>
      </c>
      <c r="C315" s="6">
        <v>14.69</v>
      </c>
      <c r="D315" s="6">
        <v>14.25</v>
      </c>
      <c r="E315" s="6">
        <v>10.51</v>
      </c>
      <c r="F315" s="189">
        <v>11.11</v>
      </c>
      <c r="G315" s="175"/>
      <c r="H315"/>
      <c r="I315" s="189">
        <v>9.9700000000000006</v>
      </c>
    </row>
    <row r="316" spans="1:9">
      <c r="A316" s="143">
        <v>36633</v>
      </c>
      <c r="B316" s="144">
        <v>14.88</v>
      </c>
      <c r="C316" s="6">
        <v>14.38</v>
      </c>
      <c r="D316" s="6">
        <v>13.86</v>
      </c>
      <c r="E316" s="6">
        <v>10.31</v>
      </c>
      <c r="F316" s="189">
        <v>11.11</v>
      </c>
      <c r="G316" s="175"/>
      <c r="H316"/>
      <c r="I316" s="189">
        <v>9.9700000000000006</v>
      </c>
    </row>
    <row r="317" spans="1:9">
      <c r="A317" s="143">
        <v>36640</v>
      </c>
      <c r="B317" s="144">
        <v>14.85</v>
      </c>
      <c r="C317" s="6">
        <v>14.35</v>
      </c>
      <c r="D317" s="6">
        <v>13.82</v>
      </c>
      <c r="E317" s="6">
        <v>10.29</v>
      </c>
      <c r="F317" s="189">
        <v>11.01</v>
      </c>
      <c r="G317" s="175"/>
      <c r="H317"/>
      <c r="I317" s="189">
        <v>9.9700000000000006</v>
      </c>
    </row>
    <row r="318" spans="1:9">
      <c r="A318" s="171" t="s">
        <v>7</v>
      </c>
      <c r="B318" s="51">
        <f>AVERAGE(B314:B317)</f>
        <v>15.06</v>
      </c>
      <c r="C318" s="51">
        <f>AVERAGE(C314:C317)</f>
        <v>14.5625</v>
      </c>
      <c r="D318" s="51">
        <f>AVERAGE(D314:D317)</f>
        <v>14.09</v>
      </c>
      <c r="E318" s="51">
        <f>AVERAGE(E314:E317)</f>
        <v>10.432499999999999</v>
      </c>
      <c r="F318" s="51">
        <f>AVERAGE(F314:F317)</f>
        <v>11.084999999999999</v>
      </c>
      <c r="G318" s="51" t="e">
        <f>AVERAGE(G313:G317)</f>
        <v>#DIV/0!</v>
      </c>
      <c r="H318" s="51" t="e">
        <f>AVERAGE(H313:H317)</f>
        <v>#DIV/0!</v>
      </c>
      <c r="I318" s="51">
        <f>AVERAGE(I313:I317)</f>
        <v>9.9700000000000006</v>
      </c>
    </row>
    <row r="319" spans="1:9">
      <c r="A319" s="187"/>
      <c r="B319" s="188"/>
      <c r="C319" s="187"/>
      <c r="D319" s="187"/>
      <c r="E319" s="187"/>
      <c r="G319" s="175"/>
      <c r="H319"/>
      <c r="I319" s="189"/>
    </row>
    <row r="320" spans="1:9">
      <c r="A320" s="143">
        <v>36648</v>
      </c>
      <c r="B320" s="144">
        <v>14.82</v>
      </c>
      <c r="C320" s="6">
        <v>14.34</v>
      </c>
      <c r="D320" s="6">
        <v>13.79</v>
      </c>
      <c r="E320" s="6">
        <v>10.28</v>
      </c>
      <c r="F320" s="189">
        <v>11.01</v>
      </c>
      <c r="G320" s="175"/>
      <c r="H320"/>
      <c r="I320" s="189">
        <v>10.8</v>
      </c>
    </row>
    <row r="321" spans="1:9">
      <c r="A321" s="143">
        <v>36654</v>
      </c>
      <c r="B321" s="144">
        <v>14.74</v>
      </c>
      <c r="C321" s="6">
        <v>14.28</v>
      </c>
      <c r="D321" s="6">
        <v>13.69</v>
      </c>
      <c r="E321" s="6">
        <v>10.27</v>
      </c>
      <c r="F321" s="189">
        <v>11.01</v>
      </c>
      <c r="G321" s="175"/>
      <c r="H321"/>
      <c r="I321" s="189">
        <v>10.8</v>
      </c>
    </row>
    <row r="322" spans="1:9">
      <c r="A322" s="143">
        <v>36661</v>
      </c>
      <c r="B322" s="144">
        <v>15.75</v>
      </c>
      <c r="C322" s="6">
        <v>15.21</v>
      </c>
      <c r="D322" s="6">
        <v>14.56</v>
      </c>
      <c r="E322" s="6">
        <v>10.23</v>
      </c>
      <c r="F322" s="189">
        <v>11.01</v>
      </c>
      <c r="G322" s="175"/>
      <c r="H322"/>
      <c r="I322" s="189">
        <v>10.8</v>
      </c>
    </row>
    <row r="323" spans="1:9">
      <c r="A323" s="143">
        <v>36668</v>
      </c>
      <c r="B323" s="144">
        <v>15.89</v>
      </c>
      <c r="C323" s="6">
        <v>15.47</v>
      </c>
      <c r="D323" s="6">
        <v>14.86</v>
      </c>
      <c r="E323" s="6">
        <v>10.26</v>
      </c>
      <c r="F323" s="189">
        <v>11.01</v>
      </c>
      <c r="G323" s="175"/>
      <c r="H323"/>
      <c r="I323" s="189">
        <v>10.8</v>
      </c>
    </row>
    <row r="324" spans="1:9">
      <c r="A324" s="143">
        <v>36675</v>
      </c>
      <c r="B324" s="144">
        <v>15.98</v>
      </c>
      <c r="C324" s="144">
        <v>15.54</v>
      </c>
      <c r="D324" s="144">
        <v>15</v>
      </c>
      <c r="E324" s="144">
        <v>10.32</v>
      </c>
      <c r="F324" s="189">
        <v>11.04</v>
      </c>
      <c r="G324" s="175"/>
      <c r="H324"/>
      <c r="I324" s="189">
        <v>10.8</v>
      </c>
    </row>
    <row r="325" spans="1:9">
      <c r="A325" s="171" t="s">
        <v>7</v>
      </c>
      <c r="B325" s="51">
        <f t="shared" ref="B325:I325" si="13">AVERAGE(B320:B324)</f>
        <v>15.436000000000002</v>
      </c>
      <c r="C325" s="51">
        <f t="shared" si="13"/>
        <v>14.968</v>
      </c>
      <c r="D325" s="51">
        <f t="shared" si="13"/>
        <v>14.38</v>
      </c>
      <c r="E325" s="51">
        <f t="shared" si="13"/>
        <v>10.272</v>
      </c>
      <c r="F325" s="51">
        <f t="shared" si="13"/>
        <v>11.016</v>
      </c>
      <c r="G325" s="51" t="e">
        <f t="shared" si="13"/>
        <v>#DIV/0!</v>
      </c>
      <c r="H325" s="51" t="e">
        <f t="shared" si="13"/>
        <v>#DIV/0!</v>
      </c>
      <c r="I325" s="51">
        <f t="shared" si="13"/>
        <v>10.8</v>
      </c>
    </row>
    <row r="326" spans="1:9">
      <c r="B326" s="190"/>
      <c r="G326" s="175"/>
      <c r="H326"/>
      <c r="I326" s="189"/>
    </row>
    <row r="327" spans="1:9">
      <c r="A327" s="143">
        <v>36682</v>
      </c>
      <c r="B327" s="144">
        <v>15.97</v>
      </c>
      <c r="C327" s="6">
        <v>15.52</v>
      </c>
      <c r="D327" s="6">
        <v>14.98</v>
      </c>
      <c r="E327" s="6">
        <v>10.26</v>
      </c>
      <c r="F327" s="189">
        <v>11.01</v>
      </c>
      <c r="G327" s="21">
        <v>6.444</v>
      </c>
      <c r="H327" s="21">
        <v>10.134</v>
      </c>
      <c r="I327" s="189">
        <v>8.68</v>
      </c>
    </row>
    <row r="328" spans="1:9">
      <c r="A328" s="143">
        <v>36689</v>
      </c>
      <c r="B328" s="144">
        <v>16.02</v>
      </c>
      <c r="C328" s="6">
        <v>15.58</v>
      </c>
      <c r="D328" s="6">
        <v>15.06</v>
      </c>
      <c r="E328" s="6">
        <v>10.26</v>
      </c>
      <c r="F328" s="189">
        <v>11.01</v>
      </c>
      <c r="G328" s="21">
        <v>6.5979999999999999</v>
      </c>
      <c r="H328" s="21">
        <v>10.134</v>
      </c>
      <c r="I328" s="189">
        <v>8.68</v>
      </c>
    </row>
    <row r="329" spans="1:9">
      <c r="A329" s="143">
        <v>36696</v>
      </c>
      <c r="B329" s="144">
        <v>16.12</v>
      </c>
      <c r="C329" s="6">
        <v>15.65</v>
      </c>
      <c r="D329" s="6">
        <v>15.14</v>
      </c>
      <c r="E329" s="6">
        <v>10.28</v>
      </c>
      <c r="F329" s="189">
        <v>10.99</v>
      </c>
      <c r="G329" s="21">
        <v>6.63</v>
      </c>
      <c r="H329" s="21">
        <v>10.01</v>
      </c>
      <c r="I329" s="189">
        <v>8.68</v>
      </c>
    </row>
    <row r="330" spans="1:9">
      <c r="A330" s="143">
        <v>36703</v>
      </c>
      <c r="B330" s="144">
        <v>16.14</v>
      </c>
      <c r="C330" s="6">
        <v>15.69</v>
      </c>
      <c r="D330" s="6">
        <v>15.16</v>
      </c>
      <c r="E330" s="6">
        <v>10.29</v>
      </c>
      <c r="F330" s="189">
        <v>11.18</v>
      </c>
      <c r="G330" s="21">
        <v>6.6689999999999996</v>
      </c>
      <c r="H330" s="21">
        <v>10.01</v>
      </c>
      <c r="I330" s="189">
        <v>8.68</v>
      </c>
    </row>
    <row r="331" spans="1:9">
      <c r="A331" s="171" t="s">
        <v>7</v>
      </c>
      <c r="B331" s="51">
        <f>AVERAGE(B327:B330)</f>
        <v>16.0625</v>
      </c>
      <c r="C331" s="51">
        <f>AVERAGE(C327:C330)</f>
        <v>15.61</v>
      </c>
      <c r="D331" s="51">
        <f>AVERAGE(D327:D330)</f>
        <v>15.085000000000001</v>
      </c>
      <c r="E331" s="51">
        <f>AVERAGE(E327:E330)</f>
        <v>10.272499999999999</v>
      </c>
      <c r="F331" s="51">
        <f>AVERAGE(F327:F330)</f>
        <v>11.047499999999999</v>
      </c>
      <c r="G331" s="51">
        <f>AVERAGE(G326:G330)</f>
        <v>6.5852500000000003</v>
      </c>
      <c r="H331" s="51">
        <f>AVERAGE(H326:H330)</f>
        <v>10.071999999999999</v>
      </c>
      <c r="I331" s="51">
        <f>AVERAGE(I326:I330)</f>
        <v>8.68</v>
      </c>
    </row>
    <row r="332" spans="1:9">
      <c r="B332" s="190"/>
      <c r="G332" s="175"/>
      <c r="H332" s="190"/>
      <c r="I332" s="189"/>
    </row>
    <row r="333" spans="1:9">
      <c r="A333" s="143">
        <v>36710</v>
      </c>
      <c r="B333" s="144">
        <v>16.59</v>
      </c>
      <c r="C333" s="6">
        <v>16.05</v>
      </c>
      <c r="D333" s="6">
        <v>15.44</v>
      </c>
      <c r="E333" s="6">
        <v>10.46</v>
      </c>
      <c r="F333" s="189">
        <v>11.18</v>
      </c>
      <c r="G333" s="21">
        <v>6.601</v>
      </c>
      <c r="H333" s="21">
        <v>10.134</v>
      </c>
      <c r="I333" s="189">
        <v>9.44</v>
      </c>
    </row>
    <row r="334" spans="1:9">
      <c r="A334" s="143">
        <v>36717</v>
      </c>
      <c r="B334" s="144">
        <v>16.510000000000002</v>
      </c>
      <c r="C334" s="6">
        <v>16.03</v>
      </c>
      <c r="D334" s="6">
        <v>15.39</v>
      </c>
      <c r="E334" s="6">
        <v>10.49</v>
      </c>
      <c r="F334" s="189">
        <v>11.18</v>
      </c>
      <c r="G334" s="21">
        <v>6.5533000000000001</v>
      </c>
      <c r="H334" s="21">
        <v>10.134</v>
      </c>
      <c r="I334" s="189">
        <v>9.44</v>
      </c>
    </row>
    <row r="335" spans="1:9">
      <c r="A335" s="143">
        <v>36724</v>
      </c>
      <c r="B335" s="144">
        <v>16.45</v>
      </c>
      <c r="C335" s="6">
        <v>15.93</v>
      </c>
      <c r="D335" s="6">
        <v>15.29</v>
      </c>
      <c r="E335" s="6">
        <v>10.46</v>
      </c>
      <c r="F335" s="189">
        <v>11.18</v>
      </c>
      <c r="G335" s="21">
        <v>6.3676000000000004</v>
      </c>
      <c r="H335" s="21">
        <v>10.013999999999999</v>
      </c>
      <c r="I335" s="189">
        <v>9.44</v>
      </c>
    </row>
    <row r="336" spans="1:9">
      <c r="A336" s="143">
        <v>36731</v>
      </c>
      <c r="B336" s="144">
        <v>16.149999999999999</v>
      </c>
      <c r="C336" s="6">
        <v>15.61</v>
      </c>
      <c r="D336" s="6">
        <v>14.84</v>
      </c>
      <c r="E336" s="6">
        <v>10.46</v>
      </c>
      <c r="F336" s="189">
        <v>11.18</v>
      </c>
      <c r="G336" s="21">
        <v>6.2302</v>
      </c>
      <c r="H336" s="21">
        <v>10.013999999999999</v>
      </c>
      <c r="I336" s="189">
        <v>9.44</v>
      </c>
    </row>
    <row r="337" spans="1:9">
      <c r="A337" s="143">
        <v>36738</v>
      </c>
      <c r="B337" s="144">
        <v>15.98</v>
      </c>
      <c r="C337" s="6">
        <v>15.38</v>
      </c>
      <c r="D337" s="6">
        <v>14.59</v>
      </c>
      <c r="E337" s="6">
        <v>10.45</v>
      </c>
      <c r="F337" s="189">
        <v>11.18</v>
      </c>
      <c r="G337" s="21">
        <v>5.9965000000000002</v>
      </c>
      <c r="H337" s="21">
        <v>9.9939999999999998</v>
      </c>
      <c r="I337" s="189">
        <v>9.44</v>
      </c>
    </row>
    <row r="338" spans="1:9">
      <c r="A338" s="171" t="s">
        <v>7</v>
      </c>
      <c r="B338" s="51">
        <f t="shared" ref="B338:I338" si="14">AVERAGE(B333:B337)</f>
        <v>16.335999999999999</v>
      </c>
      <c r="C338" s="51">
        <f t="shared" si="14"/>
        <v>15.8</v>
      </c>
      <c r="D338" s="51">
        <f t="shared" si="14"/>
        <v>15.11</v>
      </c>
      <c r="E338" s="51">
        <f t="shared" si="14"/>
        <v>10.464000000000002</v>
      </c>
      <c r="F338" s="51">
        <f t="shared" si="14"/>
        <v>11.18</v>
      </c>
      <c r="G338" s="51">
        <f t="shared" si="14"/>
        <v>6.3497199999999996</v>
      </c>
      <c r="H338" s="51">
        <f t="shared" si="14"/>
        <v>10.058</v>
      </c>
      <c r="I338" s="51">
        <f t="shared" si="14"/>
        <v>9.44</v>
      </c>
    </row>
    <row r="339" spans="1:9">
      <c r="B339" s="190"/>
      <c r="H339"/>
      <c r="I339" s="189"/>
    </row>
    <row r="340" spans="1:9">
      <c r="A340" s="191">
        <v>36745</v>
      </c>
      <c r="B340" s="21">
        <v>15.54</v>
      </c>
      <c r="C340" s="21">
        <v>15.09</v>
      </c>
      <c r="D340" s="21">
        <v>14.3</v>
      </c>
      <c r="E340" s="21">
        <v>10.43</v>
      </c>
      <c r="F340" s="21"/>
      <c r="H340" s="21">
        <v>10.082000000000001</v>
      </c>
      <c r="I340" s="189">
        <v>9.44</v>
      </c>
    </row>
    <row r="341" spans="1:9">
      <c r="A341" s="191">
        <v>36752</v>
      </c>
      <c r="B341" s="21">
        <v>15.31</v>
      </c>
      <c r="C341" s="21">
        <v>14.81</v>
      </c>
      <c r="D341" s="21">
        <v>14.09</v>
      </c>
      <c r="E341" s="21">
        <v>10.42</v>
      </c>
      <c r="F341" s="21"/>
      <c r="H341" s="21">
        <v>10.166499999999999</v>
      </c>
      <c r="I341" s="189">
        <v>9.44</v>
      </c>
    </row>
    <row r="342" spans="1:9">
      <c r="A342" s="191">
        <v>36759</v>
      </c>
      <c r="B342" s="21">
        <v>15.26</v>
      </c>
      <c r="C342" s="189">
        <v>14.71</v>
      </c>
      <c r="D342" s="189">
        <v>14.03</v>
      </c>
      <c r="E342" s="189">
        <v>10.42</v>
      </c>
      <c r="F342" s="189"/>
      <c r="H342" s="21">
        <v>10.406000000000001</v>
      </c>
      <c r="I342" s="189">
        <v>9.44</v>
      </c>
    </row>
    <row r="343" spans="1:9">
      <c r="A343" s="191">
        <v>36766</v>
      </c>
      <c r="B343" s="189">
        <v>14.83</v>
      </c>
      <c r="C343" s="189">
        <v>14.45</v>
      </c>
      <c r="D343" s="189">
        <v>13.92</v>
      </c>
      <c r="E343" s="189">
        <v>10.45</v>
      </c>
      <c r="H343" s="21">
        <v>11.107250000000001</v>
      </c>
      <c r="I343" s="189">
        <v>9.44</v>
      </c>
    </row>
    <row r="344" spans="1:9">
      <c r="A344" s="171" t="s">
        <v>7</v>
      </c>
      <c r="B344" s="51">
        <f>AVERAGE(B340:B343)</f>
        <v>15.234999999999999</v>
      </c>
      <c r="C344" s="51">
        <f>AVERAGE(C340:C343)</f>
        <v>14.765000000000001</v>
      </c>
      <c r="D344" s="51">
        <f>AVERAGE(D340:D343)</f>
        <v>14.085000000000001</v>
      </c>
      <c r="E344" s="51">
        <f>AVERAGE(E340:E343)</f>
        <v>10.43</v>
      </c>
      <c r="F344" s="51" t="e">
        <f>AVERAGE(F339:F343)</f>
        <v>#DIV/0!</v>
      </c>
      <c r="G344" s="51" t="e">
        <f>AVERAGE(G339:G343)</f>
        <v>#DIV/0!</v>
      </c>
      <c r="H344" s="51">
        <f>AVERAGE(H339:H343)</f>
        <v>10.4404375</v>
      </c>
      <c r="I344" s="51">
        <f>AVERAGE(I339:I343)</f>
        <v>9.44</v>
      </c>
    </row>
    <row r="345" spans="1:9">
      <c r="H345"/>
      <c r="I345" s="189"/>
    </row>
    <row r="346" spans="1:9">
      <c r="A346" s="191">
        <v>36773</v>
      </c>
      <c r="B346" s="189">
        <v>14.99</v>
      </c>
      <c r="C346" s="189">
        <v>14.58</v>
      </c>
      <c r="D346" s="189">
        <v>13.97</v>
      </c>
      <c r="E346" s="189">
        <v>10.58</v>
      </c>
      <c r="H346" s="21">
        <v>11.414</v>
      </c>
      <c r="I346" s="189">
        <v>10.92</v>
      </c>
    </row>
    <row r="347" spans="1:9">
      <c r="A347" s="191">
        <v>36780</v>
      </c>
      <c r="B347" s="189">
        <v>15.23</v>
      </c>
      <c r="C347" s="189">
        <v>14.77</v>
      </c>
      <c r="D347" s="189">
        <v>14.19</v>
      </c>
      <c r="E347" s="189">
        <v>10.83</v>
      </c>
      <c r="H347" s="21">
        <v>11.99525</v>
      </c>
      <c r="I347" s="189">
        <v>10.92</v>
      </c>
    </row>
    <row r="348" spans="1:9">
      <c r="A348" s="191">
        <v>36787</v>
      </c>
      <c r="B348" s="21">
        <v>15.3</v>
      </c>
      <c r="C348" s="189">
        <v>14.89</v>
      </c>
      <c r="D348" s="189">
        <v>14.31</v>
      </c>
      <c r="E348" s="189">
        <v>10.98</v>
      </c>
      <c r="H348" s="21">
        <v>12.235250000000001</v>
      </c>
      <c r="I348" s="189">
        <v>10.92</v>
      </c>
    </row>
    <row r="349" spans="1:9">
      <c r="A349" s="191">
        <v>36794</v>
      </c>
      <c r="B349" s="189">
        <v>16.149999999999999</v>
      </c>
      <c r="C349" s="21">
        <v>15.6</v>
      </c>
      <c r="D349" s="21">
        <v>14.97</v>
      </c>
      <c r="E349" s="189">
        <v>11.78</v>
      </c>
      <c r="F349" s="189">
        <v>12.66</v>
      </c>
      <c r="H349" s="21">
        <v>12.580249999999999</v>
      </c>
      <c r="I349" s="189">
        <v>10.92</v>
      </c>
    </row>
    <row r="350" spans="1:9">
      <c r="A350" s="171" t="s">
        <v>7</v>
      </c>
      <c r="B350" s="51">
        <f>AVERAGE(B346:B349)</f>
        <v>15.417499999999999</v>
      </c>
      <c r="C350" s="51">
        <f>AVERAGE(C346:C349)</f>
        <v>14.96</v>
      </c>
      <c r="D350" s="51">
        <f>AVERAGE(D346:D349)</f>
        <v>14.36</v>
      </c>
      <c r="E350" s="51">
        <f>AVERAGE(E346:E349)</f>
        <v>11.0425</v>
      </c>
      <c r="F350" s="51">
        <f>AVERAGE(F345:F349)</f>
        <v>12.66</v>
      </c>
      <c r="G350" s="51" t="e">
        <f>AVERAGE(G345:G349)</f>
        <v>#DIV/0!</v>
      </c>
      <c r="H350" s="51">
        <f>AVERAGE(H345:H349)</f>
        <v>12.0561875</v>
      </c>
      <c r="I350" s="51">
        <f>AVERAGE(I345:I349)</f>
        <v>10.92</v>
      </c>
    </row>
    <row r="351" spans="1:9">
      <c r="H351"/>
      <c r="I351" s="189"/>
    </row>
    <row r="352" spans="1:9">
      <c r="A352" s="191">
        <v>36801</v>
      </c>
      <c r="B352" s="189">
        <v>16.18</v>
      </c>
      <c r="C352" s="189">
        <v>15.63</v>
      </c>
      <c r="D352" s="189">
        <v>14.99</v>
      </c>
      <c r="E352" s="189">
        <v>11.92</v>
      </c>
      <c r="F352" s="189">
        <v>12.93</v>
      </c>
      <c r="G352" s="21">
        <v>6.8845900000000002</v>
      </c>
      <c r="H352" s="21">
        <v>12.58028</v>
      </c>
      <c r="I352" s="189">
        <v>10.92</v>
      </c>
    </row>
    <row r="353" spans="1:9">
      <c r="A353" s="191">
        <v>36808</v>
      </c>
      <c r="B353" s="189">
        <v>15.94</v>
      </c>
      <c r="C353" s="189">
        <v>15.45</v>
      </c>
      <c r="D353" s="189">
        <v>14.86</v>
      </c>
      <c r="E353" s="189">
        <v>11.91</v>
      </c>
      <c r="F353" s="189">
        <v>12.93</v>
      </c>
      <c r="G353" s="21">
        <v>6.7397600000000004</v>
      </c>
      <c r="H353" s="21">
        <v>12.59125</v>
      </c>
      <c r="I353" s="189">
        <v>10.92</v>
      </c>
    </row>
    <row r="354" spans="1:9">
      <c r="A354" s="191">
        <v>36815</v>
      </c>
      <c r="B354" s="189">
        <v>15.88</v>
      </c>
      <c r="C354" s="189">
        <v>15.41</v>
      </c>
      <c r="D354" s="189">
        <v>14.83</v>
      </c>
      <c r="E354" s="189">
        <v>11.92</v>
      </c>
      <c r="F354" s="189">
        <v>12.93</v>
      </c>
      <c r="G354" s="21">
        <v>6.60039</v>
      </c>
      <c r="H354" s="21">
        <v>12.411250000000001</v>
      </c>
      <c r="I354" s="189">
        <v>10.92</v>
      </c>
    </row>
    <row r="355" spans="1:9">
      <c r="A355" s="191">
        <v>36822</v>
      </c>
      <c r="B355" s="189">
        <v>15.87</v>
      </c>
      <c r="C355" s="189">
        <v>15.37</v>
      </c>
      <c r="D355" s="21">
        <v>14.8</v>
      </c>
      <c r="E355" s="21">
        <v>12</v>
      </c>
      <c r="F355" s="21">
        <v>12.83</v>
      </c>
      <c r="G355" s="21">
        <v>6.6672700000000003</v>
      </c>
      <c r="H355" s="21">
        <v>12.5115</v>
      </c>
      <c r="I355" s="189">
        <v>10.92</v>
      </c>
    </row>
    <row r="356" spans="1:9">
      <c r="A356" s="191">
        <v>36829</v>
      </c>
      <c r="B356" s="189">
        <v>15.62</v>
      </c>
      <c r="C356" s="189">
        <v>15.13</v>
      </c>
      <c r="D356" s="189">
        <v>14.77</v>
      </c>
      <c r="E356" s="189">
        <v>12.03</v>
      </c>
      <c r="F356" s="189">
        <v>12.83</v>
      </c>
      <c r="G356" s="21">
        <v>6.7625700000000002</v>
      </c>
      <c r="H356" s="21">
        <v>12.371499999999999</v>
      </c>
      <c r="I356" s="189">
        <v>10.92</v>
      </c>
    </row>
    <row r="357" spans="1:9">
      <c r="A357" s="171" t="s">
        <v>7</v>
      </c>
      <c r="B357" s="51">
        <f t="shared" ref="B357:I357" si="15">AVERAGE(B352:B356)</f>
        <v>15.898</v>
      </c>
      <c r="C357" s="51">
        <f t="shared" si="15"/>
        <v>15.398</v>
      </c>
      <c r="D357" s="51">
        <f t="shared" si="15"/>
        <v>14.85</v>
      </c>
      <c r="E357" s="51">
        <f t="shared" si="15"/>
        <v>11.956</v>
      </c>
      <c r="F357" s="51">
        <f t="shared" si="15"/>
        <v>12.89</v>
      </c>
      <c r="G357" s="51">
        <f t="shared" si="15"/>
        <v>6.7309159999999988</v>
      </c>
      <c r="H357" s="51">
        <f t="shared" si="15"/>
        <v>12.493155999999999</v>
      </c>
      <c r="I357" s="51">
        <f t="shared" si="15"/>
        <v>10.92</v>
      </c>
    </row>
    <row r="358" spans="1:9">
      <c r="H358"/>
      <c r="I358" s="189"/>
    </row>
    <row r="359" spans="1:9">
      <c r="A359" s="191">
        <v>36836</v>
      </c>
      <c r="B359" s="21">
        <v>15.55</v>
      </c>
      <c r="C359" s="21">
        <v>15.1</v>
      </c>
      <c r="D359" s="21">
        <v>14.75</v>
      </c>
      <c r="E359" s="21">
        <v>12.23</v>
      </c>
      <c r="F359" s="21">
        <v>12.83</v>
      </c>
      <c r="G359" s="21">
        <v>6.5025300000000001</v>
      </c>
      <c r="H359" s="21">
        <v>12.231249999999999</v>
      </c>
      <c r="I359" s="189">
        <v>10.92</v>
      </c>
    </row>
    <row r="360" spans="1:9">
      <c r="A360" s="191">
        <v>36843</v>
      </c>
      <c r="B360" s="21">
        <v>15.54</v>
      </c>
      <c r="C360" s="21">
        <v>15.07</v>
      </c>
      <c r="D360" s="21">
        <v>14.75</v>
      </c>
      <c r="E360" s="21">
        <v>12.13</v>
      </c>
      <c r="F360" s="21">
        <v>12.83</v>
      </c>
      <c r="G360" s="21">
        <v>6.0933000000000002</v>
      </c>
      <c r="H360" s="21">
        <v>12.39625</v>
      </c>
      <c r="I360" s="189">
        <v>10.92</v>
      </c>
    </row>
    <row r="361" spans="1:9">
      <c r="A361" s="191">
        <v>36850</v>
      </c>
      <c r="B361" s="21">
        <v>15.54</v>
      </c>
      <c r="C361" s="21">
        <v>15.6</v>
      </c>
      <c r="D361" s="21">
        <v>14.75</v>
      </c>
      <c r="E361" s="21">
        <v>12.08</v>
      </c>
      <c r="F361" s="21">
        <v>12.93</v>
      </c>
      <c r="G361" s="21">
        <v>6.1184700000000003</v>
      </c>
      <c r="H361" s="21">
        <v>12.481249999999999</v>
      </c>
      <c r="I361" s="189">
        <v>10.92</v>
      </c>
    </row>
    <row r="362" spans="1:9">
      <c r="A362" s="191">
        <v>36857</v>
      </c>
      <c r="B362" s="21">
        <v>15.55</v>
      </c>
      <c r="C362" s="21">
        <v>15.08</v>
      </c>
      <c r="D362" s="21">
        <v>14.77</v>
      </c>
      <c r="E362" s="21">
        <v>12.08</v>
      </c>
      <c r="F362" s="21">
        <v>12.83</v>
      </c>
      <c r="G362" s="21">
        <v>6.1625899999999998</v>
      </c>
      <c r="H362" s="21">
        <v>12.481249999999999</v>
      </c>
      <c r="I362" s="189">
        <v>10.92</v>
      </c>
    </row>
    <row r="363" spans="1:9">
      <c r="A363" s="171" t="s">
        <v>7</v>
      </c>
      <c r="B363" s="51">
        <f>AVERAGE(B359:B362)</f>
        <v>15.544999999999998</v>
      </c>
      <c r="C363" s="51">
        <f>AVERAGE(C359:C362)</f>
        <v>15.2125</v>
      </c>
      <c r="D363" s="51">
        <f>AVERAGE(D359:D362)</f>
        <v>14.754999999999999</v>
      </c>
      <c r="E363" s="51">
        <f>AVERAGE(E359:E362)</f>
        <v>12.129999999999999</v>
      </c>
      <c r="F363" s="51">
        <f>AVERAGE(F358:F362)</f>
        <v>12.855</v>
      </c>
      <c r="G363" s="51">
        <f>AVERAGE(G358:G362)</f>
        <v>6.2192225000000008</v>
      </c>
      <c r="H363" s="51">
        <f>AVERAGE(H358:H362)</f>
        <v>12.397500000000001</v>
      </c>
      <c r="I363" s="51">
        <f>AVERAGE(I358:I362)</f>
        <v>10.92</v>
      </c>
    </row>
    <row r="364" spans="1:9">
      <c r="H364"/>
      <c r="I364" s="189"/>
    </row>
    <row r="365" spans="1:9">
      <c r="A365" s="191">
        <v>36864</v>
      </c>
      <c r="B365" s="189">
        <v>15.49</v>
      </c>
      <c r="C365" s="189">
        <v>15.08</v>
      </c>
      <c r="D365" s="189">
        <v>14.78</v>
      </c>
      <c r="E365" s="189">
        <v>12.13</v>
      </c>
      <c r="F365" s="189">
        <v>12.83</v>
      </c>
      <c r="G365" s="21">
        <f>(6.36386+6.248+6.00788)/3</f>
        <v>6.2065799999999998</v>
      </c>
      <c r="H365" s="21">
        <v>12.35125</v>
      </c>
      <c r="I365" s="189">
        <v>10.92</v>
      </c>
    </row>
    <row r="366" spans="1:9">
      <c r="A366" s="191">
        <v>36871</v>
      </c>
      <c r="B366" s="21">
        <v>15.62</v>
      </c>
      <c r="C366" s="21">
        <v>15.1</v>
      </c>
      <c r="D366" s="21">
        <v>14.8</v>
      </c>
      <c r="E366" s="21">
        <v>12.32</v>
      </c>
      <c r="F366" s="189">
        <v>12.83</v>
      </c>
      <c r="G366" s="21">
        <f>(6.36386+6.158+6.00788)/3</f>
        <v>6.1765800000000004</v>
      </c>
      <c r="H366" s="21">
        <v>12.138949999999999</v>
      </c>
      <c r="I366" s="189">
        <v>10.92</v>
      </c>
    </row>
    <row r="367" spans="1:9">
      <c r="A367" s="191">
        <v>36878</v>
      </c>
      <c r="B367" s="21">
        <v>15.61</v>
      </c>
      <c r="C367" s="21">
        <v>15.1</v>
      </c>
      <c r="D367" s="21">
        <v>14.79</v>
      </c>
      <c r="E367" s="21">
        <v>12.26</v>
      </c>
      <c r="F367" s="189">
        <v>12.83</v>
      </c>
      <c r="G367" s="21">
        <f>(6.158+5.14438)/2</f>
        <v>5.6511899999999997</v>
      </c>
      <c r="H367" s="21">
        <v>11.82385</v>
      </c>
      <c r="I367" s="189">
        <v>10.92</v>
      </c>
    </row>
    <row r="368" spans="1:9">
      <c r="A368" s="191">
        <v>36886</v>
      </c>
      <c r="B368" s="21">
        <v>15.34</v>
      </c>
      <c r="C368" s="21">
        <v>14.87</v>
      </c>
      <c r="D368" s="21">
        <v>14.62</v>
      </c>
      <c r="E368" s="21">
        <v>12.11</v>
      </c>
      <c r="F368" s="21">
        <v>12.9</v>
      </c>
      <c r="G368" s="21">
        <f>(5.309502+5.2)/2</f>
        <v>5.2547510000000006</v>
      </c>
      <c r="H368" s="21">
        <v>11.82385</v>
      </c>
      <c r="I368" s="189">
        <v>10.92</v>
      </c>
    </row>
    <row r="369" spans="1:9">
      <c r="A369" s="171" t="s">
        <v>7</v>
      </c>
      <c r="B369" s="51">
        <f>AVERAGE(B365:B368)</f>
        <v>15.515000000000001</v>
      </c>
      <c r="C369" s="51">
        <f>AVERAGE(C365:C368)</f>
        <v>15.0375</v>
      </c>
      <c r="D369" s="51">
        <f>AVERAGE(D365:D368)</f>
        <v>14.747499999999999</v>
      </c>
      <c r="E369" s="51">
        <f>AVERAGE(E365:E368)</f>
        <v>12.205</v>
      </c>
      <c r="F369" s="51">
        <f>AVERAGE(F364:F368)</f>
        <v>12.8475</v>
      </c>
      <c r="G369" s="51">
        <f>AVERAGE(G365:G368)</f>
        <v>5.8222752500000006</v>
      </c>
      <c r="H369" s="51">
        <f>AVERAGE(H365:H368)</f>
        <v>12.034475</v>
      </c>
      <c r="I369" s="51">
        <f>AVERAGE(I365:I368)</f>
        <v>10.92</v>
      </c>
    </row>
    <row r="370" spans="1:9">
      <c r="H370"/>
      <c r="I370" s="189"/>
    </row>
    <row r="371" spans="1:9">
      <c r="H371"/>
      <c r="I371" s="189"/>
    </row>
    <row r="372" spans="1:9">
      <c r="A372" s="1684" t="s">
        <v>142</v>
      </c>
      <c r="B372" s="1684"/>
      <c r="C372" s="1684"/>
      <c r="D372" s="1684"/>
      <c r="E372" s="1684"/>
      <c r="F372" s="1684"/>
      <c r="H372"/>
      <c r="I372" s="189"/>
    </row>
    <row r="373" spans="1:9">
      <c r="A373" s="1685" t="s">
        <v>147</v>
      </c>
      <c r="B373" s="1685"/>
      <c r="C373" s="1685"/>
      <c r="D373" s="1685"/>
      <c r="E373" s="1685"/>
      <c r="F373" s="1685"/>
      <c r="G373" t="s">
        <v>148</v>
      </c>
      <c r="H373"/>
      <c r="I373" s="189"/>
    </row>
    <row r="374" spans="1:9">
      <c r="A374" s="1686" t="s">
        <v>144</v>
      </c>
      <c r="B374" s="1686"/>
      <c r="C374" s="1686"/>
      <c r="D374" s="1686"/>
      <c r="E374" s="1686"/>
      <c r="F374" s="1686"/>
      <c r="H374"/>
      <c r="I374" s="189"/>
    </row>
    <row r="375" spans="1:9">
      <c r="A375" s="192" t="s">
        <v>1</v>
      </c>
      <c r="B375" s="193" t="s">
        <v>139</v>
      </c>
      <c r="C375" s="193" t="s">
        <v>140</v>
      </c>
      <c r="D375" s="193" t="s">
        <v>5</v>
      </c>
      <c r="E375" s="193" t="s">
        <v>6</v>
      </c>
      <c r="F375" s="194" t="s">
        <v>57</v>
      </c>
      <c r="G375" s="194" t="s">
        <v>58</v>
      </c>
      <c r="H375" s="195" t="s">
        <v>145</v>
      </c>
      <c r="I375" s="194" t="s">
        <v>61</v>
      </c>
    </row>
    <row r="376" spans="1:9">
      <c r="A376" s="196"/>
      <c r="B376" s="179" t="s">
        <v>146</v>
      </c>
      <c r="C376" s="179" t="s">
        <v>146</v>
      </c>
      <c r="D376" s="179" t="s">
        <v>146</v>
      </c>
      <c r="E376" s="179" t="s">
        <v>146</v>
      </c>
      <c r="F376" s="179" t="s">
        <v>146</v>
      </c>
      <c r="G376" s="179" t="s">
        <v>146</v>
      </c>
      <c r="H376" s="197" t="s">
        <v>146</v>
      </c>
      <c r="I376" s="179" t="s">
        <v>146</v>
      </c>
    </row>
    <row r="377" spans="1:9">
      <c r="A377" s="198">
        <v>36893</v>
      </c>
      <c r="B377" s="184">
        <v>15.15</v>
      </c>
      <c r="C377" s="184">
        <v>14.59</v>
      </c>
      <c r="D377" s="184">
        <v>14.39</v>
      </c>
      <c r="E377" s="184">
        <v>11.98</v>
      </c>
      <c r="F377" s="184">
        <v>12.9</v>
      </c>
      <c r="G377" s="39">
        <v>4.9904400000000004</v>
      </c>
      <c r="H377" s="59">
        <v>10.95</v>
      </c>
      <c r="I377" s="184">
        <v>10.92</v>
      </c>
    </row>
    <row r="378" spans="1:9">
      <c r="A378" s="198">
        <v>36899</v>
      </c>
      <c r="B378" s="39">
        <v>14.73</v>
      </c>
      <c r="C378" s="39">
        <v>14.25</v>
      </c>
      <c r="D378" s="39">
        <v>13.96</v>
      </c>
      <c r="E378" s="39">
        <v>11.63</v>
      </c>
      <c r="F378" s="184">
        <v>12.9</v>
      </c>
      <c r="G378" s="39">
        <v>5.1085646669999996</v>
      </c>
      <c r="H378" s="59">
        <v>10.8</v>
      </c>
      <c r="I378" s="184">
        <v>10.92</v>
      </c>
    </row>
    <row r="379" spans="1:9">
      <c r="A379" s="198">
        <v>36906</v>
      </c>
      <c r="B379" s="39">
        <v>14.88</v>
      </c>
      <c r="C379" s="39">
        <v>14.37</v>
      </c>
      <c r="D379" s="39">
        <v>14.1</v>
      </c>
      <c r="E379" s="39">
        <v>11.6</v>
      </c>
      <c r="F379" s="184">
        <v>12.9</v>
      </c>
      <c r="G379" s="39">
        <v>5.3209566669999999</v>
      </c>
      <c r="H379" s="59">
        <v>10.77</v>
      </c>
      <c r="I379" s="184">
        <v>10.92</v>
      </c>
    </row>
    <row r="380" spans="1:9">
      <c r="A380" s="198">
        <v>36913</v>
      </c>
      <c r="B380" s="39">
        <v>14.71</v>
      </c>
      <c r="C380" s="39">
        <v>14.32</v>
      </c>
      <c r="D380" s="39">
        <v>14.04</v>
      </c>
      <c r="E380" s="39">
        <v>11.47</v>
      </c>
      <c r="F380" s="39">
        <v>12.97</v>
      </c>
      <c r="G380" s="39">
        <v>5.4790099999999997</v>
      </c>
      <c r="H380" s="59">
        <v>10.8</v>
      </c>
      <c r="I380" s="184">
        <v>10.92</v>
      </c>
    </row>
    <row r="381" spans="1:9">
      <c r="A381" s="198">
        <v>36920</v>
      </c>
      <c r="B381" s="39">
        <v>15.11</v>
      </c>
      <c r="C381" s="39">
        <v>14.54</v>
      </c>
      <c r="D381" s="39">
        <v>14.26</v>
      </c>
      <c r="E381" s="39">
        <v>11.51</v>
      </c>
      <c r="F381" s="39">
        <v>12.68</v>
      </c>
      <c r="G381" s="39">
        <v>5.78301</v>
      </c>
      <c r="H381" s="59">
        <v>10.8</v>
      </c>
      <c r="I381" s="184">
        <v>10.92</v>
      </c>
    </row>
    <row r="382" spans="1:9">
      <c r="A382" s="198"/>
      <c r="B382" s="39"/>
      <c r="C382" s="39"/>
      <c r="D382" s="39"/>
      <c r="E382" s="39"/>
      <c r="F382" s="39"/>
      <c r="G382" s="39"/>
      <c r="H382" s="199"/>
      <c r="I382" s="184"/>
    </row>
    <row r="383" spans="1:9">
      <c r="A383" s="200" t="s">
        <v>7</v>
      </c>
      <c r="B383" s="201">
        <f t="shared" ref="B383:I383" si="16">AVERAGE(B377:B381)</f>
        <v>14.916000000000002</v>
      </c>
      <c r="C383" s="201">
        <f t="shared" si="16"/>
        <v>14.413999999999998</v>
      </c>
      <c r="D383" s="201">
        <f t="shared" si="16"/>
        <v>14.15</v>
      </c>
      <c r="E383" s="201">
        <f t="shared" si="16"/>
        <v>11.638</v>
      </c>
      <c r="F383" s="201">
        <f t="shared" si="16"/>
        <v>12.87</v>
      </c>
      <c r="G383" s="201">
        <f t="shared" si="16"/>
        <v>5.3363962667999996</v>
      </c>
      <c r="H383" s="202">
        <f t="shared" si="16"/>
        <v>10.823999999999998</v>
      </c>
      <c r="I383" s="201">
        <f t="shared" si="16"/>
        <v>10.92</v>
      </c>
    </row>
    <row r="384" spans="1:9">
      <c r="H384"/>
      <c r="I384" s="189"/>
    </row>
    <row r="385" spans="1:9">
      <c r="A385" s="192" t="s">
        <v>1</v>
      </c>
      <c r="B385" s="193" t="s">
        <v>139</v>
      </c>
      <c r="C385" s="193" t="s">
        <v>140</v>
      </c>
      <c r="D385" s="193" t="s">
        <v>5</v>
      </c>
      <c r="E385" s="193" t="s">
        <v>6</v>
      </c>
      <c r="F385" s="194" t="s">
        <v>57</v>
      </c>
      <c r="G385" s="194" t="s">
        <v>58</v>
      </c>
      <c r="H385" s="195" t="s">
        <v>145</v>
      </c>
      <c r="I385" s="194" t="s">
        <v>61</v>
      </c>
    </row>
    <row r="386" spans="1:9">
      <c r="A386" s="196"/>
      <c r="B386" s="179" t="s">
        <v>146</v>
      </c>
      <c r="C386" s="179" t="s">
        <v>146</v>
      </c>
      <c r="D386" s="179" t="s">
        <v>146</v>
      </c>
      <c r="E386" s="179" t="s">
        <v>146</v>
      </c>
      <c r="F386" s="179" t="s">
        <v>146</v>
      </c>
      <c r="G386" s="179" t="s">
        <v>146</v>
      </c>
      <c r="H386" s="197" t="s">
        <v>146</v>
      </c>
      <c r="I386" s="179" t="s">
        <v>146</v>
      </c>
    </row>
    <row r="387" spans="1:9">
      <c r="A387" s="198">
        <v>36927</v>
      </c>
      <c r="B387" s="184">
        <v>15.21</v>
      </c>
      <c r="C387" s="184">
        <v>14.73</v>
      </c>
      <c r="D387" s="184">
        <v>14.33</v>
      </c>
      <c r="E387" s="184">
        <v>11.49</v>
      </c>
      <c r="F387" s="184">
        <v>12.67</v>
      </c>
      <c r="G387" s="39">
        <v>5.9877516670000004</v>
      </c>
      <c r="H387" s="203">
        <v>11.02</v>
      </c>
      <c r="I387" s="184">
        <v>10.92</v>
      </c>
    </row>
    <row r="388" spans="1:9">
      <c r="A388" s="198">
        <v>36934</v>
      </c>
      <c r="B388" s="39">
        <v>15.2</v>
      </c>
      <c r="C388" s="39">
        <v>14.64</v>
      </c>
      <c r="D388" s="39">
        <v>14.28</v>
      </c>
      <c r="E388" s="39">
        <v>11.41</v>
      </c>
      <c r="F388" s="39">
        <v>12.7</v>
      </c>
      <c r="G388" s="39">
        <v>5.9168599999999998</v>
      </c>
      <c r="H388" s="203">
        <v>11.02</v>
      </c>
      <c r="I388" s="184">
        <v>10.92</v>
      </c>
    </row>
    <row r="389" spans="1:9">
      <c r="A389" s="198">
        <v>36941</v>
      </c>
      <c r="B389" s="39">
        <v>15.14</v>
      </c>
      <c r="C389" s="39">
        <v>14.64</v>
      </c>
      <c r="D389" s="39">
        <v>14.26</v>
      </c>
      <c r="E389" s="39">
        <v>11.41</v>
      </c>
      <c r="F389" s="184">
        <v>12.67</v>
      </c>
      <c r="G389" s="39">
        <v>6.0807812999999999</v>
      </c>
      <c r="H389" s="203">
        <v>10.94</v>
      </c>
      <c r="I389" s="184">
        <v>10.92</v>
      </c>
    </row>
    <row r="390" spans="1:9">
      <c r="A390" s="198">
        <v>36948</v>
      </c>
      <c r="B390" s="39">
        <v>15.14</v>
      </c>
      <c r="C390" s="39">
        <v>14.62</v>
      </c>
      <c r="D390" s="39">
        <v>14.26</v>
      </c>
      <c r="E390" s="39">
        <v>11.38</v>
      </c>
      <c r="F390" s="39">
        <v>12.53</v>
      </c>
      <c r="G390" s="39">
        <v>5.9819690000000003</v>
      </c>
      <c r="H390" s="203">
        <v>10.94</v>
      </c>
      <c r="I390" s="184">
        <v>10.92</v>
      </c>
    </row>
    <row r="391" spans="1:9">
      <c r="A391" s="198"/>
      <c r="B391" s="39"/>
      <c r="C391" s="39"/>
      <c r="D391" s="39"/>
      <c r="E391" s="39"/>
      <c r="F391" s="39"/>
      <c r="G391" s="39"/>
      <c r="H391" s="199"/>
      <c r="I391" s="184"/>
    </row>
    <row r="392" spans="1:9">
      <c r="A392" s="200" t="s">
        <v>7</v>
      </c>
      <c r="B392" s="201">
        <f>AVERAGE(B387:B390)</f>
        <v>15.172499999999999</v>
      </c>
      <c r="C392" s="201">
        <f>AVERAGE(C387:C390)</f>
        <v>14.657500000000001</v>
      </c>
      <c r="D392" s="201">
        <f>AVERAGE(D387:D390)</f>
        <v>14.282499999999999</v>
      </c>
      <c r="E392" s="201">
        <f>AVERAGE(E387:E390)</f>
        <v>11.422500000000001</v>
      </c>
      <c r="F392" s="201">
        <f>AVERAGE(F385:F390)</f>
        <v>12.6425</v>
      </c>
      <c r="G392" s="201">
        <f>AVERAGE(G387:G390)</f>
        <v>5.9918404917500006</v>
      </c>
      <c r="H392" s="202">
        <f>AVERAGE(H387:H390)</f>
        <v>10.979999999999999</v>
      </c>
      <c r="I392" s="201">
        <f>AVERAGE(I387:I390)</f>
        <v>10.92</v>
      </c>
    </row>
    <row r="393" spans="1:9">
      <c r="H393"/>
      <c r="I393" s="189"/>
    </row>
    <row r="394" spans="1:9">
      <c r="A394" s="192" t="s">
        <v>1</v>
      </c>
      <c r="B394" s="193" t="s">
        <v>139</v>
      </c>
      <c r="C394" s="193" t="s">
        <v>140</v>
      </c>
      <c r="D394" s="193" t="s">
        <v>5</v>
      </c>
      <c r="E394" s="193" t="s">
        <v>6</v>
      </c>
      <c r="F394" s="194" t="s">
        <v>57</v>
      </c>
      <c r="G394" s="194" t="s">
        <v>58</v>
      </c>
      <c r="H394" s="195" t="s">
        <v>145</v>
      </c>
      <c r="I394" s="194" t="s">
        <v>61</v>
      </c>
    </row>
    <row r="395" spans="1:9">
      <c r="A395" s="196"/>
      <c r="B395" s="179" t="s">
        <v>146</v>
      </c>
      <c r="C395" s="179" t="s">
        <v>146</v>
      </c>
      <c r="D395" s="179" t="s">
        <v>146</v>
      </c>
      <c r="E395" s="179" t="s">
        <v>146</v>
      </c>
      <c r="F395" s="179" t="s">
        <v>146</v>
      </c>
      <c r="G395" s="179" t="s">
        <v>146</v>
      </c>
      <c r="H395" s="197" t="s">
        <v>146</v>
      </c>
      <c r="I395" s="179" t="s">
        <v>146</v>
      </c>
    </row>
    <row r="396" spans="1:9">
      <c r="A396" s="198">
        <v>36955</v>
      </c>
      <c r="B396" s="184">
        <v>15.11</v>
      </c>
      <c r="C396" s="184">
        <v>14.6</v>
      </c>
      <c r="D396" s="184">
        <v>14.24</v>
      </c>
      <c r="E396" s="184">
        <v>11.34</v>
      </c>
      <c r="F396" s="184">
        <v>12.53</v>
      </c>
      <c r="G396" s="39">
        <v>6</v>
      </c>
      <c r="H396" s="203">
        <v>10.54</v>
      </c>
      <c r="I396" s="184">
        <v>10.92</v>
      </c>
    </row>
    <row r="397" spans="1:9">
      <c r="A397" s="198">
        <v>36962</v>
      </c>
      <c r="B397" s="39">
        <v>14.99</v>
      </c>
      <c r="C397" s="39">
        <v>14.5</v>
      </c>
      <c r="D397" s="39">
        <v>14.14</v>
      </c>
      <c r="E397" s="39">
        <v>11.21</v>
      </c>
      <c r="F397" s="39">
        <v>12.53</v>
      </c>
      <c r="G397" s="39">
        <v>6.05</v>
      </c>
      <c r="H397" s="203">
        <v>10.62</v>
      </c>
      <c r="I397" s="184">
        <v>10.33</v>
      </c>
    </row>
    <row r="398" spans="1:9">
      <c r="A398" s="198">
        <v>36969</v>
      </c>
      <c r="B398" s="39">
        <v>14.89</v>
      </c>
      <c r="C398" s="39">
        <v>14.43</v>
      </c>
      <c r="D398" s="39">
        <v>14.08</v>
      </c>
      <c r="E398" s="39">
        <v>11.12</v>
      </c>
      <c r="F398" s="184">
        <v>12.53</v>
      </c>
      <c r="G398" s="39">
        <v>6.2</v>
      </c>
      <c r="H398" s="203">
        <v>10.65</v>
      </c>
      <c r="I398" s="184">
        <v>10.33</v>
      </c>
    </row>
    <row r="399" spans="1:9">
      <c r="A399" s="198">
        <v>36976</v>
      </c>
      <c r="B399" s="39">
        <v>14.89</v>
      </c>
      <c r="C399" s="39">
        <v>14.42</v>
      </c>
      <c r="D399" s="39">
        <v>14.07</v>
      </c>
      <c r="E399" s="39">
        <v>11.12</v>
      </c>
      <c r="F399" s="39">
        <v>12.43</v>
      </c>
      <c r="G399" s="39">
        <v>6.02</v>
      </c>
      <c r="H399" s="203">
        <v>10.65</v>
      </c>
      <c r="I399" s="184">
        <v>10.33</v>
      </c>
    </row>
    <row r="400" spans="1:9">
      <c r="A400" s="198"/>
      <c r="B400" s="39"/>
      <c r="C400" s="39"/>
      <c r="D400" s="39"/>
      <c r="E400" s="39"/>
      <c r="F400" s="39"/>
      <c r="G400" s="39"/>
      <c r="H400" s="199"/>
      <c r="I400" s="184"/>
    </row>
    <row r="401" spans="1:9">
      <c r="A401" s="200" t="s">
        <v>7</v>
      </c>
      <c r="B401" s="201">
        <f>AVERAGE(B396:B399)</f>
        <v>14.97</v>
      </c>
      <c r="C401" s="201">
        <f>AVERAGE(C396:C399)</f>
        <v>14.487500000000001</v>
      </c>
      <c r="D401" s="201">
        <f>AVERAGE(D396:D399)</f>
        <v>14.1325</v>
      </c>
      <c r="E401" s="201">
        <f>AVERAGE(E396:E399)</f>
        <v>11.1975</v>
      </c>
      <c r="F401" s="201">
        <f>AVERAGE(F394:F399)</f>
        <v>12.504999999999999</v>
      </c>
      <c r="G401" s="201">
        <f>AVERAGE(G396:G399)</f>
        <v>6.0674999999999999</v>
      </c>
      <c r="H401" s="202">
        <f>AVERAGE(H396:H399)</f>
        <v>10.614999999999998</v>
      </c>
      <c r="I401" s="201">
        <f>AVERAGE(I396:I399)</f>
        <v>10.477499999999999</v>
      </c>
    </row>
    <row r="402" spans="1:9">
      <c r="H402"/>
    </row>
    <row r="403" spans="1:9">
      <c r="A403" s="192" t="s">
        <v>1</v>
      </c>
      <c r="B403" s="193" t="s">
        <v>139</v>
      </c>
      <c r="C403" s="193" t="s">
        <v>140</v>
      </c>
      <c r="D403" s="193" t="s">
        <v>5</v>
      </c>
      <c r="E403" s="193" t="s">
        <v>6</v>
      </c>
      <c r="F403" s="194" t="s">
        <v>57</v>
      </c>
      <c r="G403" s="194" t="s">
        <v>58</v>
      </c>
      <c r="H403" s="195" t="s">
        <v>145</v>
      </c>
      <c r="I403" s="194" t="s">
        <v>61</v>
      </c>
    </row>
    <row r="404" spans="1:9">
      <c r="A404" s="196"/>
      <c r="B404" s="179" t="s">
        <v>146</v>
      </c>
      <c r="C404" s="179" t="s">
        <v>146</v>
      </c>
      <c r="D404" s="179" t="s">
        <v>146</v>
      </c>
      <c r="E404" s="179" t="s">
        <v>146</v>
      </c>
      <c r="F404" s="179" t="s">
        <v>146</v>
      </c>
      <c r="G404" s="179" t="s">
        <v>146</v>
      </c>
      <c r="H404" s="197" t="s">
        <v>146</v>
      </c>
      <c r="I404" s="179" t="s">
        <v>146</v>
      </c>
    </row>
    <row r="405" spans="1:9">
      <c r="A405" s="198">
        <v>36983</v>
      </c>
      <c r="B405" s="184">
        <v>14.84</v>
      </c>
      <c r="C405" s="184">
        <v>14.38</v>
      </c>
      <c r="D405" s="184">
        <v>14.03</v>
      </c>
      <c r="E405" s="184">
        <v>11.02</v>
      </c>
      <c r="F405" s="184">
        <v>12.41</v>
      </c>
      <c r="G405" s="39">
        <v>5.47</v>
      </c>
      <c r="H405" s="203">
        <v>10.28</v>
      </c>
      <c r="I405" s="184">
        <v>10.33</v>
      </c>
    </row>
    <row r="406" spans="1:9">
      <c r="A406" s="198">
        <v>36990</v>
      </c>
      <c r="B406" s="39">
        <v>14.83</v>
      </c>
      <c r="C406" s="39">
        <v>14.35</v>
      </c>
      <c r="D406" s="39">
        <v>14.01</v>
      </c>
      <c r="E406" s="39">
        <v>10.93</v>
      </c>
      <c r="F406" s="39">
        <v>12.34</v>
      </c>
      <c r="G406" s="39">
        <v>5.32</v>
      </c>
      <c r="H406" s="203">
        <v>10.28</v>
      </c>
      <c r="I406" s="184">
        <v>10.33</v>
      </c>
    </row>
    <row r="407" spans="1:9">
      <c r="A407" s="198">
        <v>36997</v>
      </c>
      <c r="B407" s="39">
        <v>14.88</v>
      </c>
      <c r="C407" s="39">
        <v>14.4</v>
      </c>
      <c r="D407" s="39">
        <v>14.04</v>
      </c>
      <c r="E407" s="39">
        <v>10.94</v>
      </c>
      <c r="F407" s="184">
        <v>12.35</v>
      </c>
      <c r="G407" s="39">
        <v>5.27</v>
      </c>
      <c r="H407" s="203">
        <v>10.28</v>
      </c>
      <c r="I407" s="184">
        <v>10.33</v>
      </c>
    </row>
    <row r="408" spans="1:9">
      <c r="A408" s="198">
        <v>37004</v>
      </c>
      <c r="B408" s="39">
        <v>15.1</v>
      </c>
      <c r="C408" s="39">
        <v>14.7</v>
      </c>
      <c r="D408" s="39">
        <v>14.32</v>
      </c>
      <c r="E408" s="39">
        <v>10.96</v>
      </c>
      <c r="F408" s="39">
        <v>12.35</v>
      </c>
      <c r="G408" s="39">
        <v>5.13</v>
      </c>
      <c r="H408" s="203">
        <v>10.33</v>
      </c>
      <c r="I408" s="184">
        <v>10.33</v>
      </c>
    </row>
    <row r="409" spans="1:9">
      <c r="A409" s="198">
        <v>37011</v>
      </c>
      <c r="B409" s="39">
        <v>15.67</v>
      </c>
      <c r="C409" s="39">
        <v>15.25</v>
      </c>
      <c r="D409" s="39">
        <v>14.82</v>
      </c>
      <c r="E409" s="39">
        <v>11.03</v>
      </c>
      <c r="F409" s="39">
        <v>12.35</v>
      </c>
      <c r="G409" s="39">
        <v>5.55</v>
      </c>
      <c r="H409" s="203">
        <v>10.68</v>
      </c>
      <c r="I409" s="184">
        <v>10.33</v>
      </c>
    </row>
    <row r="410" spans="1:9">
      <c r="A410" s="198"/>
      <c r="B410" s="39"/>
      <c r="C410" s="39"/>
      <c r="D410" s="39"/>
      <c r="E410" s="39"/>
      <c r="F410" s="39"/>
      <c r="G410" s="39"/>
      <c r="H410" s="199"/>
      <c r="I410" s="184"/>
    </row>
    <row r="411" spans="1:9">
      <c r="A411" s="200" t="s">
        <v>7</v>
      </c>
      <c r="B411" s="201">
        <f>AVERAGE(B405:B408)</f>
        <v>14.912500000000001</v>
      </c>
      <c r="C411" s="201">
        <f>AVERAGE(C405:C408)</f>
        <v>14.4575</v>
      </c>
      <c r="D411" s="201">
        <f>AVERAGE(D405:D408)</f>
        <v>14.1</v>
      </c>
      <c r="E411" s="201">
        <f>AVERAGE(E405:E408)</f>
        <v>10.9625</v>
      </c>
      <c r="F411" s="201">
        <f>AVERAGE(F403:F408)</f>
        <v>12.362500000000001</v>
      </c>
      <c r="G411" s="201">
        <f>AVERAGE(G405:G409)</f>
        <v>5.3479999999999999</v>
      </c>
      <c r="H411" s="202">
        <f>AVERAGE(H405:H409)</f>
        <v>10.37</v>
      </c>
      <c r="I411" s="201">
        <f>AVERAGE(I405:I408)</f>
        <v>10.33</v>
      </c>
    </row>
    <row r="412" spans="1:9">
      <c r="H412"/>
    </row>
    <row r="413" spans="1:9">
      <c r="A413" s="192" t="s">
        <v>1</v>
      </c>
      <c r="B413" s="193" t="s">
        <v>139</v>
      </c>
      <c r="C413" s="193" t="s">
        <v>140</v>
      </c>
      <c r="D413" s="193" t="s">
        <v>5</v>
      </c>
      <c r="E413" s="193" t="s">
        <v>6</v>
      </c>
      <c r="F413" s="194" t="s">
        <v>57</v>
      </c>
      <c r="G413" s="194" t="s">
        <v>58</v>
      </c>
      <c r="H413" s="195" t="s">
        <v>145</v>
      </c>
      <c r="I413" s="194" t="s">
        <v>61</v>
      </c>
    </row>
    <row r="414" spans="1:9">
      <c r="A414" s="196"/>
      <c r="B414" s="179" t="s">
        <v>146</v>
      </c>
      <c r="C414" s="179" t="s">
        <v>146</v>
      </c>
      <c r="D414" s="179" t="s">
        <v>146</v>
      </c>
      <c r="E414" s="179" t="s">
        <v>146</v>
      </c>
      <c r="F414" s="179" t="s">
        <v>146</v>
      </c>
      <c r="G414" s="179" t="s">
        <v>146</v>
      </c>
      <c r="H414" s="197" t="s">
        <v>146</v>
      </c>
      <c r="I414" s="179" t="s">
        <v>146</v>
      </c>
    </row>
    <row r="415" spans="1:9">
      <c r="A415" s="198">
        <v>37018</v>
      </c>
      <c r="B415" s="184">
        <v>16.04</v>
      </c>
      <c r="C415" s="184">
        <v>15.54</v>
      </c>
      <c r="D415" s="184">
        <v>15.01</v>
      </c>
      <c r="E415" s="184">
        <v>11.04</v>
      </c>
      <c r="F415" s="184">
        <v>12.35</v>
      </c>
      <c r="G415" s="39">
        <f>+(5.252401+5.5)/2</f>
        <v>5.3762004999999995</v>
      </c>
      <c r="H415" s="59">
        <f>+(10.3667+10.23)/2</f>
        <v>10.298349999999999</v>
      </c>
      <c r="I415" s="184">
        <v>10.33</v>
      </c>
    </row>
    <row r="416" spans="1:9">
      <c r="A416" s="198">
        <v>37025</v>
      </c>
      <c r="B416" s="39">
        <v>16.63</v>
      </c>
      <c r="C416" s="39">
        <v>16.02</v>
      </c>
      <c r="D416" s="39">
        <v>15.39</v>
      </c>
      <c r="E416" s="39">
        <v>11.05</v>
      </c>
      <c r="F416" s="39">
        <v>12.37</v>
      </c>
      <c r="G416" s="39">
        <f>+(5.607272+5.35)/2</f>
        <v>5.4786359999999998</v>
      </c>
      <c r="H416" s="59">
        <f>+(10.7825+10.12)/2</f>
        <v>10.45125</v>
      </c>
      <c r="I416" s="184">
        <v>10.33</v>
      </c>
    </row>
    <row r="417" spans="1:9">
      <c r="A417" s="198">
        <v>37032</v>
      </c>
      <c r="B417" s="39">
        <v>16.43</v>
      </c>
      <c r="C417" s="39">
        <v>15.99</v>
      </c>
      <c r="D417" s="39">
        <v>15.38</v>
      </c>
      <c r="E417" s="39">
        <v>11.03</v>
      </c>
      <c r="F417" s="39">
        <v>12.37</v>
      </c>
      <c r="G417" s="39">
        <f>+(5.499835+5.35)/2</f>
        <v>5.4249174999999994</v>
      </c>
      <c r="H417" s="59">
        <f>+(10.7825+10.12)/2</f>
        <v>10.45125</v>
      </c>
      <c r="I417" s="184">
        <v>10.33</v>
      </c>
    </row>
    <row r="418" spans="1:9">
      <c r="A418" s="198">
        <v>37039</v>
      </c>
      <c r="B418" s="39">
        <v>16.37</v>
      </c>
      <c r="C418" s="39">
        <v>15.83</v>
      </c>
      <c r="D418" s="39">
        <v>15.32</v>
      </c>
      <c r="E418" s="39">
        <v>10.96</v>
      </c>
      <c r="F418" s="39">
        <v>12.37</v>
      </c>
      <c r="G418" s="39">
        <f>+(5.35+5.472907)/2</f>
        <v>5.4114535000000004</v>
      </c>
      <c r="H418" s="59">
        <f>+(10.7825+10.45)/2</f>
        <v>10.616250000000001</v>
      </c>
      <c r="I418" s="184">
        <v>10.33</v>
      </c>
    </row>
    <row r="419" spans="1:9">
      <c r="A419" s="198"/>
      <c r="B419" s="39"/>
      <c r="C419" s="39"/>
      <c r="D419" s="39"/>
      <c r="E419" s="39"/>
      <c r="F419" s="39"/>
      <c r="G419" s="39"/>
      <c r="H419" s="199"/>
      <c r="I419" s="184"/>
    </row>
    <row r="420" spans="1:9">
      <c r="A420" s="200" t="s">
        <v>7</v>
      </c>
      <c r="B420" s="201">
        <f t="shared" ref="B420:I420" si="17">AVERAGE(B415:B418)</f>
        <v>16.3675</v>
      </c>
      <c r="C420" s="201">
        <f t="shared" si="17"/>
        <v>15.844999999999999</v>
      </c>
      <c r="D420" s="201">
        <f t="shared" si="17"/>
        <v>15.275</v>
      </c>
      <c r="E420" s="201">
        <f t="shared" si="17"/>
        <v>11.02</v>
      </c>
      <c r="F420" s="201">
        <f t="shared" si="17"/>
        <v>12.364999999999998</v>
      </c>
      <c r="G420" s="201">
        <f t="shared" si="17"/>
        <v>5.4228018749999993</v>
      </c>
      <c r="H420" s="202">
        <f t="shared" si="17"/>
        <v>10.454275000000001</v>
      </c>
      <c r="I420" s="201">
        <f t="shared" si="17"/>
        <v>10.33</v>
      </c>
    </row>
    <row r="421" spans="1:9">
      <c r="H421"/>
    </row>
    <row r="422" spans="1:9">
      <c r="A422" s="192" t="s">
        <v>1</v>
      </c>
      <c r="B422" s="193" t="s">
        <v>139</v>
      </c>
      <c r="C422" s="193" t="s">
        <v>140</v>
      </c>
      <c r="D422" s="193" t="s">
        <v>5</v>
      </c>
      <c r="E422" s="193" t="s">
        <v>6</v>
      </c>
      <c r="F422" s="194" t="s">
        <v>57</v>
      </c>
      <c r="G422" s="194" t="s">
        <v>58</v>
      </c>
      <c r="H422" s="195" t="s">
        <v>145</v>
      </c>
      <c r="I422" s="194" t="s">
        <v>61</v>
      </c>
    </row>
    <row r="423" spans="1:9">
      <c r="A423" s="196"/>
      <c r="B423" s="179" t="s">
        <v>146</v>
      </c>
      <c r="C423" s="179" t="s">
        <v>146</v>
      </c>
      <c r="D423" s="179" t="s">
        <v>146</v>
      </c>
      <c r="E423" s="179" t="s">
        <v>146</v>
      </c>
      <c r="F423" s="179" t="s">
        <v>146</v>
      </c>
      <c r="G423" s="179" t="s">
        <v>146</v>
      </c>
      <c r="H423" s="197" t="s">
        <v>146</v>
      </c>
      <c r="I423" s="179" t="s">
        <v>146</v>
      </c>
    </row>
    <row r="424" spans="1:9">
      <c r="A424" s="198">
        <v>37046</v>
      </c>
      <c r="B424" s="184">
        <v>16.43</v>
      </c>
      <c r="C424" s="184">
        <v>15.85</v>
      </c>
      <c r="D424" s="184">
        <v>15.35</v>
      </c>
      <c r="E424" s="184">
        <v>11.01</v>
      </c>
      <c r="F424" s="39">
        <v>12.3</v>
      </c>
      <c r="G424" s="39">
        <f>+(5.3+5.472907)/2</f>
        <v>5.3864535</v>
      </c>
      <c r="H424" s="59">
        <f>+(10.5363+10.45)/2</f>
        <v>10.49315</v>
      </c>
      <c r="I424" s="39">
        <f>+(58.14/25)*4.19</f>
        <v>9.7442640000000011</v>
      </c>
    </row>
    <row r="425" spans="1:9">
      <c r="A425" s="198">
        <v>37053</v>
      </c>
      <c r="B425" s="39">
        <v>16.37</v>
      </c>
      <c r="C425" s="39">
        <v>15.8</v>
      </c>
      <c r="D425" s="39">
        <v>15.3</v>
      </c>
      <c r="E425" s="39">
        <v>10.96</v>
      </c>
      <c r="F425" s="39">
        <v>12.23</v>
      </c>
      <c r="G425" s="39">
        <f>+(5.3+5.472907)/2</f>
        <v>5.3864535</v>
      </c>
      <c r="H425" s="59">
        <f>+(10.5363+10.45)/2</f>
        <v>10.49315</v>
      </c>
      <c r="I425" s="39">
        <f>+(57.19/25)*4.19</f>
        <v>9.5850439999999999</v>
      </c>
    </row>
    <row r="426" spans="1:9">
      <c r="A426" s="198">
        <v>37060</v>
      </c>
      <c r="B426" s="39">
        <v>16.309999999999999</v>
      </c>
      <c r="C426" s="39">
        <v>15.74</v>
      </c>
      <c r="D426" s="39">
        <v>15.25</v>
      </c>
      <c r="E426" s="39">
        <v>10.91</v>
      </c>
      <c r="F426" s="39">
        <v>12.23</v>
      </c>
      <c r="G426" s="39">
        <v>5.39</v>
      </c>
      <c r="H426" s="59">
        <f>+(10.5363+10.45)/2</f>
        <v>10.49315</v>
      </c>
      <c r="I426" s="39">
        <f>+(57.19/25)*4.19</f>
        <v>9.5850439999999999</v>
      </c>
    </row>
    <row r="427" spans="1:9">
      <c r="A427" s="198">
        <v>37067</v>
      </c>
      <c r="B427" s="39">
        <v>16.13</v>
      </c>
      <c r="C427" s="39">
        <v>15.65</v>
      </c>
      <c r="D427" s="39">
        <v>15.19</v>
      </c>
      <c r="E427" s="39">
        <v>10.85</v>
      </c>
      <c r="F427" s="39">
        <v>12.23</v>
      </c>
      <c r="G427" s="39">
        <f>+(5.3+5.793898)/2</f>
        <v>5.5469489999999997</v>
      </c>
      <c r="H427" s="59">
        <f>+(10.5363+10.45)/2</f>
        <v>10.49315</v>
      </c>
      <c r="I427" s="39">
        <f>+(57.19/25)*4.19</f>
        <v>9.5850439999999999</v>
      </c>
    </row>
    <row r="428" spans="1:9">
      <c r="A428" s="198"/>
      <c r="B428" s="39"/>
      <c r="C428" s="39"/>
      <c r="D428" s="39"/>
      <c r="E428" s="39"/>
      <c r="F428" s="39"/>
      <c r="G428" s="39"/>
      <c r="H428" s="199"/>
      <c r="I428" s="184"/>
    </row>
    <row r="429" spans="1:9">
      <c r="A429" s="200" t="s">
        <v>7</v>
      </c>
      <c r="B429" s="201">
        <f t="shared" ref="B429:I429" si="18">AVERAGE(B424:B427)</f>
        <v>16.309999999999999</v>
      </c>
      <c r="C429" s="201">
        <f t="shared" si="18"/>
        <v>15.76</v>
      </c>
      <c r="D429" s="201">
        <f t="shared" si="18"/>
        <v>15.272499999999999</v>
      </c>
      <c r="E429" s="201">
        <f t="shared" si="18"/>
        <v>10.932499999999999</v>
      </c>
      <c r="F429" s="201">
        <f t="shared" si="18"/>
        <v>12.247500000000002</v>
      </c>
      <c r="G429" s="201">
        <f t="shared" si="18"/>
        <v>5.4274640000000005</v>
      </c>
      <c r="H429" s="202">
        <f t="shared" si="18"/>
        <v>10.49315</v>
      </c>
      <c r="I429" s="201">
        <f t="shared" si="18"/>
        <v>9.6248490000000011</v>
      </c>
    </row>
    <row r="430" spans="1:9">
      <c r="H430"/>
    </row>
    <row r="431" spans="1:9">
      <c r="A431" s="192" t="s">
        <v>1</v>
      </c>
      <c r="B431" s="193" t="s">
        <v>139</v>
      </c>
      <c r="C431" s="193" t="s">
        <v>140</v>
      </c>
      <c r="D431" s="193" t="s">
        <v>5</v>
      </c>
      <c r="E431" s="193" t="s">
        <v>6</v>
      </c>
      <c r="F431" s="194" t="s">
        <v>57</v>
      </c>
      <c r="G431" s="194" t="s">
        <v>58</v>
      </c>
      <c r="H431" s="195" t="s">
        <v>145</v>
      </c>
      <c r="I431" s="194" t="s">
        <v>61</v>
      </c>
    </row>
    <row r="432" spans="1:9">
      <c r="A432" s="196"/>
      <c r="B432" s="179" t="s">
        <v>146</v>
      </c>
      <c r="C432" s="179" t="s">
        <v>146</v>
      </c>
      <c r="D432" s="179" t="s">
        <v>146</v>
      </c>
      <c r="E432" s="179" t="s">
        <v>146</v>
      </c>
      <c r="F432" s="179" t="s">
        <v>146</v>
      </c>
      <c r="G432" s="179" t="s">
        <v>146</v>
      </c>
      <c r="H432" s="197" t="s">
        <v>146</v>
      </c>
      <c r="I432" s="179" t="s">
        <v>146</v>
      </c>
    </row>
    <row r="433" spans="1:9">
      <c r="A433" s="198">
        <v>37074</v>
      </c>
      <c r="B433" s="184">
        <v>15.56</v>
      </c>
      <c r="C433" s="184">
        <v>15.51</v>
      </c>
      <c r="D433" s="184">
        <v>15.06</v>
      </c>
      <c r="E433" s="184">
        <v>10.82</v>
      </c>
      <c r="F433" s="39">
        <v>12.23</v>
      </c>
      <c r="G433" s="39">
        <f>+(5.7+5.57981+5.930309)/3</f>
        <v>5.7367063333333341</v>
      </c>
      <c r="H433" s="59">
        <f>+(10.1364+10.34)/2</f>
        <v>10.238199999999999</v>
      </c>
      <c r="I433" s="39">
        <f>+(57.19/25)*4.19</f>
        <v>9.5850439999999999</v>
      </c>
    </row>
    <row r="434" spans="1:9">
      <c r="A434" s="198">
        <v>37081</v>
      </c>
      <c r="B434" s="39">
        <v>15.82</v>
      </c>
      <c r="C434" s="39">
        <v>15.31</v>
      </c>
      <c r="D434" s="39">
        <v>14.9</v>
      </c>
      <c r="E434" s="39">
        <v>10.76</v>
      </c>
      <c r="F434" s="39">
        <v>11.9</v>
      </c>
      <c r="G434" s="39">
        <f>+(5.7+5.63188+5.930309)/3</f>
        <v>5.7540629999999995</v>
      </c>
      <c r="H434" s="59">
        <f>+(10.1364+9.83)/2</f>
        <v>9.9832000000000001</v>
      </c>
      <c r="I434" s="39">
        <f>+(57.19/25)*4.19</f>
        <v>9.5850439999999999</v>
      </c>
    </row>
    <row r="435" spans="1:9">
      <c r="A435" s="198">
        <v>37088</v>
      </c>
      <c r="B435" s="39">
        <v>15.68</v>
      </c>
      <c r="C435" s="39">
        <v>15.18</v>
      </c>
      <c r="D435" s="39">
        <v>14.77</v>
      </c>
      <c r="E435" s="39">
        <v>10.7</v>
      </c>
      <c r="F435" s="39">
        <v>11.83</v>
      </c>
      <c r="G435" s="39">
        <f>+(5.930309+5.63188+5.7)/3</f>
        <v>5.7540629999999995</v>
      </c>
      <c r="H435" s="59">
        <f>+(8.93+9.9478)/2</f>
        <v>9.4389000000000003</v>
      </c>
      <c r="I435" s="39">
        <f>+(53.19/25)*4.19</f>
        <v>8.9146439999999991</v>
      </c>
    </row>
    <row r="436" spans="1:9">
      <c r="A436" s="198">
        <v>37095</v>
      </c>
      <c r="B436" s="39">
        <v>15.44</v>
      </c>
      <c r="C436" s="39">
        <v>14.93</v>
      </c>
      <c r="D436" s="39">
        <v>14.52</v>
      </c>
      <c r="E436" s="39">
        <v>10.63</v>
      </c>
      <c r="F436" s="39">
        <v>11.83</v>
      </c>
      <c r="G436" s="39">
        <f>(5.556628+5.7+5.54633)/3</f>
        <v>5.6009859999999998</v>
      </c>
      <c r="H436" s="59">
        <f>+(9.9478+9.42)/2</f>
        <v>9.6839000000000013</v>
      </c>
      <c r="I436" s="39">
        <f>+(52.31/25)*4.19</f>
        <v>8.7671560000000017</v>
      </c>
    </row>
    <row r="437" spans="1:9">
      <c r="A437" s="198">
        <v>37099</v>
      </c>
      <c r="B437" s="39">
        <v>15.14</v>
      </c>
      <c r="C437" s="39">
        <v>14.67</v>
      </c>
      <c r="D437" s="39">
        <v>14.25</v>
      </c>
      <c r="E437" s="39">
        <v>10.58</v>
      </c>
      <c r="F437" s="39">
        <v>11.83</v>
      </c>
      <c r="G437" s="39">
        <f>(5.556628+5.7+5.54633)/3</f>
        <v>5.6009859999999998</v>
      </c>
      <c r="H437" s="59">
        <f>+(9.9478+9.42)/2</f>
        <v>9.6839000000000013</v>
      </c>
      <c r="I437" s="39">
        <f>+(51.84/25)*4.19</f>
        <v>8.6883840000000028</v>
      </c>
    </row>
    <row r="438" spans="1:9">
      <c r="A438" s="198"/>
      <c r="B438" s="39"/>
      <c r="C438" s="39"/>
      <c r="D438" s="39"/>
      <c r="E438" s="39"/>
      <c r="F438" s="39"/>
      <c r="G438" s="39"/>
      <c r="H438" s="199"/>
      <c r="I438" s="184"/>
    </row>
    <row r="439" spans="1:9">
      <c r="A439" s="200" t="s">
        <v>7</v>
      </c>
      <c r="B439" s="201">
        <f t="shared" ref="B439:I439" si="19">AVERAGE(B433:B437)</f>
        <v>15.528</v>
      </c>
      <c r="C439" s="201">
        <f t="shared" si="19"/>
        <v>15.12</v>
      </c>
      <c r="D439" s="201">
        <f t="shared" si="19"/>
        <v>14.7</v>
      </c>
      <c r="E439" s="201">
        <f t="shared" si="19"/>
        <v>10.698</v>
      </c>
      <c r="F439" s="201">
        <f t="shared" si="19"/>
        <v>11.923999999999999</v>
      </c>
      <c r="G439" s="201">
        <f t="shared" si="19"/>
        <v>5.6893608666666662</v>
      </c>
      <c r="H439" s="202">
        <f t="shared" si="19"/>
        <v>9.8056200000000011</v>
      </c>
      <c r="I439" s="201">
        <f t="shared" si="19"/>
        <v>9.1080544000000003</v>
      </c>
    </row>
    <row r="440" spans="1:9">
      <c r="H440"/>
    </row>
    <row r="441" spans="1:9">
      <c r="A441" s="192" t="s">
        <v>1</v>
      </c>
      <c r="B441" s="193" t="s">
        <v>139</v>
      </c>
      <c r="C441" s="193" t="s">
        <v>140</v>
      </c>
      <c r="D441" s="193" t="s">
        <v>5</v>
      </c>
      <c r="E441" s="193" t="s">
        <v>6</v>
      </c>
      <c r="F441" s="194" t="s">
        <v>57</v>
      </c>
      <c r="G441" s="194" t="s">
        <v>58</v>
      </c>
      <c r="H441" s="195" t="s">
        <v>145</v>
      </c>
      <c r="I441" s="194" t="s">
        <v>61</v>
      </c>
    </row>
    <row r="442" spans="1:9">
      <c r="A442" s="196"/>
      <c r="B442" s="179" t="s">
        <v>146</v>
      </c>
      <c r="C442" s="179" t="s">
        <v>146</v>
      </c>
      <c r="D442" s="179" t="s">
        <v>146</v>
      </c>
      <c r="E442" s="179" t="s">
        <v>146</v>
      </c>
      <c r="F442" s="179" t="s">
        <v>146</v>
      </c>
      <c r="G442" s="179" t="s">
        <v>146</v>
      </c>
      <c r="H442" s="197" t="s">
        <v>146</v>
      </c>
      <c r="I442" s="179" t="s">
        <v>146</v>
      </c>
    </row>
    <row r="443" spans="1:9">
      <c r="A443" s="198">
        <v>37106</v>
      </c>
      <c r="B443" s="184">
        <v>14.91</v>
      </c>
      <c r="C443" s="184">
        <v>14.45</v>
      </c>
      <c r="D443" s="184">
        <v>14.04</v>
      </c>
      <c r="E443" s="184">
        <v>10.57</v>
      </c>
      <c r="F443" s="39">
        <v>11.77</v>
      </c>
      <c r="G443" s="39">
        <f>(7.20664+7.15+6.7912)/3</f>
        <v>7.0492800000000004</v>
      </c>
      <c r="H443" s="59">
        <f>(9.9153+10.23+9.42)/3</f>
        <v>9.8551000000000002</v>
      </c>
      <c r="I443" s="39">
        <f>+(51.84/25)*4.19</f>
        <v>8.6883840000000028</v>
      </c>
    </row>
    <row r="444" spans="1:9">
      <c r="A444" s="198">
        <v>37116</v>
      </c>
      <c r="B444" s="39">
        <v>14.73</v>
      </c>
      <c r="C444" s="39">
        <v>14.3</v>
      </c>
      <c r="D444" s="39">
        <v>13.9</v>
      </c>
      <c r="E444" s="39">
        <v>10.48</v>
      </c>
      <c r="F444" s="39">
        <v>12.36</v>
      </c>
      <c r="G444" s="39">
        <f>(7.20664+7.15+6.7912)/3</f>
        <v>7.0492800000000004</v>
      </c>
      <c r="H444" s="59">
        <f>(9.9153+10.23+9.42)/3</f>
        <v>9.8551000000000002</v>
      </c>
      <c r="I444" s="39">
        <f>+(50.68/25)*4.19</f>
        <v>8.4939680000000006</v>
      </c>
    </row>
    <row r="445" spans="1:9">
      <c r="A445" s="198">
        <v>37123</v>
      </c>
      <c r="B445" s="39">
        <v>14.64</v>
      </c>
      <c r="C445" s="39">
        <v>14.26</v>
      </c>
      <c r="D445" s="39">
        <v>13.85</v>
      </c>
      <c r="E445" s="39">
        <v>10.47</v>
      </c>
      <c r="F445" s="39">
        <v>11.77</v>
      </c>
      <c r="G445" s="39">
        <f>(7.20664+7.25+6.7912)/3</f>
        <v>7.0826133333333336</v>
      </c>
      <c r="H445" s="59">
        <f>(10.3893+10.23+9.42)/3</f>
        <v>10.013100000000001</v>
      </c>
      <c r="I445" s="39">
        <f>+(50.55/25)*4.19</f>
        <v>8.4721799999999998</v>
      </c>
    </row>
    <row r="446" spans="1:9">
      <c r="A446" s="198">
        <v>37130</v>
      </c>
      <c r="B446" s="39">
        <v>14.64</v>
      </c>
      <c r="C446" s="39">
        <v>14.22</v>
      </c>
      <c r="D446" s="39">
        <v>13.81</v>
      </c>
      <c r="E446" s="39">
        <v>10.47</v>
      </c>
      <c r="F446" s="39">
        <v>11.84</v>
      </c>
      <c r="G446" s="39">
        <f>(7.20664+7.25+6.7912)/3</f>
        <v>7.0826133333333336</v>
      </c>
      <c r="H446" s="59">
        <f>(10.3893+10.23+9.42)/3</f>
        <v>10.013100000000001</v>
      </c>
      <c r="I446" s="39">
        <f>+(50.4/25)*4.19</f>
        <v>8.4470400000000012</v>
      </c>
    </row>
    <row r="447" spans="1:9">
      <c r="A447" s="198"/>
      <c r="B447" s="39"/>
      <c r="C447" s="39"/>
      <c r="D447" s="39"/>
      <c r="E447" s="39"/>
      <c r="F447" s="39"/>
      <c r="G447" s="39"/>
      <c r="H447" s="199"/>
      <c r="I447" s="39"/>
    </row>
    <row r="448" spans="1:9">
      <c r="A448" s="198"/>
      <c r="B448" s="39"/>
      <c r="C448" s="39"/>
      <c r="D448" s="39"/>
      <c r="E448" s="39"/>
      <c r="F448" s="39"/>
      <c r="G448" s="39"/>
      <c r="H448" s="199"/>
      <c r="I448" s="184"/>
    </row>
    <row r="449" spans="1:9">
      <c r="A449" s="200" t="s">
        <v>7</v>
      </c>
      <c r="B449" s="201">
        <f t="shared" ref="B449:I449" si="20">AVERAGE(B443:B446)</f>
        <v>14.73</v>
      </c>
      <c r="C449" s="201">
        <f t="shared" si="20"/>
        <v>14.307499999999999</v>
      </c>
      <c r="D449" s="201">
        <f t="shared" si="20"/>
        <v>13.9</v>
      </c>
      <c r="E449" s="201">
        <f t="shared" si="20"/>
        <v>10.4975</v>
      </c>
      <c r="F449" s="201">
        <f t="shared" si="20"/>
        <v>11.934999999999999</v>
      </c>
      <c r="G449" s="201">
        <f t="shared" si="20"/>
        <v>7.065946666666667</v>
      </c>
      <c r="H449" s="202">
        <f t="shared" si="20"/>
        <v>9.9341000000000008</v>
      </c>
      <c r="I449" s="201">
        <f t="shared" si="20"/>
        <v>8.5253930000000011</v>
      </c>
    </row>
    <row r="450" spans="1:9">
      <c r="H450"/>
    </row>
    <row r="451" spans="1:9">
      <c r="A451" s="192" t="s">
        <v>1</v>
      </c>
      <c r="B451" s="193" t="s">
        <v>139</v>
      </c>
      <c r="C451" s="193" t="s">
        <v>140</v>
      </c>
      <c r="D451" s="193" t="s">
        <v>5</v>
      </c>
      <c r="E451" s="193" t="s">
        <v>6</v>
      </c>
      <c r="F451" s="194" t="s">
        <v>57</v>
      </c>
      <c r="G451" s="194" t="s">
        <v>58</v>
      </c>
      <c r="H451" s="195" t="s">
        <v>145</v>
      </c>
      <c r="I451" s="194" t="s">
        <v>61</v>
      </c>
    </row>
    <row r="452" spans="1:9">
      <c r="A452" s="196"/>
      <c r="B452" s="179" t="s">
        <v>146</v>
      </c>
      <c r="C452" s="179" t="s">
        <v>146</v>
      </c>
      <c r="D452" s="179" t="s">
        <v>146</v>
      </c>
      <c r="E452" s="179" t="s">
        <v>146</v>
      </c>
      <c r="F452" s="179" t="s">
        <v>146</v>
      </c>
      <c r="G452" s="179" t="s">
        <v>146</v>
      </c>
      <c r="H452" s="197" t="s">
        <v>146</v>
      </c>
      <c r="I452" s="179" t="s">
        <v>146</v>
      </c>
    </row>
    <row r="453" spans="1:9">
      <c r="A453" s="198">
        <v>37137</v>
      </c>
      <c r="B453" s="184">
        <v>14.66</v>
      </c>
      <c r="C453" s="184">
        <v>14.24</v>
      </c>
      <c r="D453" s="184">
        <v>13.84</v>
      </c>
      <c r="E453" s="184">
        <v>10.48</v>
      </c>
      <c r="F453" s="39">
        <v>11.81</v>
      </c>
      <c r="G453" s="39">
        <f>(7.4745+7.5+7.10163)/3</f>
        <v>7.3587099999999994</v>
      </c>
      <c r="H453" s="59">
        <f>(10.3893+10.23+9.57)/3</f>
        <v>10.0631</v>
      </c>
      <c r="I453" s="39">
        <f>+(50.4/25)*4.19</f>
        <v>8.4470400000000012</v>
      </c>
    </row>
    <row r="454" spans="1:9">
      <c r="A454" s="198">
        <v>37144</v>
      </c>
      <c r="B454" s="39">
        <v>14.8</v>
      </c>
      <c r="C454" s="39">
        <v>14.37</v>
      </c>
      <c r="D454" s="39">
        <v>13.97</v>
      </c>
      <c r="E454" s="39">
        <v>10.53</v>
      </c>
      <c r="F454" s="39">
        <v>11.81</v>
      </c>
      <c r="G454" s="39">
        <f>(6.9348+7.5+7.10163)/3</f>
        <v>7.1788099999999995</v>
      </c>
      <c r="H454" s="59">
        <f>(10.6007+10.4+10.4)/3</f>
        <v>10.466900000000001</v>
      </c>
      <c r="I454" s="39">
        <f>+(50.55/25)*4.19</f>
        <v>8.4721799999999998</v>
      </c>
    </row>
    <row r="455" spans="1:9">
      <c r="A455" s="198">
        <v>37151</v>
      </c>
      <c r="B455" s="39">
        <v>15.06</v>
      </c>
      <c r="C455" s="39">
        <v>14.64</v>
      </c>
      <c r="D455" s="39">
        <v>14.19</v>
      </c>
      <c r="E455" s="39">
        <v>10.65</v>
      </c>
      <c r="F455" s="39">
        <v>11.94</v>
      </c>
      <c r="G455" s="39">
        <f>(6.9348+7.5+7.81005)/3</f>
        <v>7.4149500000000002</v>
      </c>
      <c r="H455" s="59">
        <f>(11.0566+10.4+10.4)/3</f>
        <v>10.618866666666667</v>
      </c>
      <c r="I455" s="39">
        <f>+(50.55/25)*4.19</f>
        <v>8.4721799999999998</v>
      </c>
    </row>
    <row r="456" spans="1:9">
      <c r="A456" s="198">
        <v>37158</v>
      </c>
      <c r="B456" s="39">
        <v>15.29</v>
      </c>
      <c r="C456" s="39">
        <v>14.76</v>
      </c>
      <c r="D456" s="39">
        <v>14.32</v>
      </c>
      <c r="E456" s="39">
        <v>10.72</v>
      </c>
      <c r="F456" s="39">
        <v>11.94</v>
      </c>
      <c r="G456" s="39">
        <f>(8.1871+8.8+7.81005)/3</f>
        <v>8.2657166666666662</v>
      </c>
      <c r="H456" s="59">
        <f>(11.0566+10.4+10.4)/3</f>
        <v>10.618866666666667</v>
      </c>
      <c r="I456" s="39">
        <f>+(50.06/25)*4.19</f>
        <v>8.3900560000000013</v>
      </c>
    </row>
    <row r="457" spans="1:9">
      <c r="A457" s="198"/>
      <c r="B457" s="39"/>
      <c r="C457" s="39"/>
      <c r="D457" s="39"/>
      <c r="E457" s="39"/>
      <c r="F457" s="39"/>
      <c r="G457" s="39"/>
      <c r="H457" s="199"/>
      <c r="I457" s="184"/>
    </row>
    <row r="458" spans="1:9">
      <c r="A458" s="200" t="s">
        <v>7</v>
      </c>
      <c r="B458" s="201">
        <f t="shared" ref="B458:I458" si="21">AVERAGE(B453:B456)</f>
        <v>14.952500000000001</v>
      </c>
      <c r="C458" s="201">
        <f t="shared" si="21"/>
        <v>14.5025</v>
      </c>
      <c r="D458" s="201">
        <f t="shared" si="21"/>
        <v>14.08</v>
      </c>
      <c r="E458" s="201">
        <f t="shared" si="21"/>
        <v>10.594999999999999</v>
      </c>
      <c r="F458" s="201">
        <f t="shared" si="21"/>
        <v>11.875</v>
      </c>
      <c r="G458" s="201">
        <f t="shared" si="21"/>
        <v>7.5545466666666661</v>
      </c>
      <c r="H458" s="202">
        <f t="shared" si="21"/>
        <v>10.441933333333335</v>
      </c>
      <c r="I458" s="201">
        <f t="shared" si="21"/>
        <v>8.4453640000000014</v>
      </c>
    </row>
    <row r="459" spans="1:9">
      <c r="H459"/>
    </row>
    <row r="460" spans="1:9">
      <c r="A460" s="192" t="s">
        <v>1</v>
      </c>
      <c r="B460" s="193" t="s">
        <v>139</v>
      </c>
      <c r="C460" s="193" t="s">
        <v>140</v>
      </c>
      <c r="D460" s="193" t="s">
        <v>5</v>
      </c>
      <c r="E460" s="193" t="s">
        <v>6</v>
      </c>
      <c r="F460" s="194" t="s">
        <v>57</v>
      </c>
      <c r="G460" s="194" t="s">
        <v>58</v>
      </c>
      <c r="H460" s="195" t="s">
        <v>145</v>
      </c>
      <c r="I460" s="194" t="s">
        <v>61</v>
      </c>
    </row>
    <row r="461" spans="1:9">
      <c r="A461" s="196"/>
      <c r="B461" s="179" t="s">
        <v>146</v>
      </c>
      <c r="C461" s="179" t="s">
        <v>146</v>
      </c>
      <c r="D461" s="179" t="s">
        <v>146</v>
      </c>
      <c r="E461" s="179" t="s">
        <v>146</v>
      </c>
      <c r="F461" s="179" t="s">
        <v>146</v>
      </c>
      <c r="G461" s="179" t="s">
        <v>146</v>
      </c>
      <c r="H461" s="197" t="s">
        <v>146</v>
      </c>
      <c r="I461" s="179" t="s">
        <v>146</v>
      </c>
    </row>
    <row r="462" spans="1:9">
      <c r="A462" s="198">
        <v>37165</v>
      </c>
      <c r="B462" s="184">
        <v>15.32</v>
      </c>
      <c r="C462" s="184">
        <v>14.74</v>
      </c>
      <c r="D462" s="184">
        <v>14.3</v>
      </c>
      <c r="E462" s="184">
        <v>10.72</v>
      </c>
      <c r="F462" s="39">
        <v>12.07</v>
      </c>
      <c r="G462" s="39">
        <f>+(7.5+7.55038)/2</f>
        <v>7.5251900000000003</v>
      </c>
      <c r="H462" s="59">
        <f>+(9.8766+10.4)/2</f>
        <v>10.138300000000001</v>
      </c>
      <c r="I462" s="39">
        <f>+(50.23/25)*4.19</f>
        <v>8.4185479999999995</v>
      </c>
    </row>
    <row r="463" spans="1:9">
      <c r="A463" s="198">
        <v>37172</v>
      </c>
      <c r="B463" s="39">
        <v>15.09</v>
      </c>
      <c r="C463" s="39">
        <v>14.6</v>
      </c>
      <c r="D463" s="39">
        <v>14.17</v>
      </c>
      <c r="E463" s="39">
        <v>10.67</v>
      </c>
      <c r="F463" s="39">
        <v>12.17</v>
      </c>
      <c r="G463" s="39">
        <f>+(7.5+7.55038)/2</f>
        <v>7.5251900000000003</v>
      </c>
      <c r="H463" s="59">
        <f>+(9.8766+10.4)/2</f>
        <v>10.138300000000001</v>
      </c>
      <c r="I463" s="39">
        <f>+(50.23/25)*4.19</f>
        <v>8.4185479999999995</v>
      </c>
    </row>
    <row r="464" spans="1:9">
      <c r="A464" s="198">
        <v>37179</v>
      </c>
      <c r="B464" s="39">
        <v>14.8</v>
      </c>
      <c r="C464" s="39">
        <v>14.42</v>
      </c>
      <c r="D464" s="39">
        <v>14.01</v>
      </c>
      <c r="E464" s="39">
        <v>10.57</v>
      </c>
      <c r="F464" s="39">
        <v>12.07</v>
      </c>
      <c r="G464" s="39">
        <f>+(7.5+6.90296)/2</f>
        <v>7.2014800000000001</v>
      </c>
      <c r="H464" s="59">
        <f>+(10.15+9.75)/2</f>
        <v>9.9499999999999993</v>
      </c>
      <c r="I464" s="39">
        <f>+(50.23/25)*4.19</f>
        <v>8.4185479999999995</v>
      </c>
    </row>
    <row r="465" spans="1:9">
      <c r="A465" s="198">
        <v>37186</v>
      </c>
      <c r="B465" s="39">
        <v>14.77</v>
      </c>
      <c r="C465" s="39">
        <v>14.35</v>
      </c>
      <c r="D465" s="39">
        <v>13.93</v>
      </c>
      <c r="E465" s="39">
        <v>10.55</v>
      </c>
      <c r="F465" s="39">
        <v>11.81</v>
      </c>
      <c r="G465" s="39">
        <v>6.5166700000000004</v>
      </c>
      <c r="H465" s="59">
        <f>+(10.15+9.75)/2</f>
        <v>9.9499999999999993</v>
      </c>
      <c r="I465" s="39">
        <f>+(50.29/25)*4.19</f>
        <v>8.4286040000000018</v>
      </c>
    </row>
    <row r="466" spans="1:9">
      <c r="A466" s="198">
        <v>37193</v>
      </c>
      <c r="B466" s="39">
        <v>14.73</v>
      </c>
      <c r="C466" s="39">
        <v>14.28</v>
      </c>
      <c r="D466" s="39">
        <v>13.87</v>
      </c>
      <c r="E466" s="39">
        <v>10.53</v>
      </c>
      <c r="F466" s="39">
        <v>11.18</v>
      </c>
      <c r="G466" s="39">
        <f>+(7+6.51667)/2</f>
        <v>6.7583350000000006</v>
      </c>
      <c r="H466" s="59">
        <v>9.3828999999999994</v>
      </c>
      <c r="I466" s="39">
        <f>+(50.26/25)*4.19</f>
        <v>8.4235759999999988</v>
      </c>
    </row>
    <row r="467" spans="1:9">
      <c r="A467" s="198"/>
      <c r="B467" s="39"/>
      <c r="C467" s="39"/>
      <c r="D467" s="39"/>
      <c r="E467" s="39"/>
      <c r="F467" s="39"/>
      <c r="G467" s="39"/>
      <c r="H467" s="199"/>
      <c r="I467" s="184"/>
    </row>
    <row r="468" spans="1:9">
      <c r="A468" s="200" t="s">
        <v>7</v>
      </c>
      <c r="B468" s="201">
        <f t="shared" ref="B468:G468" si="22">AVERAGE(B462:B466)</f>
        <v>14.942000000000002</v>
      </c>
      <c r="C468" s="201">
        <f t="shared" si="22"/>
        <v>14.478</v>
      </c>
      <c r="D468" s="201">
        <f t="shared" si="22"/>
        <v>14.056000000000001</v>
      </c>
      <c r="E468" s="201">
        <f t="shared" si="22"/>
        <v>10.608000000000001</v>
      </c>
      <c r="F468" s="201">
        <f t="shared" si="22"/>
        <v>11.860000000000001</v>
      </c>
      <c r="G468" s="201">
        <f t="shared" si="22"/>
        <v>7.1053730000000002</v>
      </c>
      <c r="H468" s="202">
        <f>AVERAGE(H462:H465)</f>
        <v>10.04415</v>
      </c>
      <c r="I468" s="201">
        <f>AVERAGE(I462:I466)</f>
        <v>8.4215647999999987</v>
      </c>
    </row>
    <row r="469" spans="1:9">
      <c r="H469"/>
    </row>
    <row r="470" spans="1:9">
      <c r="A470" s="192" t="s">
        <v>1</v>
      </c>
      <c r="B470" s="193" t="s">
        <v>139</v>
      </c>
      <c r="C470" s="193" t="s">
        <v>140</v>
      </c>
      <c r="D470" s="193" t="s">
        <v>5</v>
      </c>
      <c r="E470" s="193" t="s">
        <v>6</v>
      </c>
      <c r="F470" s="194" t="s">
        <v>57</v>
      </c>
      <c r="G470" s="194" t="s">
        <v>58</v>
      </c>
      <c r="H470" s="195" t="s">
        <v>145</v>
      </c>
      <c r="I470" s="194" t="s">
        <v>61</v>
      </c>
    </row>
    <row r="471" spans="1:9">
      <c r="A471" s="196"/>
      <c r="B471" s="179" t="s">
        <v>146</v>
      </c>
      <c r="C471" s="179" t="s">
        <v>146</v>
      </c>
      <c r="D471" s="179" t="s">
        <v>146</v>
      </c>
      <c r="E471" s="179" t="s">
        <v>146</v>
      </c>
      <c r="F471" s="179" t="s">
        <v>146</v>
      </c>
      <c r="G471" s="179" t="s">
        <v>146</v>
      </c>
      <c r="H471" s="197" t="s">
        <v>146</v>
      </c>
      <c r="I471" s="179" t="s">
        <v>146</v>
      </c>
    </row>
    <row r="472" spans="1:9">
      <c r="A472" s="198">
        <v>37200</v>
      </c>
      <c r="B472" s="184">
        <v>14.58</v>
      </c>
      <c r="C472" s="184">
        <v>14.18</v>
      </c>
      <c r="D472" s="184">
        <v>13.76</v>
      </c>
      <c r="E472" s="184">
        <v>10.49</v>
      </c>
      <c r="F472" s="39">
        <v>11.57</v>
      </c>
      <c r="G472" s="39">
        <f>(7.0669+7+6.51667)/3</f>
        <v>6.8611900000000006</v>
      </c>
      <c r="H472" s="59">
        <f>(9.3829+9.75)/2</f>
        <v>9.5664499999999997</v>
      </c>
      <c r="I472" s="39">
        <f>+(49.55/25)*4.19</f>
        <v>8.3045800000000014</v>
      </c>
    </row>
    <row r="473" spans="1:9">
      <c r="A473" s="198">
        <v>37207</v>
      </c>
      <c r="B473" s="39">
        <v>14.5</v>
      </c>
      <c r="C473" s="39">
        <v>14.05</v>
      </c>
      <c r="D473" s="39">
        <v>13.63</v>
      </c>
      <c r="E473" s="39">
        <v>10.42</v>
      </c>
      <c r="F473" s="39">
        <v>11.57</v>
      </c>
      <c r="G473" s="39">
        <f>(6.812535+6.5+6.43171)/3</f>
        <v>6.5814149999999998</v>
      </c>
      <c r="H473" s="59">
        <f>(9.3829+9.5)/2</f>
        <v>9.4414499999999997</v>
      </c>
      <c r="I473" s="39">
        <f>+(49.55/25)*4.19</f>
        <v>8.3045800000000014</v>
      </c>
    </row>
    <row r="474" spans="1:9">
      <c r="A474" s="198">
        <v>37214</v>
      </c>
      <c r="B474" s="39">
        <v>14.33</v>
      </c>
      <c r="C474" s="39">
        <v>13.88</v>
      </c>
      <c r="D474" s="39">
        <v>13.45</v>
      </c>
      <c r="E474" s="39">
        <v>10.34</v>
      </c>
      <c r="F474" s="39">
        <v>11.57</v>
      </c>
      <c r="G474" s="39">
        <f>(6.812535+6.5+6.43171)/3</f>
        <v>6.5814149999999998</v>
      </c>
      <c r="H474" s="59">
        <f>(9+9.5)/2</f>
        <v>9.25</v>
      </c>
      <c r="I474" s="39">
        <f>+(49.91/25)*4.19</f>
        <v>8.3649160000000009</v>
      </c>
    </row>
    <row r="475" spans="1:9">
      <c r="A475" s="198">
        <v>37221</v>
      </c>
      <c r="B475" s="39">
        <v>14.32</v>
      </c>
      <c r="C475" s="39">
        <v>13.83</v>
      </c>
      <c r="D475" s="39">
        <v>13.42</v>
      </c>
      <c r="E475" s="39">
        <v>10.32</v>
      </c>
      <c r="F475" s="39">
        <v>11.57</v>
      </c>
      <c r="G475" s="39">
        <f>(6.776247+6.5+6.43171)/3</f>
        <v>6.5693190000000001</v>
      </c>
      <c r="H475" s="59">
        <f>(9+9.5)/2</f>
        <v>9.25</v>
      </c>
      <c r="I475" s="39">
        <f>+(49.91/25)*4.19</f>
        <v>8.3649160000000009</v>
      </c>
    </row>
    <row r="476" spans="1:9">
      <c r="A476" s="198"/>
      <c r="B476" s="39"/>
      <c r="C476" s="39"/>
      <c r="D476" s="39"/>
      <c r="E476" s="39"/>
      <c r="F476" s="39"/>
      <c r="G476" s="39"/>
      <c r="H476" s="199"/>
      <c r="I476" s="184"/>
    </row>
    <row r="477" spans="1:9">
      <c r="A477" s="200" t="s">
        <v>7</v>
      </c>
      <c r="B477" s="201">
        <f t="shared" ref="B477:I477" si="23">AVERAGE(B472:B475)</f>
        <v>14.432499999999999</v>
      </c>
      <c r="C477" s="201">
        <f t="shared" si="23"/>
        <v>13.984999999999999</v>
      </c>
      <c r="D477" s="201">
        <f t="shared" si="23"/>
        <v>13.565000000000001</v>
      </c>
      <c r="E477" s="201">
        <f t="shared" si="23"/>
        <v>10.3925</v>
      </c>
      <c r="F477" s="201">
        <f t="shared" si="23"/>
        <v>11.57</v>
      </c>
      <c r="G477" s="201">
        <f t="shared" si="23"/>
        <v>6.6483347500000001</v>
      </c>
      <c r="H477" s="202">
        <f t="shared" si="23"/>
        <v>9.3769749999999998</v>
      </c>
      <c r="I477" s="201">
        <f t="shared" si="23"/>
        <v>8.3347480000000012</v>
      </c>
    </row>
    <row r="478" spans="1:9">
      <c r="H478"/>
    </row>
    <row r="479" spans="1:9">
      <c r="A479" s="192" t="s">
        <v>1</v>
      </c>
      <c r="B479" s="193" t="s">
        <v>139</v>
      </c>
      <c r="C479" s="193" t="s">
        <v>140</v>
      </c>
      <c r="D479" s="193" t="s">
        <v>5</v>
      </c>
      <c r="E479" s="193" t="s">
        <v>6</v>
      </c>
      <c r="F479" s="194" t="s">
        <v>57</v>
      </c>
      <c r="G479" s="194" t="s">
        <v>58</v>
      </c>
      <c r="H479" s="195" t="s">
        <v>145</v>
      </c>
      <c r="I479" s="194" t="s">
        <v>61</v>
      </c>
    </row>
    <row r="480" spans="1:9">
      <c r="A480" s="196"/>
      <c r="B480" s="179" t="s">
        <v>146</v>
      </c>
      <c r="C480" s="179" t="s">
        <v>146</v>
      </c>
      <c r="D480" s="179" t="s">
        <v>146</v>
      </c>
      <c r="E480" s="179" t="s">
        <v>146</v>
      </c>
      <c r="F480" s="179" t="s">
        <v>146</v>
      </c>
      <c r="G480" s="179" t="s">
        <v>146</v>
      </c>
      <c r="H480" s="197" t="s">
        <v>146</v>
      </c>
      <c r="I480" s="179" t="s">
        <v>146</v>
      </c>
    </row>
    <row r="481" spans="1:10">
      <c r="A481" s="198">
        <v>37228</v>
      </c>
      <c r="B481" s="184">
        <v>13.72</v>
      </c>
      <c r="C481" s="184">
        <v>13.37</v>
      </c>
      <c r="D481" s="39">
        <v>13</v>
      </c>
      <c r="E481" s="184">
        <v>9.99</v>
      </c>
      <c r="F481" s="39">
        <v>11.18</v>
      </c>
      <c r="G481" s="39">
        <f>(6.770647+6.5+6.5725)/3</f>
        <v>6.6143823333333343</v>
      </c>
      <c r="H481" s="59">
        <f>(8.4929+9.5)/2</f>
        <v>8.9964499999999994</v>
      </c>
      <c r="I481" s="39">
        <f>+(49.55/25)*4.19</f>
        <v>8.3045800000000014</v>
      </c>
    </row>
    <row r="482" spans="1:10">
      <c r="A482" s="198">
        <v>37235</v>
      </c>
      <c r="B482" s="39">
        <v>13.69</v>
      </c>
      <c r="C482" s="39">
        <v>13.28</v>
      </c>
      <c r="D482" s="39">
        <v>12.91</v>
      </c>
      <c r="E482" s="39">
        <v>9.92</v>
      </c>
      <c r="F482" s="39">
        <v>10.58</v>
      </c>
      <c r="G482" s="39">
        <f>(6.9563+6.75+6.7919)/3</f>
        <v>6.8327333333333327</v>
      </c>
      <c r="H482" s="59">
        <f>(8.4929+9)/2</f>
        <v>8.7464499999999994</v>
      </c>
      <c r="I482" s="39">
        <f>+(49.55/25)*4.19</f>
        <v>8.3045800000000014</v>
      </c>
    </row>
    <row r="483" spans="1:10">
      <c r="A483" s="198">
        <v>37242</v>
      </c>
      <c r="B483" s="39">
        <v>13.51</v>
      </c>
      <c r="C483" s="39">
        <v>13.13</v>
      </c>
      <c r="D483" s="39">
        <v>12.78</v>
      </c>
      <c r="E483" s="39">
        <v>9.68</v>
      </c>
      <c r="F483" s="39">
        <v>10.58</v>
      </c>
      <c r="G483" s="39">
        <f>(6.9563+6.75+6.67951)/3</f>
        <v>6.7952699999999995</v>
      </c>
      <c r="H483" s="59">
        <f>(8.1847+9)/2</f>
        <v>8.5923499999999997</v>
      </c>
      <c r="I483" s="39">
        <f>+(44.34/25)*4.19</f>
        <v>7.4313840000000013</v>
      </c>
    </row>
    <row r="484" spans="1:10">
      <c r="A484" s="198">
        <v>37249</v>
      </c>
      <c r="B484" s="39">
        <v>13.37</v>
      </c>
      <c r="C484" s="39">
        <v>13.04</v>
      </c>
      <c r="D484" s="39">
        <v>12.66</v>
      </c>
      <c r="E484" s="39">
        <v>9.57</v>
      </c>
      <c r="F484" s="39">
        <v>11.17</v>
      </c>
      <c r="G484" s="39">
        <f>(6.775317+6.6+6.67951)/3</f>
        <v>6.6849423333333329</v>
      </c>
      <c r="H484" s="59">
        <f>(8.1847+8.5)/2</f>
        <v>8.3423499999999997</v>
      </c>
      <c r="I484" s="39">
        <f>+(44.34/25)*4.19</f>
        <v>7.4313840000000013</v>
      </c>
    </row>
    <row r="485" spans="1:10">
      <c r="A485" s="198">
        <v>37256</v>
      </c>
      <c r="B485" s="39">
        <v>13.35</v>
      </c>
      <c r="C485" s="39">
        <v>12.97</v>
      </c>
      <c r="D485" s="39">
        <v>12.6</v>
      </c>
      <c r="E485" s="39">
        <v>9.5</v>
      </c>
      <c r="F485" s="39">
        <v>11.25</v>
      </c>
      <c r="G485" s="39">
        <f>(6.798647+6.6+6.67951)/3</f>
        <v>6.6927190000000003</v>
      </c>
      <c r="H485" s="59">
        <f>(8.1847+8.5)/2</f>
        <v>8.3423499999999997</v>
      </c>
      <c r="I485" s="39">
        <f>+(44.34/25)*4.19</f>
        <v>7.4313840000000013</v>
      </c>
    </row>
    <row r="486" spans="1:10">
      <c r="A486" s="200" t="s">
        <v>7</v>
      </c>
      <c r="B486" s="201">
        <f t="shared" ref="B486:I486" si="24">AVERAGE(B481:B485)</f>
        <v>13.528</v>
      </c>
      <c r="C486" s="201">
        <f t="shared" si="24"/>
        <v>13.158000000000001</v>
      </c>
      <c r="D486" s="201">
        <f t="shared" si="24"/>
        <v>12.79</v>
      </c>
      <c r="E486" s="201">
        <f t="shared" si="24"/>
        <v>9.7319999999999993</v>
      </c>
      <c r="F486" s="201">
        <f t="shared" si="24"/>
        <v>10.952</v>
      </c>
      <c r="G486" s="201">
        <f t="shared" si="24"/>
        <v>6.7240093999999999</v>
      </c>
      <c r="H486" s="202">
        <f t="shared" si="24"/>
        <v>8.6039899999999996</v>
      </c>
      <c r="I486" s="201">
        <f t="shared" si="24"/>
        <v>7.7806624000000015</v>
      </c>
    </row>
    <row r="487" spans="1:10">
      <c r="A487" s="137"/>
      <c r="B487" s="137"/>
      <c r="C487" s="137"/>
      <c r="D487" s="137"/>
      <c r="E487" s="137"/>
      <c r="F487" s="137"/>
      <c r="G487" s="137"/>
      <c r="H487" s="125"/>
      <c r="I487" s="137"/>
      <c r="J487" s="137"/>
    </row>
    <row r="488" spans="1:10">
      <c r="A488" s="192" t="s">
        <v>1</v>
      </c>
      <c r="B488" s="193" t="s">
        <v>139</v>
      </c>
      <c r="C488" s="193" t="s">
        <v>140</v>
      </c>
      <c r="D488" s="193" t="s">
        <v>5</v>
      </c>
      <c r="E488" s="193" t="s">
        <v>6</v>
      </c>
      <c r="F488" s="194" t="s">
        <v>57</v>
      </c>
      <c r="G488" s="194" t="s">
        <v>58</v>
      </c>
      <c r="H488" s="194" t="s">
        <v>149</v>
      </c>
      <c r="I488" s="194" t="s">
        <v>145</v>
      </c>
      <c r="J488" s="195" t="s">
        <v>61</v>
      </c>
    </row>
    <row r="489" spans="1:10">
      <c r="A489" s="196"/>
      <c r="B489" s="179" t="s">
        <v>146</v>
      </c>
      <c r="C489" s="179" t="s">
        <v>146</v>
      </c>
      <c r="D489" s="179" t="s">
        <v>146</v>
      </c>
      <c r="E489" s="179" t="s">
        <v>146</v>
      </c>
      <c r="F489" s="179" t="s">
        <v>146</v>
      </c>
      <c r="G489" s="179" t="s">
        <v>146</v>
      </c>
      <c r="H489" s="179" t="s">
        <v>146</v>
      </c>
      <c r="I489" s="179" t="s">
        <v>146</v>
      </c>
      <c r="J489" s="197" t="s">
        <v>146</v>
      </c>
    </row>
    <row r="490" spans="1:10">
      <c r="A490" s="198">
        <v>37258</v>
      </c>
      <c r="B490" s="184">
        <v>13.35</v>
      </c>
      <c r="C490" s="184">
        <v>12.97</v>
      </c>
      <c r="D490" s="39">
        <v>12.6</v>
      </c>
      <c r="E490" s="184">
        <v>9.5</v>
      </c>
      <c r="F490" s="39">
        <v>11.25</v>
      </c>
      <c r="G490" s="39">
        <f>+(6.798697+6.6+6.67951)/3</f>
        <v>6.6927356666666666</v>
      </c>
      <c r="H490" s="39">
        <v>17.5</v>
      </c>
      <c r="I490" s="39">
        <v>8.7895000000000003</v>
      </c>
      <c r="J490" s="59">
        <v>7.23</v>
      </c>
    </row>
    <row r="491" spans="1:10">
      <c r="A491" s="198">
        <v>37263</v>
      </c>
      <c r="B491" s="39">
        <v>13.32</v>
      </c>
      <c r="C491" s="39">
        <v>12.89</v>
      </c>
      <c r="D491" s="39">
        <v>12.52</v>
      </c>
      <c r="E491" s="39">
        <v>9.3699999999999992</v>
      </c>
      <c r="F491" s="39">
        <v>11.17</v>
      </c>
      <c r="G491" s="39">
        <f>+(6.983772+6.6+6.83023)/3</f>
        <v>6.8046673333333336</v>
      </c>
      <c r="H491" s="39">
        <f>+(18.25+17.5)/2</f>
        <v>17.875</v>
      </c>
      <c r="I491" s="39">
        <v>8.7814999999999994</v>
      </c>
      <c r="J491" s="59">
        <v>7.23</v>
      </c>
    </row>
    <row r="492" spans="1:10">
      <c r="A492" s="198">
        <v>37270</v>
      </c>
      <c r="B492" s="39">
        <v>13.29</v>
      </c>
      <c r="C492" s="39">
        <v>12.9</v>
      </c>
      <c r="D492" s="39">
        <v>12.52</v>
      </c>
      <c r="E492" s="39">
        <v>9.25</v>
      </c>
      <c r="F492" s="39">
        <v>11.24</v>
      </c>
      <c r="G492" s="39">
        <f>+(6.8+6.83023)/2</f>
        <v>6.8151150000000005</v>
      </c>
      <c r="H492" s="39">
        <v>18.25</v>
      </c>
      <c r="I492" s="39">
        <v>8.7799999999999994</v>
      </c>
      <c r="J492" s="59">
        <v>7.23</v>
      </c>
    </row>
    <row r="493" spans="1:10">
      <c r="A493" s="198">
        <v>37277</v>
      </c>
      <c r="B493" s="39">
        <v>13.44</v>
      </c>
      <c r="C493" s="39">
        <v>12.99</v>
      </c>
      <c r="D493" s="39">
        <v>12.63</v>
      </c>
      <c r="E493" s="39">
        <v>9.2100000000000009</v>
      </c>
      <c r="F493" s="39">
        <v>10.81</v>
      </c>
      <c r="G493" s="39">
        <f>+(7.078927+6.8+6.89473)/3</f>
        <v>6.9245523333333336</v>
      </c>
      <c r="H493" s="39">
        <v>18.25</v>
      </c>
      <c r="I493" s="39">
        <v>8.7814999999999994</v>
      </c>
      <c r="J493" s="59">
        <v>7.13</v>
      </c>
    </row>
    <row r="494" spans="1:10">
      <c r="A494" s="198">
        <v>37284</v>
      </c>
      <c r="B494" s="39">
        <v>13.47</v>
      </c>
      <c r="C494" s="39">
        <v>12.95</v>
      </c>
      <c r="D494" s="39">
        <v>12.56</v>
      </c>
      <c r="E494" s="39">
        <v>9.1199999999999992</v>
      </c>
      <c r="F494" s="39">
        <v>10.81</v>
      </c>
      <c r="G494" s="39">
        <f>+(6.9128+6.8+6.75029)/3</f>
        <v>6.8210300000000004</v>
      </c>
      <c r="H494" s="39">
        <v>18.25</v>
      </c>
      <c r="I494" s="39">
        <v>8.7814999999999994</v>
      </c>
      <c r="J494" s="59">
        <v>7.13</v>
      </c>
    </row>
    <row r="495" spans="1:10">
      <c r="A495" s="200" t="s">
        <v>7</v>
      </c>
      <c r="B495" s="201">
        <f t="shared" ref="B495:J495" si="25">AVERAGE(B490:B494)</f>
        <v>13.374000000000001</v>
      </c>
      <c r="C495" s="201">
        <f t="shared" si="25"/>
        <v>12.940000000000001</v>
      </c>
      <c r="D495" s="201">
        <f t="shared" si="25"/>
        <v>12.566000000000001</v>
      </c>
      <c r="E495" s="201">
        <f t="shared" si="25"/>
        <v>9.2899999999999991</v>
      </c>
      <c r="F495" s="201">
        <f t="shared" si="25"/>
        <v>11.056000000000001</v>
      </c>
      <c r="G495" s="201">
        <f t="shared" si="25"/>
        <v>6.8116200666666673</v>
      </c>
      <c r="H495" s="201">
        <f t="shared" si="25"/>
        <v>18.024999999999999</v>
      </c>
      <c r="I495" s="201">
        <f t="shared" si="25"/>
        <v>8.7827999999999999</v>
      </c>
      <c r="J495" s="202">
        <f t="shared" si="25"/>
        <v>7.19</v>
      </c>
    </row>
    <row r="497" spans="1:10">
      <c r="A497" s="192" t="s">
        <v>1</v>
      </c>
      <c r="B497" s="193" t="s">
        <v>139</v>
      </c>
      <c r="C497" s="193" t="s">
        <v>140</v>
      </c>
      <c r="D497" s="193" t="s">
        <v>5</v>
      </c>
      <c r="E497" s="193" t="s">
        <v>6</v>
      </c>
      <c r="F497" s="194" t="s">
        <v>57</v>
      </c>
      <c r="G497" s="194" t="s">
        <v>58</v>
      </c>
      <c r="H497" s="194" t="s">
        <v>149</v>
      </c>
      <c r="I497" s="194" t="s">
        <v>145</v>
      </c>
      <c r="J497" s="195" t="s">
        <v>61</v>
      </c>
    </row>
    <row r="498" spans="1:10">
      <c r="A498" s="196"/>
      <c r="B498" s="179" t="s">
        <v>146</v>
      </c>
      <c r="C498" s="179" t="s">
        <v>146</v>
      </c>
      <c r="D498" s="179" t="s">
        <v>146</v>
      </c>
      <c r="E498" s="179" t="s">
        <v>146</v>
      </c>
      <c r="F498" s="179" t="s">
        <v>146</v>
      </c>
      <c r="G498" s="179" t="s">
        <v>146</v>
      </c>
      <c r="H498" s="179" t="s">
        <v>146</v>
      </c>
      <c r="I498" s="179" t="s">
        <v>146</v>
      </c>
      <c r="J498" s="197" t="s">
        <v>146</v>
      </c>
    </row>
    <row r="499" spans="1:10">
      <c r="A499" s="198">
        <v>37291</v>
      </c>
      <c r="B499" s="184">
        <v>13.32</v>
      </c>
      <c r="C499" s="184">
        <v>12.84</v>
      </c>
      <c r="D499" s="39">
        <v>12.45</v>
      </c>
      <c r="E499" s="184">
        <v>9.07</v>
      </c>
      <c r="F499" s="39">
        <v>10.81</v>
      </c>
      <c r="G499" s="39">
        <f>+(6.90825+6.7+6.47695)/3</f>
        <v>6.6950666666666665</v>
      </c>
      <c r="H499" s="39">
        <v>18.25</v>
      </c>
      <c r="I499" s="39">
        <v>8.7775999999999996</v>
      </c>
      <c r="J499" s="59">
        <v>6.74</v>
      </c>
    </row>
    <row r="500" spans="1:10">
      <c r="A500" s="198">
        <v>37298</v>
      </c>
      <c r="B500" s="39">
        <v>13.25</v>
      </c>
      <c r="C500" s="39">
        <v>12.77</v>
      </c>
      <c r="D500" s="39">
        <v>12.38</v>
      </c>
      <c r="E500" s="39">
        <v>9.02</v>
      </c>
      <c r="F500" s="39">
        <v>10.74</v>
      </c>
      <c r="G500" s="39">
        <f>+(6.822368+6.7+6.36542)/3</f>
        <v>6.6292626666666665</v>
      </c>
      <c r="H500" s="39">
        <v>18.25</v>
      </c>
      <c r="I500" s="39">
        <v>8.7775999999999996</v>
      </c>
      <c r="J500" s="59">
        <v>6.74</v>
      </c>
    </row>
    <row r="501" spans="1:10">
      <c r="A501" s="198">
        <v>37305</v>
      </c>
      <c r="B501" s="39">
        <v>13.2</v>
      </c>
      <c r="C501" s="39">
        <v>12.74</v>
      </c>
      <c r="D501" s="39">
        <v>12.34</v>
      </c>
      <c r="E501" s="39">
        <v>9.01</v>
      </c>
      <c r="F501" s="39">
        <v>10.74</v>
      </c>
      <c r="G501" s="39">
        <f>+(6.7+6.36542+6.41286)/3</f>
        <v>6.4927599999999996</v>
      </c>
      <c r="H501" s="39">
        <v>18.25</v>
      </c>
      <c r="I501" s="39">
        <v>8.7775999999999996</v>
      </c>
      <c r="J501" s="59">
        <v>6.42</v>
      </c>
    </row>
    <row r="502" spans="1:10">
      <c r="A502" s="198">
        <v>37312</v>
      </c>
      <c r="B502" s="39">
        <v>13.13</v>
      </c>
      <c r="C502" s="39">
        <v>12.68</v>
      </c>
      <c r="D502" s="39">
        <v>12.27</v>
      </c>
      <c r="E502" s="39">
        <v>8.9499999999999993</v>
      </c>
      <c r="F502" s="39">
        <v>10.74</v>
      </c>
      <c r="G502" s="39">
        <v>6.2049700000000003</v>
      </c>
      <c r="H502" s="39">
        <v>18.25</v>
      </c>
      <c r="I502" s="39">
        <v>8.9413999999999998</v>
      </c>
      <c r="J502" s="59">
        <v>6.44</v>
      </c>
    </row>
    <row r="503" spans="1:10">
      <c r="A503" s="200" t="s">
        <v>7</v>
      </c>
      <c r="B503" s="201">
        <f t="shared" ref="B503:J503" si="26">AVERAGE(B499:B502)</f>
        <v>13.225</v>
      </c>
      <c r="C503" s="201">
        <f t="shared" si="26"/>
        <v>12.7575</v>
      </c>
      <c r="D503" s="201">
        <f t="shared" si="26"/>
        <v>12.36</v>
      </c>
      <c r="E503" s="201">
        <f t="shared" si="26"/>
        <v>9.0124999999999993</v>
      </c>
      <c r="F503" s="201">
        <f t="shared" si="26"/>
        <v>10.7575</v>
      </c>
      <c r="G503" s="201">
        <f t="shared" si="26"/>
        <v>6.5055148333333328</v>
      </c>
      <c r="H503" s="201">
        <f t="shared" si="26"/>
        <v>18.25</v>
      </c>
      <c r="I503" s="201">
        <f t="shared" si="26"/>
        <v>8.8185500000000001</v>
      </c>
      <c r="J503" s="202">
        <f t="shared" si="26"/>
        <v>6.585</v>
      </c>
    </row>
    <row r="505" spans="1:10">
      <c r="A505" s="192" t="s">
        <v>1</v>
      </c>
      <c r="B505" s="193" t="s">
        <v>139</v>
      </c>
      <c r="C505" s="193" t="s">
        <v>140</v>
      </c>
      <c r="D505" s="193" t="s">
        <v>5</v>
      </c>
      <c r="E505" s="193" t="s">
        <v>6</v>
      </c>
      <c r="F505" s="194" t="s">
        <v>57</v>
      </c>
      <c r="G505" s="194" t="s">
        <v>58</v>
      </c>
      <c r="H505" s="194" t="s">
        <v>149</v>
      </c>
      <c r="I505" s="194" t="s">
        <v>145</v>
      </c>
      <c r="J505" s="195" t="s">
        <v>61</v>
      </c>
    </row>
    <row r="506" spans="1:10">
      <c r="A506" s="196"/>
      <c r="B506" s="179" t="s">
        <v>146</v>
      </c>
      <c r="C506" s="179" t="s">
        <v>146</v>
      </c>
      <c r="D506" s="179" t="s">
        <v>146</v>
      </c>
      <c r="E506" s="179" t="s">
        <v>146</v>
      </c>
      <c r="F506" s="179" t="s">
        <v>146</v>
      </c>
      <c r="G506" s="179" t="s">
        <v>146</v>
      </c>
      <c r="H506" s="179" t="s">
        <v>146</v>
      </c>
      <c r="I506" s="179" t="s">
        <v>146</v>
      </c>
      <c r="J506" s="197" t="s">
        <v>146</v>
      </c>
    </row>
    <row r="507" spans="1:10">
      <c r="A507" s="198">
        <v>37319</v>
      </c>
      <c r="B507" s="184">
        <v>13.08</v>
      </c>
      <c r="C507" s="184">
        <v>12.63</v>
      </c>
      <c r="D507" s="39">
        <v>12.24</v>
      </c>
      <c r="E507" s="184">
        <v>8.94</v>
      </c>
      <c r="F507" s="39">
        <v>10.74</v>
      </c>
      <c r="G507" s="39">
        <f>(7.0697+6.7+6.48282+6.25227)/4</f>
        <v>6.6261975</v>
      </c>
      <c r="H507" s="39">
        <v>18.25</v>
      </c>
      <c r="I507" s="39">
        <v>8.8648000000000007</v>
      </c>
      <c r="J507" s="59">
        <f>(36/25)*4.19</f>
        <v>6.0336000000000007</v>
      </c>
    </row>
    <row r="508" spans="1:10">
      <c r="A508" s="198">
        <v>37326</v>
      </c>
      <c r="B508" s="39">
        <v>13.06</v>
      </c>
      <c r="C508" s="39">
        <v>12.63</v>
      </c>
      <c r="D508" s="39">
        <v>12.25</v>
      </c>
      <c r="E508" s="39">
        <v>8.9499999999999993</v>
      </c>
      <c r="F508" s="39">
        <v>10.74</v>
      </c>
      <c r="G508" s="39">
        <f>(7.2938+6.9+6.8+6.4909)/4</f>
        <v>6.871175</v>
      </c>
      <c r="H508" s="39">
        <v>18.25</v>
      </c>
      <c r="I508" s="39">
        <v>8.8648000000000007</v>
      </c>
      <c r="J508" s="59">
        <f>(36.79/25)*4.19</f>
        <v>6.1660040000000009</v>
      </c>
    </row>
    <row r="509" spans="1:10">
      <c r="A509" s="198">
        <v>37333</v>
      </c>
      <c r="B509" s="39">
        <v>13.4</v>
      </c>
      <c r="C509" s="39">
        <v>12.86</v>
      </c>
      <c r="D509" s="39">
        <v>12.48</v>
      </c>
      <c r="E509" s="39">
        <v>9.0399999999999991</v>
      </c>
      <c r="F509" s="39">
        <v>10.74</v>
      </c>
      <c r="G509" s="39">
        <f>(7.6531+6.9+7.13+6.87659)/4</f>
        <v>7.1399224999999999</v>
      </c>
      <c r="H509" s="39">
        <f>+(19.25+18.25)/2</f>
        <v>18.75</v>
      </c>
      <c r="I509" s="39">
        <v>8.8648000000000007</v>
      </c>
      <c r="J509" s="59">
        <f>(35.56/25)*4.19</f>
        <v>5.9598560000000012</v>
      </c>
    </row>
    <row r="510" spans="1:10">
      <c r="A510" s="198">
        <v>37340</v>
      </c>
      <c r="B510" s="39">
        <v>14.97</v>
      </c>
      <c r="C510" s="39">
        <v>14.04</v>
      </c>
      <c r="D510" s="39">
        <v>13.62</v>
      </c>
      <c r="E510" s="39">
        <v>9.4700000000000006</v>
      </c>
      <c r="F510" s="39">
        <v>10.74</v>
      </c>
      <c r="G510" s="39">
        <f>+(7.7676+7.5+7.35+6.98794)/4</f>
        <v>7.4013849999999994</v>
      </c>
      <c r="H510" s="39">
        <v>19.25</v>
      </c>
      <c r="I510" s="39">
        <f>+(9.1109+8.8+8.8)/3</f>
        <v>8.9036333333333335</v>
      </c>
      <c r="J510" s="59">
        <v>6.87</v>
      </c>
    </row>
    <row r="511" spans="1:10">
      <c r="A511" s="200" t="s">
        <v>7</v>
      </c>
      <c r="B511" s="201">
        <f t="shared" ref="B511:J511" si="27">AVERAGE(B507:B510)</f>
        <v>13.6275</v>
      </c>
      <c r="C511" s="201">
        <f t="shared" si="27"/>
        <v>13.040000000000001</v>
      </c>
      <c r="D511" s="201">
        <f t="shared" si="27"/>
        <v>12.647499999999999</v>
      </c>
      <c r="E511" s="201">
        <f t="shared" si="27"/>
        <v>9.1</v>
      </c>
      <c r="F511" s="201">
        <f t="shared" si="27"/>
        <v>10.74</v>
      </c>
      <c r="G511" s="201">
        <f t="shared" si="27"/>
        <v>7.0096699999999998</v>
      </c>
      <c r="H511" s="201">
        <f t="shared" si="27"/>
        <v>18.625</v>
      </c>
      <c r="I511" s="201">
        <f t="shared" si="27"/>
        <v>8.874508333333333</v>
      </c>
      <c r="J511" s="202">
        <f t="shared" si="27"/>
        <v>6.257365000000001</v>
      </c>
    </row>
    <row r="513" spans="1:10">
      <c r="A513" s="192" t="s">
        <v>1</v>
      </c>
      <c r="B513" s="193" t="s">
        <v>139</v>
      </c>
      <c r="C513" s="193" t="s">
        <v>140</v>
      </c>
      <c r="D513" s="193" t="s">
        <v>5</v>
      </c>
      <c r="E513" s="193" t="s">
        <v>6</v>
      </c>
      <c r="F513" s="194" t="s">
        <v>57</v>
      </c>
      <c r="G513" s="194" t="s">
        <v>58</v>
      </c>
      <c r="H513" s="194" t="s">
        <v>149</v>
      </c>
      <c r="I513" s="194" t="s">
        <v>145</v>
      </c>
      <c r="J513" s="195" t="s">
        <v>61</v>
      </c>
    </row>
    <row r="514" spans="1:10">
      <c r="A514" s="196"/>
      <c r="B514" s="179" t="s">
        <v>146</v>
      </c>
      <c r="C514" s="179" t="s">
        <v>146</v>
      </c>
      <c r="D514" s="179" t="s">
        <v>146</v>
      </c>
      <c r="E514" s="179" t="s">
        <v>146</v>
      </c>
      <c r="F514" s="179" t="s">
        <v>146</v>
      </c>
      <c r="G514" s="179" t="s">
        <v>146</v>
      </c>
      <c r="H514" s="179" t="s">
        <v>146</v>
      </c>
      <c r="I514" s="179" t="s">
        <v>146</v>
      </c>
      <c r="J514" s="197" t="s">
        <v>146</v>
      </c>
    </row>
    <row r="515" spans="1:10">
      <c r="A515" s="198">
        <v>37347</v>
      </c>
      <c r="B515" s="184">
        <v>15.13</v>
      </c>
      <c r="C515" s="184">
        <v>14.34</v>
      </c>
      <c r="D515" s="39">
        <v>13.96</v>
      </c>
      <c r="E515" s="184">
        <v>9.58</v>
      </c>
      <c r="F515" s="39">
        <v>10.87</v>
      </c>
      <c r="G515" s="39">
        <f>+(8.02777+7.5+7.58+7.15267)/4</f>
        <v>7.5651100000000007</v>
      </c>
      <c r="H515" s="39">
        <f>+(19.25+19.5)/2</f>
        <v>19.375</v>
      </c>
      <c r="I515" s="39">
        <f>+(9.4305+8.8+8.8)/3</f>
        <v>9.0101666666666667</v>
      </c>
      <c r="J515" s="59">
        <v>7.08</v>
      </c>
    </row>
    <row r="516" spans="1:10">
      <c r="A516" s="198">
        <v>37354</v>
      </c>
      <c r="B516" s="39">
        <v>15.18</v>
      </c>
      <c r="C516" s="39">
        <v>14.57</v>
      </c>
      <c r="D516" s="39">
        <v>14.21</v>
      </c>
      <c r="E516" s="39">
        <v>9.73</v>
      </c>
      <c r="F516" s="39">
        <v>10.87</v>
      </c>
      <c r="G516" s="39">
        <f>+(8.184176+8.1+7.58+7.46837)/4</f>
        <v>7.8331365000000002</v>
      </c>
      <c r="H516" s="39">
        <f>+(19.5)</f>
        <v>19.5</v>
      </c>
      <c r="I516" s="39">
        <f>+(9.4305+8.8+8.8)/3</f>
        <v>9.0101666666666667</v>
      </c>
      <c r="J516" s="59">
        <v>7.04</v>
      </c>
    </row>
    <row r="517" spans="1:10">
      <c r="A517" s="198">
        <v>37361</v>
      </c>
      <c r="B517" s="39">
        <v>15.22</v>
      </c>
      <c r="C517" s="39">
        <v>14.68</v>
      </c>
      <c r="D517" s="39">
        <v>14.3</v>
      </c>
      <c r="E517" s="39">
        <v>9.77</v>
      </c>
      <c r="F517" s="39">
        <v>10.87</v>
      </c>
      <c r="G517" s="39">
        <f>+(8.630597+8.1+8.15+7.70005)/4</f>
        <v>8.1451617499999998</v>
      </c>
      <c r="H517" s="39">
        <f>+(19.05+19.5)/2</f>
        <v>19.274999999999999</v>
      </c>
      <c r="I517" s="39">
        <f>+(9.4305+9.14+9.14)/3</f>
        <v>9.236833333333335</v>
      </c>
      <c r="J517" s="59">
        <v>6.99</v>
      </c>
    </row>
    <row r="518" spans="1:10">
      <c r="A518" s="198">
        <v>37368</v>
      </c>
      <c r="B518" s="39">
        <v>15.19</v>
      </c>
      <c r="C518" s="39">
        <v>14.71</v>
      </c>
      <c r="D518" s="39">
        <v>14.33</v>
      </c>
      <c r="E518" s="39">
        <v>9.82</v>
      </c>
      <c r="F518" s="39">
        <v>10.87</v>
      </c>
      <c r="G518" s="39">
        <f>(8.630597+8.1+8+7.8282)/4</f>
        <v>8.1396992499999996</v>
      </c>
      <c r="H518" s="39">
        <f>+(20+19.05)/2</f>
        <v>19.524999999999999</v>
      </c>
      <c r="I518" s="39">
        <f>(9.4305+9.14+8.91)/3</f>
        <v>9.160166666666667</v>
      </c>
      <c r="J518" s="59">
        <f>(41.53/(25/4.19))</f>
        <v>6.9604280000000012</v>
      </c>
    </row>
    <row r="519" spans="1:10">
      <c r="A519" s="198">
        <v>37375</v>
      </c>
      <c r="B519" s="39">
        <v>15.19</v>
      </c>
      <c r="C519" s="39">
        <v>14.69</v>
      </c>
      <c r="D519" s="39">
        <v>14.32</v>
      </c>
      <c r="E519" s="39">
        <v>9.82</v>
      </c>
      <c r="F519" s="39">
        <v>10.94</v>
      </c>
      <c r="G519" s="39">
        <f>(8.630597+8.1+8+7.7273)/4</f>
        <v>8.1144742500000007</v>
      </c>
      <c r="H519" s="39">
        <v>20</v>
      </c>
      <c r="I519" s="39">
        <f>(9.6135+9.14+8.91)/3</f>
        <v>9.221166666666667</v>
      </c>
      <c r="J519" s="59">
        <f>(42.04/(25/4.19))</f>
        <v>7.0459040000000011</v>
      </c>
    </row>
    <row r="520" spans="1:10">
      <c r="A520" s="200" t="s">
        <v>7</v>
      </c>
      <c r="B520" s="201">
        <f t="shared" ref="B520:J520" si="28">AVERAGE(B515:B519)</f>
        <v>15.181999999999999</v>
      </c>
      <c r="C520" s="201">
        <f t="shared" si="28"/>
        <v>14.598000000000003</v>
      </c>
      <c r="D520" s="201">
        <f t="shared" si="28"/>
        <v>14.224</v>
      </c>
      <c r="E520" s="201">
        <f t="shared" si="28"/>
        <v>9.7440000000000015</v>
      </c>
      <c r="F520" s="201">
        <f t="shared" si="28"/>
        <v>10.883999999999999</v>
      </c>
      <c r="G520" s="201">
        <f t="shared" si="28"/>
        <v>7.9595163499999995</v>
      </c>
      <c r="H520" s="201">
        <f t="shared" si="28"/>
        <v>19.535</v>
      </c>
      <c r="I520" s="201">
        <f t="shared" si="28"/>
        <v>9.1277000000000008</v>
      </c>
      <c r="J520" s="202">
        <f t="shared" si="28"/>
        <v>7.0232663999999998</v>
      </c>
    </row>
    <row r="523" spans="1:10">
      <c r="A523" s="192" t="s">
        <v>1</v>
      </c>
      <c r="B523" s="193" t="s">
        <v>139</v>
      </c>
      <c r="C523" s="193" t="s">
        <v>140</v>
      </c>
      <c r="D523" s="193" t="s">
        <v>5</v>
      </c>
      <c r="E523" s="193" t="s">
        <v>6</v>
      </c>
      <c r="F523" s="194" t="s">
        <v>57</v>
      </c>
      <c r="G523" s="194" t="s">
        <v>58</v>
      </c>
      <c r="H523" s="194" t="s">
        <v>149</v>
      </c>
      <c r="I523" s="194" t="s">
        <v>145</v>
      </c>
      <c r="J523" s="195" t="s">
        <v>61</v>
      </c>
    </row>
    <row r="524" spans="1:10">
      <c r="A524" s="196"/>
      <c r="B524" s="179" t="s">
        <v>146</v>
      </c>
      <c r="C524" s="179" t="s">
        <v>146</v>
      </c>
      <c r="D524" s="179" t="s">
        <v>146</v>
      </c>
      <c r="E524" s="179" t="s">
        <v>146</v>
      </c>
      <c r="F524" s="179" t="s">
        <v>146</v>
      </c>
      <c r="G524" s="179" t="s">
        <v>146</v>
      </c>
      <c r="H524" s="179" t="s">
        <v>146</v>
      </c>
      <c r="I524" s="179" t="s">
        <v>146</v>
      </c>
      <c r="J524" s="197" t="s">
        <v>146</v>
      </c>
    </row>
    <row r="525" spans="1:10">
      <c r="A525" s="198">
        <v>37382</v>
      </c>
      <c r="B525" s="184">
        <v>15.19</v>
      </c>
      <c r="C525" s="184">
        <v>14.66</v>
      </c>
      <c r="D525" s="39">
        <v>14.29</v>
      </c>
      <c r="E525" s="184">
        <v>9.8000000000000007</v>
      </c>
      <c r="F525" s="39">
        <v>10.94</v>
      </c>
      <c r="G525" s="39">
        <f>+(8.308564+8.1+8+7.31691)/4</f>
        <v>7.9313684999999996</v>
      </c>
      <c r="H525" s="39">
        <v>20</v>
      </c>
      <c r="I525" s="39">
        <f>+(9.6135+9.14+8.91)/3</f>
        <v>9.221166666666667</v>
      </c>
      <c r="J525" s="59">
        <v>6.97</v>
      </c>
    </row>
    <row r="526" spans="1:10">
      <c r="A526" s="198">
        <v>37389</v>
      </c>
      <c r="B526" s="39">
        <v>15.19</v>
      </c>
      <c r="C526" s="39">
        <v>14.66</v>
      </c>
      <c r="D526" s="39">
        <v>14.31</v>
      </c>
      <c r="E526" s="39">
        <v>9.81</v>
      </c>
      <c r="F526" s="39">
        <v>10.94</v>
      </c>
      <c r="G526" s="39">
        <f>+(8.194458+7.85+8+7.31691)/4</f>
        <v>7.8403419999999997</v>
      </c>
      <c r="H526" s="39">
        <v>19</v>
      </c>
      <c r="I526" s="39">
        <f>+(9.5956+9.14+8.91)/3</f>
        <v>9.2151999999999994</v>
      </c>
      <c r="J526" s="59">
        <v>6.81</v>
      </c>
    </row>
    <row r="527" spans="1:10">
      <c r="A527" s="198">
        <v>37396</v>
      </c>
      <c r="B527" s="39">
        <v>15.21</v>
      </c>
      <c r="C527" s="39">
        <v>14.66</v>
      </c>
      <c r="D527" s="39">
        <v>14.3</v>
      </c>
      <c r="E527" s="39">
        <v>9.81</v>
      </c>
      <c r="F527" s="39">
        <v>10.94</v>
      </c>
      <c r="G527" s="39">
        <f>+(8.446525+7.85+8+7.31691)/4</f>
        <v>7.9033587499999998</v>
      </c>
      <c r="H527" s="39">
        <f>+(19.15+19)/2</f>
        <v>19.074999999999999</v>
      </c>
      <c r="I527" s="39">
        <f>+(9.5956+9.14+8.75)/3</f>
        <v>9.1618666666666666</v>
      </c>
      <c r="J527" s="59">
        <v>7.14</v>
      </c>
    </row>
    <row r="528" spans="1:10">
      <c r="A528" s="198">
        <v>37403</v>
      </c>
      <c r="B528" s="39">
        <v>15.16</v>
      </c>
      <c r="C528" s="39">
        <v>14.6</v>
      </c>
      <c r="D528" s="39">
        <v>14.24</v>
      </c>
      <c r="E528" s="39">
        <v>9.77</v>
      </c>
      <c r="F528" s="39">
        <v>10.97</v>
      </c>
      <c r="G528" s="39">
        <f>+(8.465252+8.2+8+7.33985)/4</f>
        <v>8.0012755000000002</v>
      </c>
      <c r="H528" s="39">
        <v>19.149999999999999</v>
      </c>
      <c r="I528" s="39">
        <f>+(9.4876+9.14+8.75)/3</f>
        <v>9.125866666666667</v>
      </c>
      <c r="J528" s="59">
        <v>7.14</v>
      </c>
    </row>
    <row r="529" spans="1:10">
      <c r="A529" s="200" t="s">
        <v>7</v>
      </c>
      <c r="B529" s="201">
        <f t="shared" ref="B529:J529" si="29">AVERAGE(B525:B528)</f>
        <v>15.1875</v>
      </c>
      <c r="C529" s="201">
        <f t="shared" si="29"/>
        <v>14.645000000000001</v>
      </c>
      <c r="D529" s="201">
        <f t="shared" si="29"/>
        <v>14.285000000000002</v>
      </c>
      <c r="E529" s="201">
        <f t="shared" si="29"/>
        <v>9.7974999999999994</v>
      </c>
      <c r="F529" s="201">
        <f t="shared" si="29"/>
        <v>10.9475</v>
      </c>
      <c r="G529" s="201">
        <f t="shared" si="29"/>
        <v>7.9190861874999996</v>
      </c>
      <c r="H529" s="201">
        <f t="shared" si="29"/>
        <v>19.306249999999999</v>
      </c>
      <c r="I529" s="201">
        <f t="shared" si="29"/>
        <v>9.181025</v>
      </c>
      <c r="J529" s="202">
        <f t="shared" si="29"/>
        <v>7.0149999999999997</v>
      </c>
    </row>
    <row r="531" spans="1:10">
      <c r="A531" s="192" t="s">
        <v>1</v>
      </c>
      <c r="B531" s="193" t="s">
        <v>139</v>
      </c>
      <c r="C531" s="193" t="s">
        <v>140</v>
      </c>
      <c r="D531" s="193" t="s">
        <v>5</v>
      </c>
      <c r="E531" s="193" t="s">
        <v>6</v>
      </c>
      <c r="F531" s="194" t="s">
        <v>57</v>
      </c>
      <c r="G531" s="194" t="s">
        <v>58</v>
      </c>
      <c r="H531" s="194" t="s">
        <v>149</v>
      </c>
      <c r="I531" s="194" t="s">
        <v>145</v>
      </c>
      <c r="J531" s="195" t="s">
        <v>61</v>
      </c>
    </row>
    <row r="532" spans="1:10">
      <c r="A532" s="196"/>
      <c r="B532" s="179" t="s">
        <v>146</v>
      </c>
      <c r="C532" s="179" t="s">
        <v>146</v>
      </c>
      <c r="D532" s="179" t="s">
        <v>146</v>
      </c>
      <c r="E532" s="179" t="s">
        <v>146</v>
      </c>
      <c r="F532" s="179" t="s">
        <v>146</v>
      </c>
      <c r="G532" s="179" t="s">
        <v>146</v>
      </c>
      <c r="H532" s="179" t="s">
        <v>146</v>
      </c>
      <c r="I532" s="179" t="s">
        <v>146</v>
      </c>
      <c r="J532" s="197" t="s">
        <v>146</v>
      </c>
    </row>
    <row r="533" spans="1:10">
      <c r="A533" s="198">
        <v>37410</v>
      </c>
      <c r="B533" s="184">
        <v>15.13</v>
      </c>
      <c r="C533" s="184">
        <v>14.56</v>
      </c>
      <c r="D533" s="39">
        <v>14.2</v>
      </c>
      <c r="E533" s="184">
        <v>9.75</v>
      </c>
      <c r="F533" s="39">
        <v>10.97</v>
      </c>
      <c r="G533" s="39">
        <f>+(8.387053+8.2+8.27+7.33985)/4</f>
        <v>8.0492257499999997</v>
      </c>
      <c r="H533" s="39">
        <v>19.190000000000001</v>
      </c>
      <c r="I533" s="39">
        <f>+(9.4876+9.14+8.75)/3</f>
        <v>9.125866666666667</v>
      </c>
      <c r="J533" s="59">
        <v>7.1</v>
      </c>
    </row>
    <row r="534" spans="1:10">
      <c r="A534" s="198">
        <v>37417</v>
      </c>
      <c r="B534" s="39">
        <v>15.09</v>
      </c>
      <c r="C534" s="39">
        <v>14.53</v>
      </c>
      <c r="D534" s="39">
        <v>14.16</v>
      </c>
      <c r="E534" s="39">
        <v>9.74</v>
      </c>
      <c r="F534" s="39">
        <v>11</v>
      </c>
      <c r="G534" s="39">
        <f>+(8.275445+8.2+8.27+7.33985)/2</f>
        <v>16.042647500000001</v>
      </c>
      <c r="H534" s="39">
        <f>+(18.9+19.19)/2</f>
        <v>19.045000000000002</v>
      </c>
      <c r="I534" s="39">
        <f>+(9.4876+9.14+8.75)/3</f>
        <v>9.125866666666667</v>
      </c>
      <c r="J534" s="59">
        <v>6.78</v>
      </c>
    </row>
    <row r="535" spans="1:10">
      <c r="A535" s="198">
        <v>37424</v>
      </c>
      <c r="B535" s="39">
        <v>15.02</v>
      </c>
      <c r="C535" s="39">
        <v>14.46</v>
      </c>
      <c r="D535" s="39">
        <v>14.09</v>
      </c>
      <c r="E535" s="39">
        <v>9.7200000000000006</v>
      </c>
      <c r="F535" s="39">
        <v>10.91</v>
      </c>
      <c r="G535" s="39">
        <f>+(8.42314+8.2+8.1+7.5)/4</f>
        <v>8.0557850000000002</v>
      </c>
      <c r="H535" s="39">
        <f>+(18.9+18.9)/2</f>
        <v>18.899999999999999</v>
      </c>
      <c r="I535" s="39">
        <f>+(9.7505+9.15+9)/3</f>
        <v>9.3001666666666676</v>
      </c>
      <c r="J535" s="59">
        <v>6.78</v>
      </c>
    </row>
    <row r="536" spans="1:10">
      <c r="A536" s="198">
        <v>37431</v>
      </c>
      <c r="B536" s="39">
        <v>14.97</v>
      </c>
      <c r="C536" s="39">
        <v>14.42</v>
      </c>
      <c r="D536" s="39">
        <v>14.09</v>
      </c>
      <c r="E536" s="39">
        <v>9.69</v>
      </c>
      <c r="F536" s="39">
        <v>10.9</v>
      </c>
      <c r="G536" s="39">
        <f>+(8.274615+8.2+8.1+7.2107)/4</f>
        <v>7.9463287500000002</v>
      </c>
      <c r="H536" s="39">
        <f>+(18.9+19.15)/2</f>
        <v>19.024999999999999</v>
      </c>
      <c r="I536" s="39">
        <f>+(9.7505+9.15+9)/3</f>
        <v>9.3001666666666676</v>
      </c>
      <c r="J536" s="59">
        <v>6.54</v>
      </c>
    </row>
    <row r="537" spans="1:10">
      <c r="A537" s="200" t="s">
        <v>7</v>
      </c>
      <c r="B537" s="201">
        <f t="shared" ref="B537:J537" si="30">AVERAGE(B533:B536)</f>
        <v>15.052499999999998</v>
      </c>
      <c r="C537" s="201">
        <f t="shared" si="30"/>
        <v>14.4925</v>
      </c>
      <c r="D537" s="201">
        <f t="shared" si="30"/>
        <v>14.135000000000002</v>
      </c>
      <c r="E537" s="201">
        <f t="shared" si="30"/>
        <v>9.7249999999999996</v>
      </c>
      <c r="F537" s="201">
        <f t="shared" si="30"/>
        <v>10.944999999999999</v>
      </c>
      <c r="G537" s="201">
        <f t="shared" si="30"/>
        <v>10.02349675</v>
      </c>
      <c r="H537" s="201">
        <f t="shared" si="30"/>
        <v>19.04</v>
      </c>
      <c r="I537" s="201">
        <f t="shared" si="30"/>
        <v>9.2130166666666682</v>
      </c>
      <c r="J537" s="202">
        <f t="shared" si="30"/>
        <v>6.8</v>
      </c>
    </row>
    <row r="539" spans="1:10">
      <c r="A539" s="192" t="s">
        <v>1</v>
      </c>
      <c r="B539" s="193" t="s">
        <v>139</v>
      </c>
      <c r="C539" s="193" t="s">
        <v>140</v>
      </c>
      <c r="D539" s="193" t="s">
        <v>5</v>
      </c>
      <c r="E539" s="193" t="s">
        <v>6</v>
      </c>
      <c r="F539" s="194" t="s">
        <v>57</v>
      </c>
      <c r="G539" s="194" t="s">
        <v>58</v>
      </c>
      <c r="H539" s="194" t="s">
        <v>149</v>
      </c>
      <c r="I539" s="194" t="s">
        <v>145</v>
      </c>
      <c r="J539" s="195" t="s">
        <v>61</v>
      </c>
    </row>
    <row r="540" spans="1:10">
      <c r="A540" s="196"/>
      <c r="B540" s="179" t="s">
        <v>146</v>
      </c>
      <c r="C540" s="179" t="s">
        <v>146</v>
      </c>
      <c r="D540" s="179" t="s">
        <v>146</v>
      </c>
      <c r="E540" s="179" t="s">
        <v>146</v>
      </c>
      <c r="F540" s="179" t="s">
        <v>146</v>
      </c>
      <c r="G540" s="179" t="s">
        <v>146</v>
      </c>
      <c r="H540" s="179" t="s">
        <v>146</v>
      </c>
      <c r="I540" s="179" t="s">
        <v>146</v>
      </c>
      <c r="J540" s="197" t="s">
        <v>146</v>
      </c>
    </row>
    <row r="541" spans="1:10">
      <c r="A541" s="198">
        <v>37438</v>
      </c>
      <c r="B541" s="184">
        <v>14.92</v>
      </c>
      <c r="C541" s="184">
        <v>14.39</v>
      </c>
      <c r="D541" s="39">
        <v>14.06</v>
      </c>
      <c r="E541" s="184">
        <v>9.66</v>
      </c>
      <c r="F541" s="39">
        <v>10.9</v>
      </c>
      <c r="G541" s="39">
        <f>(8.17+8+7.94+7.68)/4</f>
        <v>7.9475000000000007</v>
      </c>
      <c r="H541" s="39">
        <v>19.149999999999999</v>
      </c>
      <c r="I541" s="39">
        <f>(9.1984+9.5+9)/3</f>
        <v>9.2327999999999992</v>
      </c>
      <c r="J541" s="59">
        <f>(39.82/(25/4.19))</f>
        <v>6.6738320000000009</v>
      </c>
    </row>
    <row r="542" spans="1:10">
      <c r="A542" s="198">
        <v>37445</v>
      </c>
      <c r="B542" s="39">
        <v>14.96</v>
      </c>
      <c r="C542" s="39">
        <v>14.39</v>
      </c>
      <c r="D542" s="39">
        <v>14.06</v>
      </c>
      <c r="E542" s="39">
        <v>9.66</v>
      </c>
      <c r="F542" s="39">
        <v>10.9</v>
      </c>
      <c r="G542" s="39">
        <f>(8.321208+8.1+8.04+(7.32366+0.38351*1.12))/4</f>
        <v>8.0535998000000006</v>
      </c>
      <c r="H542" s="39">
        <v>19.600000000000001</v>
      </c>
      <c r="I542" s="39">
        <f>(9.617+9.5+9)/3</f>
        <v>9.3723333333333336</v>
      </c>
      <c r="J542" s="59">
        <f>(39.82/(25/4.19))</f>
        <v>6.6738320000000009</v>
      </c>
    </row>
    <row r="543" spans="1:10">
      <c r="A543" s="198">
        <v>37452</v>
      </c>
      <c r="B543" s="39">
        <v>15.46</v>
      </c>
      <c r="C543" s="39">
        <v>14.76</v>
      </c>
      <c r="D543" s="39">
        <v>14.43</v>
      </c>
      <c r="E543" s="39">
        <v>9.82</v>
      </c>
      <c r="F543" s="39">
        <v>11</v>
      </c>
      <c r="G543" s="39">
        <f>(8.27+8.1+8+(7.32366+0.38351*1.12))/4</f>
        <v>8.0307978000000002</v>
      </c>
      <c r="H543" s="39">
        <v>19.600000000000001</v>
      </c>
      <c r="I543" s="39">
        <f>(9.617+9.5+9)/3</f>
        <v>9.3723333333333336</v>
      </c>
      <c r="J543" s="59">
        <f>(39.08/(25/4.19))</f>
        <v>6.5498080000000005</v>
      </c>
    </row>
    <row r="544" spans="1:10">
      <c r="A544" s="198">
        <v>37459</v>
      </c>
      <c r="B544" s="39">
        <v>16.12</v>
      </c>
      <c r="C544" s="39">
        <v>15.12</v>
      </c>
      <c r="D544" s="39">
        <v>14.77</v>
      </c>
      <c r="E544" s="39">
        <v>10</v>
      </c>
      <c r="F544" s="39">
        <v>10.81</v>
      </c>
      <c r="G544" s="39">
        <f>(8.285245+8.15+8+(7.7023+0.38351*1.12))/4</f>
        <v>8.1417690500000006</v>
      </c>
      <c r="H544" s="39">
        <v>19.899999999999999</v>
      </c>
      <c r="I544" s="39">
        <f>(9.8054+9.5+9.15)/3</f>
        <v>9.4851333333333319</v>
      </c>
      <c r="J544" s="59">
        <f>(38.56/(25/4.19))</f>
        <v>6.4626560000000017</v>
      </c>
    </row>
    <row r="545" spans="1:10">
      <c r="A545" s="198">
        <v>37466</v>
      </c>
      <c r="B545" s="39">
        <v>16.32</v>
      </c>
      <c r="C545" s="39">
        <v>15.66</v>
      </c>
      <c r="D545" s="39">
        <v>15.28</v>
      </c>
      <c r="E545" s="39">
        <v>10.25</v>
      </c>
      <c r="F545" s="39">
        <v>10.91</v>
      </c>
      <c r="G545" s="39">
        <f>(8.358964+8.15+8+(7.7+0.38351*1.12))/4</f>
        <v>8.1596238000000003</v>
      </c>
      <c r="H545" s="39">
        <v>19.899999999999999</v>
      </c>
      <c r="I545" s="39">
        <f>(9.8054+9.5)/2</f>
        <v>9.6526999999999994</v>
      </c>
      <c r="J545" s="59">
        <f>(39.29/(25/4.19))</f>
        <v>6.5850040000000005</v>
      </c>
    </row>
    <row r="546" spans="1:10">
      <c r="A546" s="200" t="s">
        <v>7</v>
      </c>
      <c r="B546" s="201">
        <f>AVERAGE(B541:B545)</f>
        <v>15.556000000000001</v>
      </c>
      <c r="C546" s="201">
        <f>AVERAGE(C541:C545)</f>
        <v>14.863999999999999</v>
      </c>
      <c r="D546" s="201">
        <f>AVERAGE(D541:D545)</f>
        <v>14.52</v>
      </c>
      <c r="E546" s="201">
        <f>AVERAGE(E541:E545)</f>
        <v>9.8780000000000001</v>
      </c>
      <c r="F546" s="201">
        <f>AVERAGE(F541:F545)</f>
        <v>10.904</v>
      </c>
      <c r="G546" s="201">
        <f>AVERAGE(G541:G544)</f>
        <v>8.0434166625000003</v>
      </c>
      <c r="H546" s="201">
        <f>AVERAGE(H541:H545)</f>
        <v>19.630000000000003</v>
      </c>
      <c r="I546" s="201">
        <f>AVERAGE(I541:I544)</f>
        <v>9.3656500000000005</v>
      </c>
      <c r="J546" s="202">
        <f>AVERAGE(J541:J544)</f>
        <v>6.5900320000000008</v>
      </c>
    </row>
    <row r="548" spans="1:10">
      <c r="A548" s="192" t="s">
        <v>1</v>
      </c>
      <c r="B548" s="193" t="s">
        <v>139</v>
      </c>
      <c r="C548" s="193" t="s">
        <v>140</v>
      </c>
      <c r="D548" s="193" t="s">
        <v>5</v>
      </c>
      <c r="E548" s="193" t="s">
        <v>6</v>
      </c>
      <c r="F548" s="194" t="s">
        <v>57</v>
      </c>
      <c r="G548" s="194" t="s">
        <v>58</v>
      </c>
      <c r="H548" s="194" t="s">
        <v>149</v>
      </c>
      <c r="I548" s="194" t="s">
        <v>145</v>
      </c>
      <c r="J548" s="195" t="s">
        <v>61</v>
      </c>
    </row>
    <row r="549" spans="1:10">
      <c r="A549" s="196"/>
      <c r="B549" s="179" t="s">
        <v>146</v>
      </c>
      <c r="C549" s="179" t="s">
        <v>146</v>
      </c>
      <c r="D549" s="179" t="s">
        <v>146</v>
      </c>
      <c r="E549" s="179" t="s">
        <v>146</v>
      </c>
      <c r="F549" s="179" t="s">
        <v>146</v>
      </c>
      <c r="G549" s="179" t="s">
        <v>146</v>
      </c>
      <c r="H549" s="179" t="s">
        <v>146</v>
      </c>
      <c r="I549" s="179" t="s">
        <v>146</v>
      </c>
      <c r="J549" s="197" t="s">
        <v>146</v>
      </c>
    </row>
    <row r="550" spans="1:10">
      <c r="A550" s="198">
        <v>37473</v>
      </c>
      <c r="B550" s="184">
        <v>16.309999999999999</v>
      </c>
      <c r="C550" s="184">
        <v>15.69</v>
      </c>
      <c r="D550" s="39">
        <v>15.3</v>
      </c>
      <c r="E550" s="184">
        <v>10.27</v>
      </c>
      <c r="F550" s="39">
        <v>10.97</v>
      </c>
      <c r="G550" s="39">
        <f>(8.417148+8.3+8+(7.76755+0.38351*1.12))/4</f>
        <v>8.2285573000000003</v>
      </c>
      <c r="H550" s="39">
        <v>19.5</v>
      </c>
      <c r="I550" s="39">
        <f>(9.7088+9.5)/2</f>
        <v>9.6044</v>
      </c>
      <c r="J550" s="59">
        <f>(39.42/(25/4.19))</f>
        <v>6.6067920000000013</v>
      </c>
    </row>
    <row r="551" spans="1:10">
      <c r="A551" s="198">
        <v>37480</v>
      </c>
      <c r="B551" s="39">
        <v>16.32</v>
      </c>
      <c r="C551" s="39">
        <v>15.68</v>
      </c>
      <c r="D551" s="39">
        <v>15.29</v>
      </c>
      <c r="E551" s="39">
        <v>10.28</v>
      </c>
      <c r="F551" s="39">
        <v>11.31</v>
      </c>
      <c r="G551" s="39">
        <f>(8.32349+8.3+8+(7.76755+0.38351*1.12))/4</f>
        <v>8.2051428000000008</v>
      </c>
      <c r="H551" s="39">
        <v>19.5</v>
      </c>
      <c r="I551" s="39">
        <f>(9.7088+9.5)/2</f>
        <v>9.6044</v>
      </c>
      <c r="J551" s="59">
        <f>(39.14/(25/4.19))</f>
        <v>6.559864000000001</v>
      </c>
    </row>
    <row r="552" spans="1:10">
      <c r="A552" s="198">
        <v>37487</v>
      </c>
      <c r="B552" s="39">
        <v>16.32</v>
      </c>
      <c r="C552" s="39">
        <v>15.68</v>
      </c>
      <c r="D552" s="39">
        <v>15.28</v>
      </c>
      <c r="E552" s="39">
        <v>10.29</v>
      </c>
      <c r="F552" s="39">
        <v>11.31</v>
      </c>
      <c r="G552" s="39">
        <f>(8.315662+8.3+8+(7.76755+0.38351*1.12))/4</f>
        <v>8.2031858</v>
      </c>
      <c r="H552" s="39">
        <v>19.5</v>
      </c>
      <c r="I552" s="39">
        <f>(9.7088+9.5)/2</f>
        <v>9.6044</v>
      </c>
      <c r="J552" s="59">
        <f>(39.76/(25/4.19))</f>
        <v>6.6637760000000004</v>
      </c>
    </row>
    <row r="553" spans="1:10">
      <c r="A553" s="198">
        <v>37494</v>
      </c>
      <c r="B553" s="39">
        <v>16.3</v>
      </c>
      <c r="C553" s="39">
        <v>15.67</v>
      </c>
      <c r="D553" s="39">
        <v>15.27</v>
      </c>
      <c r="E553" s="39">
        <v>10.28</v>
      </c>
      <c r="F553" s="39">
        <v>11.02</v>
      </c>
      <c r="G553" s="39">
        <f>(8.342511+8.3+8+(7.76755+0.38351))/4</f>
        <v>8.19839275</v>
      </c>
      <c r="H553" s="39">
        <v>19.5</v>
      </c>
      <c r="I553" s="39">
        <f>(9.7088+9.5)/2</f>
        <v>9.6044</v>
      </c>
      <c r="J553" s="59">
        <f>(40.82/(25/4.19))</f>
        <v>6.8414320000000011</v>
      </c>
    </row>
    <row r="554" spans="1:10">
      <c r="A554" s="200" t="s">
        <v>7</v>
      </c>
      <c r="B554" s="201">
        <f t="shared" ref="B554:J554" si="31">AVERAGE(B550:B553)</f>
        <v>16.3125</v>
      </c>
      <c r="C554" s="201">
        <f t="shared" si="31"/>
        <v>15.68</v>
      </c>
      <c r="D554" s="201">
        <f t="shared" si="31"/>
        <v>15.285</v>
      </c>
      <c r="E554" s="201">
        <f t="shared" si="31"/>
        <v>10.28</v>
      </c>
      <c r="F554" s="201">
        <f t="shared" si="31"/>
        <v>11.1525</v>
      </c>
      <c r="G554" s="201">
        <f t="shared" si="31"/>
        <v>8.2088196625000016</v>
      </c>
      <c r="H554" s="201">
        <f t="shared" si="31"/>
        <v>19.5</v>
      </c>
      <c r="I554" s="201">
        <f t="shared" si="31"/>
        <v>9.6044</v>
      </c>
      <c r="J554" s="202">
        <f t="shared" si="31"/>
        <v>6.6679660000000007</v>
      </c>
    </row>
    <row r="556" spans="1:10">
      <c r="A556" s="192" t="s">
        <v>1</v>
      </c>
      <c r="B556" s="193" t="s">
        <v>139</v>
      </c>
      <c r="C556" s="193" t="s">
        <v>140</v>
      </c>
      <c r="D556" s="193" t="s">
        <v>5</v>
      </c>
      <c r="E556" s="193" t="s">
        <v>6</v>
      </c>
      <c r="F556" s="194" t="s">
        <v>57</v>
      </c>
      <c r="G556" s="194" t="s">
        <v>58</v>
      </c>
      <c r="H556" s="194" t="s">
        <v>149</v>
      </c>
      <c r="I556" s="194" t="s">
        <v>145</v>
      </c>
      <c r="J556" s="195" t="s">
        <v>61</v>
      </c>
    </row>
    <row r="557" spans="1:10">
      <c r="A557" s="196"/>
      <c r="B557" s="179" t="s">
        <v>146</v>
      </c>
      <c r="C557" s="179" t="s">
        <v>146</v>
      </c>
      <c r="D557" s="179" t="s">
        <v>146</v>
      </c>
      <c r="E557" s="179" t="s">
        <v>146</v>
      </c>
      <c r="F557" s="179" t="s">
        <v>146</v>
      </c>
      <c r="G557" s="179" t="s">
        <v>146</v>
      </c>
      <c r="H557" s="179" t="s">
        <v>146</v>
      </c>
      <c r="I557" s="179" t="s">
        <v>146</v>
      </c>
      <c r="J557" s="197" t="s">
        <v>146</v>
      </c>
    </row>
    <row r="558" spans="1:10">
      <c r="A558" s="198">
        <v>37501</v>
      </c>
      <c r="B558" s="184">
        <v>16.27</v>
      </c>
      <c r="C558" s="184">
        <v>15.66</v>
      </c>
      <c r="D558" s="39">
        <v>15.25</v>
      </c>
      <c r="E558" s="184">
        <v>10.26</v>
      </c>
      <c r="F558" s="39">
        <v>10.92</v>
      </c>
      <c r="G558" s="39">
        <f>(8.508181+8.3+8.36+(7.98381+0.38351*1.12))/4</f>
        <v>8.3953805500000005</v>
      </c>
      <c r="H558" s="39">
        <v>19.5</v>
      </c>
      <c r="I558" s="39">
        <f>(9.7088+9.5)/2</f>
        <v>9.6044</v>
      </c>
      <c r="J558" s="59">
        <f>(43.16/(25/4.19))</f>
        <v>7.2336160000000005</v>
      </c>
    </row>
    <row r="559" spans="1:10">
      <c r="A559" s="198">
        <v>37508</v>
      </c>
      <c r="B559" s="39">
        <v>16.23</v>
      </c>
      <c r="C559" s="39">
        <v>15.63</v>
      </c>
      <c r="D559" s="39">
        <v>15.22</v>
      </c>
      <c r="E559" s="39">
        <v>10.25</v>
      </c>
      <c r="F559" s="39">
        <v>10.92</v>
      </c>
      <c r="G559" s="39">
        <f>(8.441155+8.5+8.41+(8.03032+0.38351*1.12))/4</f>
        <v>8.4527515500000003</v>
      </c>
      <c r="H559" s="39">
        <v>19.5</v>
      </c>
      <c r="I559" s="39">
        <f>(10.177+9.6)/2</f>
        <v>9.8885000000000005</v>
      </c>
      <c r="J559" s="59">
        <f>(43.16/(25/4.19))</f>
        <v>7.2336160000000005</v>
      </c>
    </row>
    <row r="560" spans="1:10">
      <c r="A560" s="198">
        <v>37515</v>
      </c>
      <c r="B560" s="39">
        <v>16.22</v>
      </c>
      <c r="C560" s="39">
        <v>15.62</v>
      </c>
      <c r="D560" s="39">
        <v>15.2</v>
      </c>
      <c r="E560" s="39">
        <v>10.25</v>
      </c>
      <c r="F560" s="39">
        <v>10.92</v>
      </c>
      <c r="G560" s="39">
        <f>(8.464518+8.5+8.46+(8.24364+0.38351*1.12))/4</f>
        <v>8.5244222999999995</v>
      </c>
      <c r="H560" s="39">
        <v>19.5</v>
      </c>
      <c r="I560" s="39">
        <f>(10.177+9.6+9.99)/3</f>
        <v>9.9223333333333343</v>
      </c>
      <c r="J560" s="59">
        <f>(44.71/(25/4.19))</f>
        <v>7.4933960000000015</v>
      </c>
    </row>
    <row r="561" spans="1:10">
      <c r="A561" s="198">
        <v>37522</v>
      </c>
      <c r="B561" s="39">
        <v>16.22</v>
      </c>
      <c r="C561" s="39">
        <v>15.62</v>
      </c>
      <c r="D561" s="39">
        <v>15.21</v>
      </c>
      <c r="E561" s="39">
        <v>10.24</v>
      </c>
      <c r="F561" s="39">
        <v>11.06</v>
      </c>
      <c r="G561" s="39">
        <f>(8.56433+8.5+8.51+(8.24364+0.38351*1.12))/4</f>
        <v>8.5618752999999987</v>
      </c>
      <c r="H561" s="39">
        <v>19.5</v>
      </c>
      <c r="I561" s="39">
        <f>(10.177+9.6+10.3)/3</f>
        <v>10.025666666666668</v>
      </c>
      <c r="J561" s="59">
        <f>(44.89/(25/4.19))</f>
        <v>7.5235640000000013</v>
      </c>
    </row>
    <row r="562" spans="1:10">
      <c r="A562" s="198">
        <v>37529</v>
      </c>
      <c r="B562" s="39">
        <v>16.190000000000001</v>
      </c>
      <c r="C562" s="39">
        <v>15.6</v>
      </c>
      <c r="D562" s="39">
        <v>15.19</v>
      </c>
      <c r="E562" s="39">
        <v>10.220000000000001</v>
      </c>
      <c r="F562" s="39">
        <v>11.12</v>
      </c>
      <c r="G562" s="39">
        <f>(8.611608+8.7+8.51+(8.38275+0.38351*1.12))/4</f>
        <v>8.6584722999999997</v>
      </c>
      <c r="H562" s="39">
        <v>19.5</v>
      </c>
      <c r="I562" s="39">
        <f>(10.177+9.6+10.6)/3</f>
        <v>10.125666666666667</v>
      </c>
      <c r="J562" s="59">
        <f>(48.18/(25/4.19))</f>
        <v>8.0749680000000019</v>
      </c>
    </row>
    <row r="563" spans="1:10">
      <c r="A563" s="200" t="s">
        <v>7</v>
      </c>
      <c r="B563" s="201">
        <f t="shared" ref="B563:J563" si="32">AVERAGE(B558:B562)</f>
        <v>16.225999999999999</v>
      </c>
      <c r="C563" s="201">
        <f t="shared" si="32"/>
        <v>15.625999999999999</v>
      </c>
      <c r="D563" s="201">
        <f t="shared" si="32"/>
        <v>15.214000000000002</v>
      </c>
      <c r="E563" s="201">
        <f t="shared" si="32"/>
        <v>10.244</v>
      </c>
      <c r="F563" s="201">
        <f t="shared" si="32"/>
        <v>10.988</v>
      </c>
      <c r="G563" s="201">
        <f t="shared" si="32"/>
        <v>8.5185803999999994</v>
      </c>
      <c r="H563" s="201">
        <f t="shared" si="32"/>
        <v>19.5</v>
      </c>
      <c r="I563" s="201">
        <f t="shared" si="32"/>
        <v>9.913313333333333</v>
      </c>
      <c r="J563" s="202">
        <f t="shared" si="32"/>
        <v>7.511832000000001</v>
      </c>
    </row>
    <row r="565" spans="1:10">
      <c r="A565" s="192" t="s">
        <v>1</v>
      </c>
      <c r="B565" s="193" t="s">
        <v>139</v>
      </c>
      <c r="C565" s="193" t="s">
        <v>140</v>
      </c>
      <c r="D565" s="193" t="s">
        <v>5</v>
      </c>
      <c r="E565" s="193" t="s">
        <v>6</v>
      </c>
      <c r="F565" s="194" t="s">
        <v>57</v>
      </c>
      <c r="G565" s="194" t="s">
        <v>58</v>
      </c>
      <c r="H565" s="194" t="s">
        <v>149</v>
      </c>
      <c r="I565" s="194" t="s">
        <v>145</v>
      </c>
      <c r="J565" s="195" t="s">
        <v>61</v>
      </c>
    </row>
    <row r="566" spans="1:10">
      <c r="A566" s="196"/>
      <c r="B566" s="179" t="s">
        <v>146</v>
      </c>
      <c r="C566" s="179" t="s">
        <v>146</v>
      </c>
      <c r="D566" s="179" t="s">
        <v>146</v>
      </c>
      <c r="E566" s="179" t="s">
        <v>146</v>
      </c>
      <c r="F566" s="179" t="s">
        <v>146</v>
      </c>
      <c r="G566" s="179" t="s">
        <v>146</v>
      </c>
      <c r="H566" s="179" t="s">
        <v>146</v>
      </c>
      <c r="I566" s="179" t="s">
        <v>146</v>
      </c>
      <c r="J566" s="197" t="s">
        <v>146</v>
      </c>
    </row>
    <row r="567" spans="1:10">
      <c r="A567" s="198">
        <v>37536</v>
      </c>
      <c r="B567" s="184">
        <v>16.190000000000001</v>
      </c>
      <c r="C567" s="184">
        <v>15.62</v>
      </c>
      <c r="D567" s="39">
        <v>15.21</v>
      </c>
      <c r="E567" s="184">
        <v>10.25</v>
      </c>
      <c r="F567" s="39">
        <v>11.12</v>
      </c>
      <c r="G567" s="39">
        <f>(8.804156+8.9+8.72+(8.38561+0.38351*1.12))/4</f>
        <v>8.8098243000000007</v>
      </c>
      <c r="H567" s="39">
        <v>19.7</v>
      </c>
      <c r="I567" s="39">
        <f>+(10.7+10.75+10.6)/3</f>
        <v>10.683333333333332</v>
      </c>
      <c r="J567" s="59">
        <f>(54.02/(25/4.19))</f>
        <v>9.0537520000000011</v>
      </c>
    </row>
    <row r="568" spans="1:10">
      <c r="A568" s="198">
        <v>37543</v>
      </c>
      <c r="B568" s="39">
        <v>16.739999999999998</v>
      </c>
      <c r="C568" s="39">
        <v>16.02</v>
      </c>
      <c r="D568" s="39">
        <v>15.61</v>
      </c>
      <c r="E568" s="39">
        <v>10.64</v>
      </c>
      <c r="F568" s="39">
        <v>11.12</v>
      </c>
      <c r="G568" s="39">
        <f>(8.86495+8.9+8.78+(8.38561+0.38351*1.12))/4</f>
        <v>8.8400227999999998</v>
      </c>
      <c r="H568" s="39">
        <v>19.7</v>
      </c>
      <c r="I568" s="39">
        <f>+(10.7+10.95+10.95)/3</f>
        <v>10.866666666666665</v>
      </c>
      <c r="J568" s="59">
        <f>(54.21/(25/4.19))</f>
        <v>9.0855960000000007</v>
      </c>
    </row>
    <row r="569" spans="1:10">
      <c r="A569" s="198">
        <v>37550</v>
      </c>
      <c r="B569" s="39">
        <v>16.77</v>
      </c>
      <c r="C569" s="39">
        <v>16.170000000000002</v>
      </c>
      <c r="D569" s="39">
        <v>15.73</v>
      </c>
      <c r="E569" s="39">
        <v>10.68</v>
      </c>
      <c r="F569" s="39">
        <v>10.89</v>
      </c>
      <c r="G569" s="39">
        <f>(8.464426+8.9+8.47+(8.341+0.38351*1.12))/4</f>
        <v>8.6512393000000003</v>
      </c>
      <c r="H569" s="39">
        <v>19.7</v>
      </c>
      <c r="I569" s="39">
        <f>+(10.7+10.95)/2</f>
        <v>10.824999999999999</v>
      </c>
      <c r="J569" s="59">
        <f>(53.65/(25/4.19))</f>
        <v>8.9917400000000018</v>
      </c>
    </row>
    <row r="570" spans="1:10">
      <c r="A570" s="198">
        <v>37557</v>
      </c>
      <c r="B570" s="39">
        <v>16.78</v>
      </c>
      <c r="C570" s="39">
        <v>16.170000000000002</v>
      </c>
      <c r="D570" s="39">
        <v>15.74</v>
      </c>
      <c r="E570" s="39">
        <v>10.67</v>
      </c>
      <c r="F570" s="39">
        <v>11.09</v>
      </c>
      <c r="G570" s="39">
        <f>(8.110865+8.14+8.5+(7.95663+0.38351*1.12))/4</f>
        <v>8.2842565500000003</v>
      </c>
      <c r="H570" s="39">
        <v>19.7</v>
      </c>
      <c r="I570" s="39">
        <f>+(10.75+10.95)/2</f>
        <v>10.85</v>
      </c>
      <c r="J570" s="59">
        <f>(54.14/(25/4.19))</f>
        <v>9.0738640000000022</v>
      </c>
    </row>
    <row r="571" spans="1:10">
      <c r="A571" s="200" t="s">
        <v>7</v>
      </c>
      <c r="B571" s="201">
        <f t="shared" ref="B571:J571" si="33">AVERAGE(B567:B570)</f>
        <v>16.62</v>
      </c>
      <c r="C571" s="201">
        <f t="shared" si="33"/>
        <v>15.995000000000001</v>
      </c>
      <c r="D571" s="201">
        <f t="shared" si="33"/>
        <v>15.5725</v>
      </c>
      <c r="E571" s="201">
        <f t="shared" si="33"/>
        <v>10.56</v>
      </c>
      <c r="F571" s="201">
        <f t="shared" si="33"/>
        <v>11.055</v>
      </c>
      <c r="G571" s="201">
        <f t="shared" si="33"/>
        <v>8.6463357375000012</v>
      </c>
      <c r="H571" s="201">
        <f t="shared" si="33"/>
        <v>19.7</v>
      </c>
      <c r="I571" s="201">
        <f t="shared" si="33"/>
        <v>10.80625</v>
      </c>
      <c r="J571" s="202">
        <f t="shared" si="33"/>
        <v>9.0512380000000014</v>
      </c>
    </row>
    <row r="573" spans="1:10">
      <c r="A573" s="192" t="s">
        <v>1</v>
      </c>
      <c r="B573" s="193" t="s">
        <v>139</v>
      </c>
      <c r="C573" s="193" t="s">
        <v>140</v>
      </c>
      <c r="D573" s="193" t="s">
        <v>5</v>
      </c>
      <c r="E573" s="193" t="s">
        <v>6</v>
      </c>
      <c r="F573" s="194" t="s">
        <v>57</v>
      </c>
      <c r="G573" s="194" t="s">
        <v>58</v>
      </c>
      <c r="H573" s="194" t="s">
        <v>149</v>
      </c>
      <c r="I573" s="194" t="s">
        <v>145</v>
      </c>
      <c r="J573" s="195" t="s">
        <v>61</v>
      </c>
    </row>
    <row r="574" spans="1:10">
      <c r="A574" s="196"/>
      <c r="B574" s="179" t="s">
        <v>146</v>
      </c>
      <c r="C574" s="179" t="s">
        <v>146</v>
      </c>
      <c r="D574" s="179" t="s">
        <v>146</v>
      </c>
      <c r="E574" s="179" t="s">
        <v>146</v>
      </c>
      <c r="F574" s="179" t="s">
        <v>146</v>
      </c>
      <c r="G574" s="179" t="s">
        <v>146</v>
      </c>
      <c r="H574" s="179" t="s">
        <v>146</v>
      </c>
      <c r="I574" s="179" t="s">
        <v>146</v>
      </c>
      <c r="J574" s="197" t="s">
        <v>146</v>
      </c>
    </row>
    <row r="575" spans="1:10">
      <c r="A575" s="198">
        <v>37564</v>
      </c>
      <c r="B575" s="184">
        <v>16.78</v>
      </c>
      <c r="C575" s="184">
        <v>16.170000000000002</v>
      </c>
      <c r="D575" s="39">
        <v>15.73</v>
      </c>
      <c r="E575" s="184">
        <v>10.66</v>
      </c>
      <c r="F575" s="39">
        <v>11.26</v>
      </c>
      <c r="G575" s="39">
        <f>+(7.815185+8.5+7.84+(7.95663+0.38351*1.12))/4</f>
        <v>8.1353365499999999</v>
      </c>
      <c r="H575" s="39">
        <v>19.7</v>
      </c>
      <c r="I575" s="39">
        <f>+(10.75+11.2)/2</f>
        <v>10.975</v>
      </c>
      <c r="J575" s="59">
        <f>(54.75/(25/4.19))</f>
        <v>9.1761000000000017</v>
      </c>
    </row>
    <row r="576" spans="1:10">
      <c r="A576" s="198">
        <v>37571</v>
      </c>
      <c r="B576" s="39">
        <v>16.760000000000002</v>
      </c>
      <c r="C576" s="39">
        <v>16.149999999999999</v>
      </c>
      <c r="D576" s="39">
        <v>15.72</v>
      </c>
      <c r="E576" s="39">
        <v>10.62</v>
      </c>
      <c r="F576" s="39">
        <v>11.46</v>
      </c>
      <c r="G576" s="39">
        <f>+(7.990318+8+7.95+(7.73263+0.38351*1.12))/4</f>
        <v>8.0256198000000012</v>
      </c>
      <c r="H576" s="39">
        <v>19.7</v>
      </c>
      <c r="I576" s="39">
        <f>+(10.25+11.2)/2</f>
        <v>10.725</v>
      </c>
      <c r="J576" s="59">
        <f>(54.88/(25/4.19))</f>
        <v>9.1978880000000025</v>
      </c>
    </row>
    <row r="577" spans="1:10">
      <c r="A577" s="198">
        <v>37578</v>
      </c>
      <c r="B577" s="39">
        <v>16.75</v>
      </c>
      <c r="C577" s="39">
        <v>16.11</v>
      </c>
      <c r="D577" s="39">
        <v>15.69</v>
      </c>
      <c r="E577" s="39">
        <v>10.61</v>
      </c>
      <c r="F577" s="39">
        <v>11.46</v>
      </c>
      <c r="G577" s="39">
        <f>+(8+7.43+(6.86053+0.38351*1.12))/3</f>
        <v>7.5733537333333336</v>
      </c>
      <c r="H577" s="39">
        <v>19.7</v>
      </c>
      <c r="I577" s="39">
        <f>+(10.25+11.2)/2</f>
        <v>10.725</v>
      </c>
      <c r="J577" s="59">
        <f>(55.1/(25/4.19))</f>
        <v>9.2347600000000014</v>
      </c>
    </row>
    <row r="578" spans="1:10">
      <c r="A578" s="198">
        <v>37585</v>
      </c>
      <c r="B578" s="39">
        <v>16.690000000000001</v>
      </c>
      <c r="C578" s="39">
        <v>16.04</v>
      </c>
      <c r="D578" s="39">
        <v>15.62</v>
      </c>
      <c r="E578" s="39">
        <v>10.58</v>
      </c>
      <c r="F578" s="39">
        <v>11.62</v>
      </c>
      <c r="G578" s="39">
        <f>+(7.053876+7.43155+(6.92773+0.38351*1.12))/3</f>
        <v>7.2808957333333337</v>
      </c>
      <c r="H578" s="39">
        <v>19</v>
      </c>
      <c r="I578" s="39">
        <f>+(11.2+9.5)/2</f>
        <v>10.35</v>
      </c>
      <c r="J578" s="59">
        <f>(55.19/(25/4.19))</f>
        <v>9.2498440000000013</v>
      </c>
    </row>
    <row r="579" spans="1:10">
      <c r="A579" s="200" t="s">
        <v>7</v>
      </c>
      <c r="B579" s="201">
        <f t="shared" ref="B579:J579" si="34">AVERAGE(B575:B578)</f>
        <v>16.745000000000001</v>
      </c>
      <c r="C579" s="201">
        <f t="shared" si="34"/>
        <v>16.1175</v>
      </c>
      <c r="D579" s="201">
        <f t="shared" si="34"/>
        <v>15.69</v>
      </c>
      <c r="E579" s="201">
        <f t="shared" si="34"/>
        <v>10.6175</v>
      </c>
      <c r="F579" s="201">
        <f t="shared" si="34"/>
        <v>11.45</v>
      </c>
      <c r="G579" s="201">
        <f t="shared" si="34"/>
        <v>7.7538014541666671</v>
      </c>
      <c r="H579" s="201">
        <f t="shared" si="34"/>
        <v>19.524999999999999</v>
      </c>
      <c r="I579" s="201">
        <f t="shared" si="34"/>
        <v>10.69375</v>
      </c>
      <c r="J579" s="202">
        <f t="shared" si="34"/>
        <v>9.2146480000000022</v>
      </c>
    </row>
    <row r="581" spans="1:10">
      <c r="A581" s="192" t="s">
        <v>1</v>
      </c>
      <c r="B581" s="193" t="s">
        <v>139</v>
      </c>
      <c r="C581" s="193" t="s">
        <v>140</v>
      </c>
      <c r="D581" s="193" t="s">
        <v>5</v>
      </c>
      <c r="E581" s="193" t="s">
        <v>6</v>
      </c>
      <c r="F581" s="194" t="s">
        <v>57</v>
      </c>
      <c r="G581" s="194" t="s">
        <v>58</v>
      </c>
      <c r="H581" s="194" t="s">
        <v>149</v>
      </c>
      <c r="I581" s="194" t="s">
        <v>145</v>
      </c>
      <c r="J581" s="195" t="s">
        <v>61</v>
      </c>
    </row>
    <row r="582" spans="1:10" ht="0.75" customHeight="1">
      <c r="A582" s="196"/>
      <c r="B582" s="179" t="s">
        <v>146</v>
      </c>
      <c r="C582" s="179" t="s">
        <v>146</v>
      </c>
      <c r="D582" s="179" t="s">
        <v>146</v>
      </c>
      <c r="E582" s="179" t="s">
        <v>146</v>
      </c>
      <c r="F582" s="179" t="s">
        <v>146</v>
      </c>
      <c r="G582" s="179" t="s">
        <v>146</v>
      </c>
      <c r="H582" s="179" t="s">
        <v>146</v>
      </c>
      <c r="I582" s="179" t="s">
        <v>146</v>
      </c>
      <c r="J582" s="197" t="s">
        <v>146</v>
      </c>
    </row>
    <row r="583" spans="1:10" hidden="1">
      <c r="A583" s="198">
        <v>37592</v>
      </c>
      <c r="B583" s="39">
        <v>16.5</v>
      </c>
      <c r="C583" s="184">
        <v>15.95</v>
      </c>
      <c r="D583" s="39">
        <v>15.53</v>
      </c>
      <c r="E583" s="184">
        <v>10.58</v>
      </c>
      <c r="F583" s="39">
        <v>11.78</v>
      </c>
      <c r="G583" s="39">
        <f>(7.206028+7.63+(7.12873+0.38351*1.12))/3</f>
        <v>7.4647630666666664</v>
      </c>
      <c r="H583" s="39">
        <v>19</v>
      </c>
      <c r="I583" s="39">
        <f>+(11.2+9.5)/2</f>
        <v>10.35</v>
      </c>
      <c r="J583" s="59">
        <f>(55.15/(25/4.19))</f>
        <v>9.2431400000000004</v>
      </c>
    </row>
    <row r="584" spans="1:10" hidden="1">
      <c r="A584" s="198">
        <v>37599</v>
      </c>
      <c r="B584" s="39">
        <v>16.54</v>
      </c>
      <c r="C584" s="39">
        <v>15.9</v>
      </c>
      <c r="D584" s="39">
        <v>15.47</v>
      </c>
      <c r="E584" s="39">
        <v>10.56</v>
      </c>
      <c r="F584" s="39">
        <v>11.11</v>
      </c>
      <c r="G584" s="39">
        <f>(7.3+7.5+(7.31913+0.38351*1.12))/3</f>
        <v>7.5162204000000008</v>
      </c>
      <c r="H584" s="39">
        <v>19.5</v>
      </c>
      <c r="I584" s="39">
        <v>11.2</v>
      </c>
      <c r="J584" s="59">
        <f>(55.16/(25/4.19))</f>
        <v>9.2448160000000001</v>
      </c>
    </row>
    <row r="585" spans="1:10" hidden="1">
      <c r="A585" s="198">
        <v>37606</v>
      </c>
      <c r="B585" s="39">
        <v>16.5</v>
      </c>
      <c r="C585" s="39">
        <v>15.87</v>
      </c>
      <c r="D585" s="39">
        <v>15.42</v>
      </c>
      <c r="E585" s="39">
        <v>10.55</v>
      </c>
      <c r="F585" s="39">
        <v>11.43</v>
      </c>
      <c r="G585" s="39">
        <f>(7.3+7.65+8.03+(7.31913+0.38351*1.12))/4</f>
        <v>7.6821652999999994</v>
      </c>
      <c r="H585" s="39">
        <v>20</v>
      </c>
      <c r="I585" s="39">
        <v>11.2</v>
      </c>
      <c r="J585" s="59">
        <f>(54.76/(25/4.19))</f>
        <v>9.1777760000000015</v>
      </c>
    </row>
    <row r="586" spans="1:10" hidden="1">
      <c r="A586" s="198">
        <v>37613</v>
      </c>
      <c r="B586" s="39">
        <v>16.47</v>
      </c>
      <c r="C586" s="39">
        <v>15.87</v>
      </c>
      <c r="D586" s="39">
        <v>15.44</v>
      </c>
      <c r="E586" s="39">
        <v>10.54</v>
      </c>
      <c r="F586" s="39">
        <v>11.43</v>
      </c>
      <c r="G586" s="39">
        <f>(7.56+8.55+8.03+(7.57447+0.38351*1.12))/4</f>
        <v>8.0360002999999995</v>
      </c>
      <c r="H586" s="39">
        <v>20.100000000000001</v>
      </c>
      <c r="I586" s="39">
        <f>+(10.24+11.2)/2</f>
        <v>10.719999999999999</v>
      </c>
      <c r="J586" s="59">
        <f>(54.19/(25/4.19))</f>
        <v>9.0822440000000011</v>
      </c>
    </row>
    <row r="587" spans="1:10" hidden="1">
      <c r="A587" s="198">
        <v>37620</v>
      </c>
      <c r="B587" s="39">
        <v>16.48</v>
      </c>
      <c r="C587" s="39">
        <v>15.9</v>
      </c>
      <c r="D587" s="39">
        <v>15.46</v>
      </c>
      <c r="E587" s="39">
        <v>10.58</v>
      </c>
      <c r="F587" s="39">
        <v>11.43</v>
      </c>
      <c r="G587" s="39">
        <f>(8.56+9+8.033+(7.7+0.38351*1.12))/4</f>
        <v>8.4306328000000015</v>
      </c>
      <c r="H587" s="39">
        <v>20.100000000000001</v>
      </c>
      <c r="I587" s="39">
        <f>+(12.5+11.2)/2</f>
        <v>11.85</v>
      </c>
      <c r="J587" s="59">
        <f>(55.22/(25/4.19))</f>
        <v>9.2548720000000007</v>
      </c>
    </row>
    <row r="588" spans="1:10" hidden="1">
      <c r="A588" s="200" t="s">
        <v>7</v>
      </c>
      <c r="B588" s="201">
        <f t="shared" ref="B588:J588" si="35">AVERAGE(B583:B587)</f>
        <v>16.497999999999998</v>
      </c>
      <c r="C588" s="201">
        <f t="shared" si="35"/>
        <v>15.898</v>
      </c>
      <c r="D588" s="201">
        <f t="shared" si="35"/>
        <v>15.463999999999999</v>
      </c>
      <c r="E588" s="201">
        <f t="shared" si="35"/>
        <v>10.562000000000001</v>
      </c>
      <c r="F588" s="201">
        <f t="shared" si="35"/>
        <v>11.436</v>
      </c>
      <c r="G588" s="201">
        <f t="shared" si="35"/>
        <v>7.8259563733333319</v>
      </c>
      <c r="H588" s="201">
        <f t="shared" si="35"/>
        <v>19.739999999999998</v>
      </c>
      <c r="I588" s="201">
        <f t="shared" si="35"/>
        <v>11.064</v>
      </c>
      <c r="J588" s="202">
        <f t="shared" si="35"/>
        <v>9.2005695999999997</v>
      </c>
    </row>
    <row r="589" spans="1:10" ht="12.75" hidden="1" customHeight="1">
      <c r="A589" s="186"/>
      <c r="B589" s="126"/>
      <c r="C589" s="126"/>
      <c r="D589" s="126"/>
      <c r="E589" s="126"/>
      <c r="F589" s="126"/>
      <c r="G589" s="126"/>
      <c r="H589" s="126"/>
      <c r="I589" s="126"/>
      <c r="J589" s="126"/>
    </row>
    <row r="590" spans="1:10" ht="16.5" hidden="1" customHeight="1"/>
    <row r="591" spans="1:10" ht="12.75" customHeight="1">
      <c r="A591" s="192" t="s">
        <v>1</v>
      </c>
      <c r="B591" s="193" t="s">
        <v>139</v>
      </c>
      <c r="C591" s="193" t="s">
        <v>140</v>
      </c>
      <c r="D591" s="193" t="s">
        <v>5</v>
      </c>
      <c r="E591" s="193" t="s">
        <v>6</v>
      </c>
      <c r="F591" s="194" t="s">
        <v>57</v>
      </c>
      <c r="G591" s="194" t="s">
        <v>58</v>
      </c>
      <c r="H591" s="194" t="s">
        <v>149</v>
      </c>
      <c r="I591" s="194" t="s">
        <v>145</v>
      </c>
      <c r="J591" s="195" t="s">
        <v>61</v>
      </c>
    </row>
    <row r="592" spans="1:10">
      <c r="A592" s="196"/>
      <c r="B592" s="179" t="s">
        <v>146</v>
      </c>
      <c r="C592" s="179" t="s">
        <v>146</v>
      </c>
      <c r="D592" s="179" t="s">
        <v>146</v>
      </c>
      <c r="E592" s="179" t="s">
        <v>146</v>
      </c>
      <c r="F592" s="179" t="s">
        <v>146</v>
      </c>
      <c r="G592" s="179" t="s">
        <v>146</v>
      </c>
      <c r="H592" s="179" t="s">
        <v>146</v>
      </c>
      <c r="I592" s="179" t="s">
        <v>146</v>
      </c>
      <c r="J592" s="197" t="s">
        <v>146</v>
      </c>
    </row>
    <row r="593" spans="1:10">
      <c r="A593" s="198">
        <v>37627</v>
      </c>
      <c r="B593" s="39">
        <v>16.52</v>
      </c>
      <c r="C593" s="184">
        <v>15.9</v>
      </c>
      <c r="D593" s="39">
        <v>15.46</v>
      </c>
      <c r="E593" s="39">
        <v>10.64</v>
      </c>
      <c r="F593" s="39">
        <v>11.43</v>
      </c>
      <c r="G593" s="39">
        <f>(8.564834+9+8.033+(7.70809+0.38351*1.12))/4</f>
        <v>8.4338637999999992</v>
      </c>
      <c r="H593" s="39">
        <v>20.100000000000001</v>
      </c>
      <c r="I593" s="39">
        <f>+(12.5+11.2)/2</f>
        <v>11.85</v>
      </c>
      <c r="J593" s="59">
        <f>(60.09/(25/4.19))</f>
        <v>10.071084000000003</v>
      </c>
    </row>
    <row r="594" spans="1:10">
      <c r="A594" s="198">
        <v>37634</v>
      </c>
      <c r="B594" s="39">
        <v>16.510000000000002</v>
      </c>
      <c r="C594" s="39">
        <v>15.89</v>
      </c>
      <c r="D594" s="39">
        <v>15.45</v>
      </c>
      <c r="E594" s="39">
        <v>10.91</v>
      </c>
      <c r="F594" s="39">
        <v>11.43</v>
      </c>
      <c r="G594" s="39">
        <f>(9.147447+9+8.87+(8.0279+0.38351*1.12))/4</f>
        <v>8.8687195499999998</v>
      </c>
      <c r="H594" s="39">
        <v>20.100000000000001</v>
      </c>
      <c r="I594" s="39">
        <v>11.2</v>
      </c>
      <c r="J594" s="59">
        <f>(58.45/(25/4.19))</f>
        <v>9.7962200000000017</v>
      </c>
    </row>
    <row r="595" spans="1:10">
      <c r="A595" s="198">
        <v>37641</v>
      </c>
      <c r="B595" s="39">
        <v>16.350000000000001</v>
      </c>
      <c r="C595" s="39">
        <v>15.85</v>
      </c>
      <c r="D595" s="39">
        <v>15.41</v>
      </c>
      <c r="E595" s="39">
        <v>11</v>
      </c>
      <c r="F595" s="39">
        <v>11.43</v>
      </c>
      <c r="G595" s="39">
        <f>(9.5993+11+8.87+(7.31913+0.38351*1.12))/4</f>
        <v>9.3044902999999994</v>
      </c>
      <c r="H595" s="39">
        <v>20.100000000000001</v>
      </c>
      <c r="I595" s="39">
        <f>+(11.25+11.2)/2</f>
        <v>11.225</v>
      </c>
      <c r="J595" s="59">
        <f>(55.48/(25/4.19))</f>
        <v>9.2984480000000005</v>
      </c>
    </row>
    <row r="596" spans="1:10">
      <c r="A596" s="198">
        <v>37648</v>
      </c>
      <c r="B596" s="39">
        <v>15.99</v>
      </c>
      <c r="C596" s="39">
        <v>15.55</v>
      </c>
      <c r="D596" s="39">
        <v>15.15</v>
      </c>
      <c r="E596" s="39">
        <v>11.03</v>
      </c>
      <c r="F596" s="39">
        <v>11.43</v>
      </c>
      <c r="G596" s="39">
        <f>(10.66109+11+10.12+(10.48362+0.38351*1.12))/4</f>
        <v>10.6735603</v>
      </c>
      <c r="H596" s="39">
        <v>20.100000000000001</v>
      </c>
      <c r="I596" s="39">
        <v>11.2</v>
      </c>
      <c r="J596" s="59">
        <f>(55.5/(25/4.19))</f>
        <v>9.3018000000000018</v>
      </c>
    </row>
    <row r="597" spans="1:10">
      <c r="A597" s="200" t="s">
        <v>7</v>
      </c>
      <c r="B597" s="201">
        <f t="shared" ref="B597:J597" si="36">AVERAGE(B593:B596)</f>
        <v>16.342500000000001</v>
      </c>
      <c r="C597" s="201">
        <f t="shared" si="36"/>
        <v>15.797499999999999</v>
      </c>
      <c r="D597" s="201">
        <f t="shared" si="36"/>
        <v>15.3675</v>
      </c>
      <c r="E597" s="205">
        <f t="shared" si="36"/>
        <v>10.895</v>
      </c>
      <c r="F597" s="201">
        <f t="shared" si="36"/>
        <v>11.43</v>
      </c>
      <c r="G597" s="201">
        <f t="shared" si="36"/>
        <v>9.3201584874999988</v>
      </c>
      <c r="H597" s="201">
        <f t="shared" si="36"/>
        <v>20.100000000000001</v>
      </c>
      <c r="I597" s="201">
        <f t="shared" si="36"/>
        <v>11.368749999999999</v>
      </c>
      <c r="J597" s="202">
        <f t="shared" si="36"/>
        <v>9.6168880000000012</v>
      </c>
    </row>
    <row r="598" spans="1:10">
      <c r="A598" s="75"/>
      <c r="B598" s="75"/>
      <c r="C598" s="75"/>
      <c r="D598" s="75"/>
      <c r="E598" s="75"/>
      <c r="F598" s="75"/>
      <c r="G598" s="75"/>
      <c r="I598" s="75"/>
      <c r="J598" s="75"/>
    </row>
    <row r="599" spans="1:10">
      <c r="A599" s="192" t="s">
        <v>1</v>
      </c>
      <c r="B599" s="193" t="s">
        <v>139</v>
      </c>
      <c r="C599" s="193" t="s">
        <v>140</v>
      </c>
      <c r="D599" s="193" t="s">
        <v>5</v>
      </c>
      <c r="E599" s="193" t="s">
        <v>6</v>
      </c>
      <c r="F599" s="194" t="s">
        <v>57</v>
      </c>
      <c r="G599" s="194" t="s">
        <v>58</v>
      </c>
      <c r="H599" s="194" t="s">
        <v>149</v>
      </c>
      <c r="I599" s="194" t="s">
        <v>145</v>
      </c>
      <c r="J599" s="195" t="s">
        <v>61</v>
      </c>
    </row>
    <row r="600" spans="1:10">
      <c r="A600" s="196"/>
      <c r="B600" s="179" t="s">
        <v>146</v>
      </c>
      <c r="C600" s="179" t="s">
        <v>146</v>
      </c>
      <c r="D600" s="179" t="s">
        <v>146</v>
      </c>
      <c r="E600" s="179" t="s">
        <v>146</v>
      </c>
      <c r="F600" s="179" t="s">
        <v>146</v>
      </c>
      <c r="G600" s="179" t="s">
        <v>146</v>
      </c>
      <c r="H600" s="179" t="s">
        <v>146</v>
      </c>
      <c r="I600" s="179" t="s">
        <v>146</v>
      </c>
      <c r="J600" s="197" t="s">
        <v>146</v>
      </c>
    </row>
    <row r="601" spans="1:10">
      <c r="A601" s="198">
        <v>37655</v>
      </c>
      <c r="B601" s="39">
        <v>15.94</v>
      </c>
      <c r="C601" s="184">
        <v>15.44</v>
      </c>
      <c r="D601" s="39">
        <v>15.04</v>
      </c>
      <c r="E601" s="184">
        <v>11.33</v>
      </c>
      <c r="F601" s="39">
        <v>11.43</v>
      </c>
      <c r="G601" s="39">
        <f>(10.721558+11+10.43+(10.48362+0.38351*1.12))/4</f>
        <v>10.766177300000001</v>
      </c>
      <c r="H601" s="39">
        <v>20.100000000000001</v>
      </c>
      <c r="I601" s="39">
        <f>+(11.25+11.5)/2</f>
        <v>11.375</v>
      </c>
      <c r="J601" s="59">
        <f>(56.69/(25/4.19))</f>
        <v>9.5012440000000016</v>
      </c>
    </row>
    <row r="602" spans="1:10">
      <c r="A602" s="198">
        <v>37662</v>
      </c>
      <c r="B602" s="39">
        <v>15.96</v>
      </c>
      <c r="C602" s="39">
        <v>15.43</v>
      </c>
      <c r="D602" s="39">
        <v>15.01</v>
      </c>
      <c r="E602" s="39">
        <v>11.52</v>
      </c>
      <c r="F602" s="39">
        <v>11.43</v>
      </c>
      <c r="G602" s="39">
        <f>(10.192609+11+10.43+(10.48362+0.38351*1.12))/4</f>
        <v>10.63394005</v>
      </c>
      <c r="H602" s="39">
        <v>20.399999999999999</v>
      </c>
      <c r="I602" s="39">
        <v>11.35</v>
      </c>
      <c r="J602" s="59">
        <f>(55.44/(25/4.19))</f>
        <v>9.2917440000000013</v>
      </c>
    </row>
    <row r="603" spans="1:10">
      <c r="A603" s="198">
        <v>37669</v>
      </c>
      <c r="B603" s="39">
        <v>18.71</v>
      </c>
      <c r="C603" s="39">
        <v>17.899999999999999</v>
      </c>
      <c r="D603" s="39">
        <v>17.420000000000002</v>
      </c>
      <c r="E603" s="39">
        <v>12.17</v>
      </c>
      <c r="F603" s="39">
        <v>12.11</v>
      </c>
      <c r="G603" s="39">
        <f>+(8.166258+11+8.61+(10.48362+0.38351*1.12))/4</f>
        <v>9.6723523</v>
      </c>
      <c r="H603" s="39">
        <v>20.399999999999999</v>
      </c>
      <c r="I603" s="39">
        <f>+(11.35+12.25)/2</f>
        <v>11.8</v>
      </c>
      <c r="J603" s="59">
        <f>(56.14/(25/4.19))</f>
        <v>9.4090640000000008</v>
      </c>
    </row>
    <row r="604" spans="1:10">
      <c r="A604" s="198">
        <v>37676</v>
      </c>
      <c r="B604" s="39">
        <v>18.21</v>
      </c>
      <c r="C604" s="39">
        <v>17.79</v>
      </c>
      <c r="D604" s="39">
        <v>17.27</v>
      </c>
      <c r="E604" s="39">
        <v>12.42</v>
      </c>
      <c r="F604" s="39">
        <v>12.06</v>
      </c>
      <c r="G604" s="39">
        <f>+(7.8309+9.5+8.66+(9.21003+0.38351*1.12))/4</f>
        <v>8.9076152999999998</v>
      </c>
      <c r="H604" s="39">
        <v>20.399999999999999</v>
      </c>
      <c r="I604" s="39">
        <f>+(12.7+13.99)/2</f>
        <v>13.344999999999999</v>
      </c>
      <c r="J604" s="59">
        <f>(56.39/(25/4.19))</f>
        <v>9.4509640000000008</v>
      </c>
    </row>
    <row r="605" spans="1:10">
      <c r="A605" s="200" t="s">
        <v>7</v>
      </c>
      <c r="B605" s="201">
        <f t="shared" ref="B605:J605" si="37">AVERAGE(B601:B604)</f>
        <v>17.204999999999998</v>
      </c>
      <c r="C605" s="201">
        <f t="shared" si="37"/>
        <v>16.64</v>
      </c>
      <c r="D605" s="201">
        <f t="shared" si="37"/>
        <v>16.184999999999999</v>
      </c>
      <c r="E605" s="201">
        <f t="shared" si="37"/>
        <v>11.860000000000001</v>
      </c>
      <c r="F605" s="201">
        <f t="shared" si="37"/>
        <v>11.7575</v>
      </c>
      <c r="G605" s="201">
        <f t="shared" si="37"/>
        <v>9.9950212375000014</v>
      </c>
      <c r="H605" s="201">
        <f t="shared" si="37"/>
        <v>20.324999999999999</v>
      </c>
      <c r="I605" s="201">
        <f t="shared" si="37"/>
        <v>11.967500000000001</v>
      </c>
      <c r="J605" s="202">
        <f t="shared" si="37"/>
        <v>9.4132540000000002</v>
      </c>
    </row>
    <row r="606" spans="1:10">
      <c r="A606" s="75"/>
      <c r="B606" s="75"/>
      <c r="C606" s="75"/>
      <c r="D606" s="75"/>
      <c r="E606" s="75"/>
      <c r="F606" s="75"/>
      <c r="G606" s="75"/>
      <c r="I606" s="75"/>
      <c r="J606" s="75"/>
    </row>
    <row r="607" spans="1:10">
      <c r="A607" s="192" t="s">
        <v>1</v>
      </c>
      <c r="B607" s="193" t="s">
        <v>139</v>
      </c>
      <c r="C607" s="193" t="s">
        <v>140</v>
      </c>
      <c r="D607" s="193" t="s">
        <v>5</v>
      </c>
      <c r="E607" s="193" t="s">
        <v>6</v>
      </c>
      <c r="F607" s="194" t="s">
        <v>57</v>
      </c>
      <c r="G607" s="194" t="s">
        <v>58</v>
      </c>
      <c r="H607" s="194" t="s">
        <v>149</v>
      </c>
      <c r="I607" s="194" t="s">
        <v>145</v>
      </c>
      <c r="J607" s="195" t="s">
        <v>61</v>
      </c>
    </row>
    <row r="608" spans="1:10">
      <c r="A608" s="196"/>
      <c r="B608" s="179" t="s">
        <v>146</v>
      </c>
      <c r="C608" s="179" t="s">
        <v>146</v>
      </c>
      <c r="D608" s="179" t="s">
        <v>146</v>
      </c>
      <c r="E608" s="179" t="s">
        <v>146</v>
      </c>
      <c r="F608" s="179" t="s">
        <v>146</v>
      </c>
      <c r="G608" s="179" t="s">
        <v>146</v>
      </c>
      <c r="H608" s="179" t="s">
        <v>146</v>
      </c>
      <c r="I608" s="179" t="s">
        <v>146</v>
      </c>
      <c r="J608" s="197" t="s">
        <v>146</v>
      </c>
    </row>
    <row r="609" spans="1:10">
      <c r="A609" s="198">
        <v>37683</v>
      </c>
      <c r="B609" s="39">
        <v>18.2</v>
      </c>
      <c r="C609" s="184">
        <v>17.760000000000002</v>
      </c>
      <c r="D609" s="39">
        <v>17.21</v>
      </c>
      <c r="E609" s="184">
        <v>12.45</v>
      </c>
      <c r="F609" s="39">
        <v>12.06</v>
      </c>
      <c r="G609" s="39">
        <f>+(7.549866+8.66+9.5+(8.16611+0.38351*1.12))/4</f>
        <v>8.5763767999999985</v>
      </c>
      <c r="H609" s="39">
        <v>20.399999999999999</v>
      </c>
      <c r="I609" s="39">
        <f>+(12.7+13.99)/2</f>
        <v>13.344999999999999</v>
      </c>
      <c r="J609" s="59">
        <f>(56.16/(25/4.19))</f>
        <v>9.4124160000000003</v>
      </c>
    </row>
    <row r="610" spans="1:10">
      <c r="A610" s="198">
        <v>37690</v>
      </c>
      <c r="B610" s="39">
        <v>18.149999999999999</v>
      </c>
      <c r="C610" s="39">
        <v>17.690000000000001</v>
      </c>
      <c r="D610" s="39">
        <v>17.18</v>
      </c>
      <c r="E610" s="39">
        <v>12.54</v>
      </c>
      <c r="F610" s="39">
        <v>13.06</v>
      </c>
      <c r="G610" s="39">
        <f>+(7.6302+9.5+8.66+(8.26579+0.38351*1.12))/4</f>
        <v>8.6213803000000002</v>
      </c>
      <c r="H610" s="39">
        <v>20.75</v>
      </c>
      <c r="I610" s="39">
        <v>13.06</v>
      </c>
      <c r="J610" s="59">
        <f>(55.07/(25/4.19))</f>
        <v>9.229732000000002</v>
      </c>
    </row>
    <row r="611" spans="1:10">
      <c r="A611" s="198">
        <v>37697</v>
      </c>
      <c r="B611" s="39">
        <v>18.399999999999999</v>
      </c>
      <c r="C611" s="39">
        <v>17.829999999999998</v>
      </c>
      <c r="D611" s="39">
        <v>17.3</v>
      </c>
      <c r="E611" s="39">
        <v>13.46</v>
      </c>
      <c r="F611" s="39">
        <v>13.06</v>
      </c>
      <c r="G611" s="39">
        <f>+(7.296757+9.5+8.14+(8.26579+0.38351*1.12))/4</f>
        <v>8.4080195500000006</v>
      </c>
      <c r="H611" s="39">
        <v>20.75</v>
      </c>
      <c r="I611" s="39">
        <f>+(13.06+13.99)/2</f>
        <v>13.525</v>
      </c>
      <c r="J611" s="59">
        <f>(54.16/(25/4.19))</f>
        <v>9.077216</v>
      </c>
    </row>
    <row r="612" spans="1:10">
      <c r="A612" s="198">
        <v>37704</v>
      </c>
      <c r="B612" s="39">
        <v>18.41</v>
      </c>
      <c r="C612" s="39">
        <v>17.87</v>
      </c>
      <c r="D612" s="39">
        <v>17.34</v>
      </c>
      <c r="E612" s="39">
        <v>13.65</v>
      </c>
      <c r="F612" s="39">
        <v>12.97</v>
      </c>
      <c r="G612" s="39">
        <f>+(7.240757+9+8.15+(7.03597+0.38351*1.12))/4</f>
        <v>7.9640645499999998</v>
      </c>
      <c r="H612" s="39">
        <v>21</v>
      </c>
      <c r="I612" s="39">
        <f>+(13.06+13.5)/2</f>
        <v>13.280000000000001</v>
      </c>
      <c r="J612" s="59">
        <f>(55.45/(25/4.19))</f>
        <v>9.2934200000000011</v>
      </c>
    </row>
    <row r="613" spans="1:10">
      <c r="A613" s="198">
        <v>37711</v>
      </c>
      <c r="B613" s="39">
        <v>18.34</v>
      </c>
      <c r="C613" s="39">
        <v>17.809999999999999</v>
      </c>
      <c r="D613" s="39">
        <v>17.3</v>
      </c>
      <c r="E613" s="39">
        <v>13.53</v>
      </c>
      <c r="F613" s="39">
        <v>12.97</v>
      </c>
      <c r="G613" s="39">
        <f>+(7.16+9+7.75+(7.03597+0.38351*1.12))/4</f>
        <v>7.8438753000000005</v>
      </c>
      <c r="H613" s="39">
        <v>21</v>
      </c>
      <c r="I613" s="39">
        <f>+(13.06+13.95)/2</f>
        <v>13.504999999999999</v>
      </c>
      <c r="J613" s="59">
        <f>(56.28/(25/4.19))</f>
        <v>9.4325280000000014</v>
      </c>
    </row>
    <row r="614" spans="1:10">
      <c r="A614" s="200" t="s">
        <v>7</v>
      </c>
      <c r="B614" s="201">
        <f t="shared" ref="B614:J614" si="38">AVERAGE(B609:B613)</f>
        <v>18.3</v>
      </c>
      <c r="C614" s="201">
        <f t="shared" si="38"/>
        <v>17.792000000000002</v>
      </c>
      <c r="D614" s="201">
        <f t="shared" si="38"/>
        <v>17.265999999999998</v>
      </c>
      <c r="E614" s="201">
        <f t="shared" si="38"/>
        <v>13.125999999999999</v>
      </c>
      <c r="F614" s="201">
        <f t="shared" si="38"/>
        <v>12.824000000000002</v>
      </c>
      <c r="G614" s="201">
        <f t="shared" si="38"/>
        <v>8.2827432999999999</v>
      </c>
      <c r="H614" s="201">
        <f t="shared" si="38"/>
        <v>20.78</v>
      </c>
      <c r="I614" s="201">
        <f t="shared" si="38"/>
        <v>13.343</v>
      </c>
      <c r="J614" s="202">
        <f t="shared" si="38"/>
        <v>9.2890624000000006</v>
      </c>
    </row>
    <row r="615" spans="1:10">
      <c r="A615" s="75"/>
      <c r="B615" s="75"/>
      <c r="C615" s="75"/>
      <c r="D615" s="75"/>
      <c r="E615" s="75"/>
      <c r="F615" s="75"/>
      <c r="G615" s="75"/>
      <c r="I615" s="75"/>
      <c r="J615" s="75"/>
    </row>
    <row r="616" spans="1:10">
      <c r="A616" s="192" t="s">
        <v>1</v>
      </c>
      <c r="B616" s="193" t="s">
        <v>139</v>
      </c>
      <c r="C616" s="193" t="s">
        <v>140</v>
      </c>
      <c r="D616" s="193" t="s">
        <v>5</v>
      </c>
      <c r="E616" s="193" t="s">
        <v>6</v>
      </c>
      <c r="F616" s="194" t="s">
        <v>57</v>
      </c>
      <c r="G616" s="194" t="s">
        <v>58</v>
      </c>
      <c r="H616" s="194" t="s">
        <v>149</v>
      </c>
      <c r="I616" s="194" t="s">
        <v>145</v>
      </c>
      <c r="J616" s="195" t="s">
        <v>61</v>
      </c>
    </row>
    <row r="617" spans="1:10">
      <c r="A617" s="196"/>
      <c r="B617" s="179" t="s">
        <v>146</v>
      </c>
      <c r="C617" s="179" t="s">
        <v>146</v>
      </c>
      <c r="D617" s="179" t="s">
        <v>146</v>
      </c>
      <c r="E617" s="179" t="s">
        <v>146</v>
      </c>
      <c r="F617" s="179" t="s">
        <v>146</v>
      </c>
      <c r="G617" s="179" t="s">
        <v>146</v>
      </c>
      <c r="H617" s="179" t="s">
        <v>146</v>
      </c>
      <c r="I617" s="179" t="s">
        <v>146</v>
      </c>
      <c r="J617" s="197" t="s">
        <v>146</v>
      </c>
    </row>
    <row r="618" spans="1:10">
      <c r="A618" s="198">
        <v>37718</v>
      </c>
      <c r="B618" s="39">
        <v>17.72</v>
      </c>
      <c r="C618" s="184">
        <v>17.489999999999998</v>
      </c>
      <c r="D618" s="39">
        <v>17</v>
      </c>
      <c r="E618" s="184">
        <v>13.21</v>
      </c>
      <c r="F618" s="39">
        <v>12.97</v>
      </c>
      <c r="G618" s="39">
        <f>+(7.484477+9+7.75+(7.252+0.38351*1.12))/4</f>
        <v>7.9790020500000001</v>
      </c>
      <c r="H618" s="39">
        <v>21</v>
      </c>
      <c r="I618" s="39">
        <f>+(13.0263+13.95)/2</f>
        <v>13.488150000000001</v>
      </c>
      <c r="J618" s="59">
        <f>(55.82/(25/4.19))</f>
        <v>9.3554320000000022</v>
      </c>
    </row>
    <row r="619" spans="1:10">
      <c r="A619" s="198">
        <v>37725</v>
      </c>
      <c r="B619" s="39">
        <v>17.39</v>
      </c>
      <c r="C619" s="39">
        <v>16.95</v>
      </c>
      <c r="D619" s="39">
        <v>16.39</v>
      </c>
      <c r="E619" s="39">
        <v>12.55</v>
      </c>
      <c r="F619" s="39">
        <v>14.39</v>
      </c>
      <c r="G619" s="39">
        <f>+(9.651296+9+7.3+(9.35963+0.38351*1.12))/4</f>
        <v>8.9351143000000004</v>
      </c>
      <c r="H619" s="39">
        <v>21</v>
      </c>
      <c r="I619" s="39">
        <f>+(13.0263+13.95)/2</f>
        <v>13.488150000000001</v>
      </c>
      <c r="J619" s="59">
        <f>(56.09/(25/4.19))</f>
        <v>9.4006840000000018</v>
      </c>
    </row>
    <row r="620" spans="1:10">
      <c r="A620" s="198">
        <v>37732</v>
      </c>
      <c r="B620" s="39">
        <v>17.29</v>
      </c>
      <c r="C620" s="39">
        <v>16.87</v>
      </c>
      <c r="D620" s="39">
        <v>16.38</v>
      </c>
      <c r="E620" s="39">
        <v>12.5</v>
      </c>
      <c r="F620" s="39">
        <v>14.39</v>
      </c>
      <c r="G620" s="39">
        <f>+(9.65+12.5+(9.35963+0.38351*1.12))/3</f>
        <v>10.646387066666666</v>
      </c>
      <c r="H620" s="39">
        <v>21</v>
      </c>
      <c r="I620" s="39">
        <f>+(13.3824+13.95)/2</f>
        <v>13.6662</v>
      </c>
      <c r="J620" s="59">
        <f>(56.05/(25/4.19))</f>
        <v>9.3939800000000009</v>
      </c>
    </row>
    <row r="621" spans="1:10">
      <c r="A621" s="198">
        <v>37739</v>
      </c>
      <c r="B621" s="39">
        <v>17.260000000000002</v>
      </c>
      <c r="C621" s="39">
        <v>16.73</v>
      </c>
      <c r="D621" s="39">
        <v>16.239999999999998</v>
      </c>
      <c r="E621" s="39">
        <v>12.27</v>
      </c>
      <c r="F621" s="39">
        <v>14.39</v>
      </c>
      <c r="G621" s="39">
        <f>+(9.651296+12.5)/2</f>
        <v>11.075648000000001</v>
      </c>
      <c r="H621" s="39">
        <v>21</v>
      </c>
      <c r="I621" s="39">
        <v>13.382400000000001</v>
      </c>
      <c r="J621" s="59">
        <f>(55.57/(25/4.19))</f>
        <v>9.3135320000000021</v>
      </c>
    </row>
    <row r="622" spans="1:10">
      <c r="A622" s="200" t="s">
        <v>7</v>
      </c>
      <c r="B622" s="201">
        <f t="shared" ref="B622:J622" si="39">AVERAGE(B618:B621)</f>
        <v>17.414999999999999</v>
      </c>
      <c r="C622" s="201">
        <f t="shared" si="39"/>
        <v>17.010000000000002</v>
      </c>
      <c r="D622" s="201">
        <f t="shared" si="39"/>
        <v>16.502499999999998</v>
      </c>
      <c r="E622" s="201">
        <f t="shared" si="39"/>
        <v>12.6325</v>
      </c>
      <c r="F622" s="201">
        <f t="shared" si="39"/>
        <v>14.035</v>
      </c>
      <c r="G622" s="201">
        <f t="shared" si="39"/>
        <v>9.6590378541666659</v>
      </c>
      <c r="H622" s="201">
        <f t="shared" si="39"/>
        <v>21</v>
      </c>
      <c r="I622" s="201">
        <f t="shared" si="39"/>
        <v>13.506225000000001</v>
      </c>
      <c r="J622" s="202">
        <f t="shared" si="39"/>
        <v>9.3659070000000018</v>
      </c>
    </row>
    <row r="623" spans="1:10">
      <c r="A623" s="75"/>
      <c r="B623" s="75"/>
      <c r="C623" s="75"/>
      <c r="D623" s="75"/>
      <c r="E623" s="75"/>
      <c r="F623" s="75"/>
      <c r="G623" s="75"/>
      <c r="I623" s="75"/>
      <c r="J623" s="75"/>
    </row>
    <row r="624" spans="1:10">
      <c r="A624" s="192" t="s">
        <v>1</v>
      </c>
      <c r="B624" s="193" t="s">
        <v>139</v>
      </c>
      <c r="C624" s="193" t="s">
        <v>140</v>
      </c>
      <c r="D624" s="193" t="s">
        <v>5</v>
      </c>
      <c r="E624" s="193" t="s">
        <v>6</v>
      </c>
      <c r="F624" s="194" t="s">
        <v>57</v>
      </c>
      <c r="G624" s="194" t="s">
        <v>58</v>
      </c>
      <c r="H624" s="194" t="s">
        <v>149</v>
      </c>
      <c r="I624" s="194" t="s">
        <v>145</v>
      </c>
      <c r="J624" s="195" t="s">
        <v>61</v>
      </c>
    </row>
    <row r="625" spans="1:10">
      <c r="A625" s="196"/>
      <c r="B625" s="179" t="s">
        <v>146</v>
      </c>
      <c r="C625" s="179" t="s">
        <v>146</v>
      </c>
      <c r="D625" s="179" t="s">
        <v>146</v>
      </c>
      <c r="E625" s="179" t="s">
        <v>146</v>
      </c>
      <c r="F625" s="179" t="s">
        <v>146</v>
      </c>
      <c r="G625" s="179" t="s">
        <v>146</v>
      </c>
      <c r="H625" s="179" t="s">
        <v>146</v>
      </c>
      <c r="I625" s="179" t="s">
        <v>146</v>
      </c>
      <c r="J625" s="197" t="s">
        <v>146</v>
      </c>
    </row>
    <row r="626" spans="1:10">
      <c r="A626" s="198">
        <v>37746</v>
      </c>
      <c r="B626" s="39">
        <v>17.239999999999998</v>
      </c>
      <c r="C626" s="184">
        <v>16.63</v>
      </c>
      <c r="D626" s="39">
        <v>16.14</v>
      </c>
      <c r="E626" s="184">
        <v>12.12</v>
      </c>
      <c r="F626" s="39">
        <f>(13.29+12+12.88)/3</f>
        <v>12.723333333333334</v>
      </c>
      <c r="G626" s="39">
        <f>+(12.5+10.6+(9.40668+0.38351*1.12))/3</f>
        <v>10.978737066666667</v>
      </c>
      <c r="H626" s="39">
        <v>21</v>
      </c>
      <c r="I626" s="39">
        <f>(12.8872+11.99)/2</f>
        <v>12.438600000000001</v>
      </c>
      <c r="J626" s="59">
        <f>(57.2/(25/4.19))</f>
        <v>9.5867200000000015</v>
      </c>
    </row>
    <row r="627" spans="1:10">
      <c r="A627" s="198">
        <v>37753</v>
      </c>
      <c r="B627" s="39">
        <v>16.510000000000002</v>
      </c>
      <c r="C627" s="39">
        <v>16.02</v>
      </c>
      <c r="D627" s="39">
        <v>15.53</v>
      </c>
      <c r="E627" s="39">
        <v>11.28</v>
      </c>
      <c r="F627" s="39">
        <f>+(10.34+12+12.88)/3</f>
        <v>11.74</v>
      </c>
      <c r="G627" s="39">
        <f>+(10.6+(9.40668+0.38351*1.12))/2</f>
        <v>10.218105599999999</v>
      </c>
      <c r="H627" s="39">
        <v>21</v>
      </c>
      <c r="I627" s="39">
        <f>(12.8872+11.25)/2</f>
        <v>12.0686</v>
      </c>
      <c r="J627" s="59">
        <f>(57.36/(25/4.19))</f>
        <v>9.6135360000000016</v>
      </c>
    </row>
    <row r="628" spans="1:10">
      <c r="A628" s="198">
        <v>37760</v>
      </c>
      <c r="B628" s="39">
        <v>16.239999999999998</v>
      </c>
      <c r="C628" s="39">
        <v>15.65</v>
      </c>
      <c r="D628" s="39">
        <v>15.15</v>
      </c>
      <c r="E628" s="39">
        <v>10.73</v>
      </c>
      <c r="F628" s="39">
        <f>(10.345+12+11.63)/3</f>
        <v>11.325000000000001</v>
      </c>
      <c r="G628" s="39">
        <f>(9.79824+12.5+10.2+(8.90487+0.38351*1.12))/4</f>
        <v>10.458160299999999</v>
      </c>
      <c r="H628" s="39">
        <v>21</v>
      </c>
      <c r="I628" s="39">
        <f>(12.561+11.25)/2</f>
        <v>11.9055</v>
      </c>
      <c r="J628" s="59">
        <f>(57.07/(25/4.19))</f>
        <v>9.5649320000000007</v>
      </c>
    </row>
    <row r="629" spans="1:10">
      <c r="A629" s="198">
        <v>37767</v>
      </c>
      <c r="B629" s="39">
        <v>15.91</v>
      </c>
      <c r="C629" s="39">
        <v>15.37</v>
      </c>
      <c r="D629" s="39">
        <v>14.91</v>
      </c>
      <c r="E629" s="39">
        <v>10.38</v>
      </c>
      <c r="F629" s="39">
        <f>(10.34+9.75+11.63)/3</f>
        <v>10.573333333333332</v>
      </c>
      <c r="G629" s="39">
        <f>+(9.79824+9.95+10.2+(9.27056+0.38351*1.12))/4</f>
        <v>9.9120828000000003</v>
      </c>
      <c r="H629" s="39">
        <v>21</v>
      </c>
      <c r="I629" s="39">
        <f>(12.561+11.25)/2</f>
        <v>11.9055</v>
      </c>
      <c r="J629" s="59">
        <f>(56.72/(25/4.19))</f>
        <v>9.5062720000000009</v>
      </c>
    </row>
    <row r="630" spans="1:10">
      <c r="A630" s="200" t="s">
        <v>7</v>
      </c>
      <c r="B630" s="201">
        <f t="shared" ref="B630:J630" si="40">AVERAGE(B626:B629)</f>
        <v>16.474999999999998</v>
      </c>
      <c r="C630" s="201">
        <f t="shared" si="40"/>
        <v>15.917499999999999</v>
      </c>
      <c r="D630" s="201">
        <f t="shared" si="40"/>
        <v>15.432500000000001</v>
      </c>
      <c r="E630" s="201">
        <f t="shared" si="40"/>
        <v>11.1275</v>
      </c>
      <c r="F630" s="201">
        <f t="shared" si="40"/>
        <v>11.590416666666666</v>
      </c>
      <c r="G630" s="201">
        <f t="shared" si="40"/>
        <v>10.391771441666666</v>
      </c>
      <c r="H630" s="201">
        <f t="shared" si="40"/>
        <v>21</v>
      </c>
      <c r="I630" s="201">
        <f t="shared" si="40"/>
        <v>12.079550000000001</v>
      </c>
      <c r="J630" s="202">
        <f t="shared" si="40"/>
        <v>9.5678650000000012</v>
      </c>
    </row>
    <row r="631" spans="1:10">
      <c r="A631" s="75"/>
      <c r="B631" s="75"/>
      <c r="C631" s="75"/>
      <c r="D631" s="75"/>
      <c r="E631" s="75"/>
      <c r="F631" s="75"/>
      <c r="G631" s="75"/>
      <c r="I631" s="75"/>
      <c r="J631" s="75"/>
    </row>
    <row r="632" spans="1:10">
      <c r="A632" s="192" t="s">
        <v>1</v>
      </c>
      <c r="B632" s="193" t="s">
        <v>139</v>
      </c>
      <c r="C632" s="193" t="s">
        <v>140</v>
      </c>
      <c r="D632" s="193" t="s">
        <v>5</v>
      </c>
      <c r="E632" s="193" t="s">
        <v>6</v>
      </c>
      <c r="F632" s="194" t="s">
        <v>57</v>
      </c>
      <c r="G632" s="194" t="s">
        <v>58</v>
      </c>
      <c r="H632" s="194" t="s">
        <v>149</v>
      </c>
      <c r="I632" s="194" t="s">
        <v>145</v>
      </c>
      <c r="J632" s="195" t="s">
        <v>61</v>
      </c>
    </row>
    <row r="633" spans="1:10">
      <c r="A633" s="196"/>
      <c r="B633" s="179" t="s">
        <v>146</v>
      </c>
      <c r="C633" s="179" t="s">
        <v>146</v>
      </c>
      <c r="D633" s="179" t="s">
        <v>146</v>
      </c>
      <c r="E633" s="179" t="s">
        <v>146</v>
      </c>
      <c r="F633" s="179" t="s">
        <v>146</v>
      </c>
      <c r="G633" s="179" t="s">
        <v>146</v>
      </c>
      <c r="H633" s="179" t="s">
        <v>146</v>
      </c>
      <c r="I633" s="179" t="s">
        <v>146</v>
      </c>
      <c r="J633" s="197" t="s">
        <v>146</v>
      </c>
    </row>
    <row r="634" spans="1:10">
      <c r="A634" s="198">
        <v>37774</v>
      </c>
      <c r="B634" s="39">
        <v>15.78</v>
      </c>
      <c r="C634" s="184">
        <v>15.13</v>
      </c>
      <c r="D634" s="39">
        <v>14.71</v>
      </c>
      <c r="E634" s="206">
        <v>10.029999999999999</v>
      </c>
      <c r="F634" s="39">
        <f>+(10.345+9.75+11.63)/3</f>
        <v>10.575000000000001</v>
      </c>
      <c r="G634" s="39">
        <f>+(10.25755+9.95+10.2+(9.25869+0.38351*1.12))/4</f>
        <v>10.023942799999999</v>
      </c>
      <c r="H634" s="39">
        <v>19.5121</v>
      </c>
      <c r="I634" s="39">
        <f>(12.8041+11.25)/2</f>
        <v>12.027049999999999</v>
      </c>
      <c r="J634" s="59">
        <f>(53.84/(25/4.19))</f>
        <v>9.0235840000000014</v>
      </c>
    </row>
    <row r="635" spans="1:10">
      <c r="A635" s="198">
        <v>37781</v>
      </c>
      <c r="B635" s="39">
        <v>15.64</v>
      </c>
      <c r="C635" s="39">
        <v>15.02</v>
      </c>
      <c r="D635" s="39">
        <v>14.61</v>
      </c>
      <c r="E635" s="39">
        <v>9.89</v>
      </c>
      <c r="F635" s="39">
        <f>+(10.34+10.45+11.28)/3</f>
        <v>10.69</v>
      </c>
      <c r="G635" s="39">
        <f>+(13.792803+11.0024+10.4+(9.90221+0.38351*1.12))/4</f>
        <v>11.381736050000001</v>
      </c>
      <c r="H635" s="39">
        <v>19.5121</v>
      </c>
      <c r="I635" s="39">
        <f>(12.8041+11.25)/2</f>
        <v>12.027049999999999</v>
      </c>
      <c r="J635" s="59">
        <f>(53.04/(25/4.19))</f>
        <v>8.8895040000000005</v>
      </c>
    </row>
    <row r="636" spans="1:10">
      <c r="A636" s="198">
        <v>37788</v>
      </c>
      <c r="B636" s="39">
        <v>15.56</v>
      </c>
      <c r="C636" s="39">
        <v>14.99</v>
      </c>
      <c r="D636" s="39">
        <v>14.56</v>
      </c>
      <c r="E636" s="39">
        <v>9.84</v>
      </c>
      <c r="F636" s="39">
        <f>+(10.345+10.45+11.28)/3</f>
        <v>10.691666666666668</v>
      </c>
      <c r="G636" s="39">
        <f>+(10.98925+11.0024+11.2+(9.90221+0.38351*1.12))/4</f>
        <v>10.880847799999998</v>
      </c>
      <c r="H636" s="39">
        <v>19.963899999999999</v>
      </c>
      <c r="I636" s="39">
        <f>(13.0671+11.25)/2</f>
        <v>12.15855</v>
      </c>
      <c r="J636" s="59">
        <f>(51.74/(25/4.19))</f>
        <v>8.6716240000000013</v>
      </c>
    </row>
    <row r="637" spans="1:10">
      <c r="A637" s="198">
        <v>37795</v>
      </c>
      <c r="B637" s="39">
        <v>15.74</v>
      </c>
      <c r="C637" s="39">
        <v>15.15</v>
      </c>
      <c r="D637" s="39">
        <v>14.69</v>
      </c>
      <c r="E637" s="39">
        <v>9.8800000000000008</v>
      </c>
      <c r="F637" s="39">
        <f>+(10.345+10.45+11.28)/3</f>
        <v>10.691666666666668</v>
      </c>
      <c r="G637" s="39">
        <f>+(10.98925+11.885+11.5+(11.04326+0.38351*1.12))/4</f>
        <v>11.461760300000002</v>
      </c>
      <c r="H637" s="39">
        <v>19.963899999999999</v>
      </c>
      <c r="I637" s="39">
        <f>(13.0671+11.25)/2</f>
        <v>12.15855</v>
      </c>
      <c r="J637" s="59">
        <f>(46.42/(25/4.19))</f>
        <v>7.7799920000000018</v>
      </c>
    </row>
    <row r="638" spans="1:10">
      <c r="A638" s="200" t="s">
        <v>7</v>
      </c>
      <c r="B638" s="201">
        <f t="shared" ref="B638:J638" si="41">AVERAGE(B634:B637)</f>
        <v>15.680000000000001</v>
      </c>
      <c r="C638" s="201">
        <f t="shared" si="41"/>
        <v>15.0725</v>
      </c>
      <c r="D638" s="201">
        <f t="shared" si="41"/>
        <v>14.6425</v>
      </c>
      <c r="E638" s="201">
        <f t="shared" si="41"/>
        <v>9.91</v>
      </c>
      <c r="F638" s="201">
        <f t="shared" si="41"/>
        <v>10.662083333333335</v>
      </c>
      <c r="G638" s="201">
        <f t="shared" si="41"/>
        <v>10.9370717375</v>
      </c>
      <c r="H638" s="201">
        <f t="shared" si="41"/>
        <v>19.738</v>
      </c>
      <c r="I638" s="201">
        <f t="shared" si="41"/>
        <v>12.092799999999999</v>
      </c>
      <c r="J638" s="202">
        <f t="shared" si="41"/>
        <v>8.5911760000000008</v>
      </c>
    </row>
    <row r="640" spans="1:10">
      <c r="A640" s="192" t="s">
        <v>1</v>
      </c>
      <c r="B640" s="193" t="s">
        <v>139</v>
      </c>
      <c r="C640" s="193" t="s">
        <v>140</v>
      </c>
      <c r="D640" s="193" t="s">
        <v>5</v>
      </c>
      <c r="E640" s="193" t="s">
        <v>6</v>
      </c>
      <c r="F640" s="194" t="s">
        <v>57</v>
      </c>
      <c r="G640" s="194" t="s">
        <v>58</v>
      </c>
      <c r="H640" s="194" t="s">
        <v>149</v>
      </c>
      <c r="I640" s="194" t="s">
        <v>145</v>
      </c>
      <c r="J640" s="195" t="s">
        <v>61</v>
      </c>
    </row>
    <row r="641" spans="1:10">
      <c r="A641" s="196"/>
      <c r="B641" s="179" t="s">
        <v>146</v>
      </c>
      <c r="C641" s="179" t="s">
        <v>146</v>
      </c>
      <c r="D641" s="179" t="s">
        <v>146</v>
      </c>
      <c r="E641" s="179" t="s">
        <v>146</v>
      </c>
      <c r="F641" s="179" t="s">
        <v>146</v>
      </c>
      <c r="G641" s="179" t="s">
        <v>146</v>
      </c>
      <c r="H641" s="179" t="s">
        <v>146</v>
      </c>
      <c r="I641" s="179" t="s">
        <v>146</v>
      </c>
      <c r="J641" s="197" t="s">
        <v>146</v>
      </c>
    </row>
    <row r="642" spans="1:10">
      <c r="A642" s="198">
        <v>37804</v>
      </c>
      <c r="B642" s="39">
        <v>15.51</v>
      </c>
      <c r="C642" s="184">
        <v>15.01</v>
      </c>
      <c r="D642" s="39">
        <v>14.59</v>
      </c>
      <c r="E642" s="184">
        <v>9.77</v>
      </c>
      <c r="F642" s="39">
        <f>+(10.345+10.45+11.28)/3</f>
        <v>10.691666666666668</v>
      </c>
      <c r="G642" s="39">
        <f>+(10.98+11.03+11.5+(11.4062+0.38351*1.12))/4</f>
        <v>11.336432799999999</v>
      </c>
      <c r="H642" s="39">
        <v>19.953944</v>
      </c>
      <c r="I642" s="39">
        <f>(13.0126+11.25)/2</f>
        <v>12.1313</v>
      </c>
      <c r="J642" s="59">
        <f>(44.56/(25/4.19))</f>
        <v>7.4682560000000011</v>
      </c>
    </row>
    <row r="643" spans="1:10">
      <c r="A643" s="198">
        <v>37809</v>
      </c>
      <c r="B643" s="39">
        <v>15.49</v>
      </c>
      <c r="C643" s="184">
        <v>14.99</v>
      </c>
      <c r="D643" s="39">
        <v>14.59</v>
      </c>
      <c r="E643" s="184">
        <v>9.75</v>
      </c>
      <c r="F643" s="39">
        <f>+(10.345+10.45+11.28)/3</f>
        <v>10.691666666666668</v>
      </c>
      <c r="G643" s="39">
        <f>+(11.48619+11.03+11.5+(11.4062+0.38351*1.12))/4</f>
        <v>11.4629803</v>
      </c>
      <c r="H643" s="39">
        <v>19.953944</v>
      </c>
      <c r="I643" s="39">
        <f>(13.0126+11.55)/2</f>
        <v>12.281300000000002</v>
      </c>
      <c r="J643" s="59">
        <f>(44.37/(25/4.19))</f>
        <v>7.4364120000000007</v>
      </c>
    </row>
    <row r="644" spans="1:10">
      <c r="A644" s="198">
        <v>37816</v>
      </c>
      <c r="B644" s="39">
        <v>15.7</v>
      </c>
      <c r="C644" s="39">
        <v>15.18</v>
      </c>
      <c r="D644" s="39">
        <v>14.6</v>
      </c>
      <c r="E644" s="39">
        <v>9.94</v>
      </c>
      <c r="F644" s="39">
        <f>+(10.34+10.45+11.28)/3</f>
        <v>10.69</v>
      </c>
      <c r="G644" s="39">
        <f>+(11.75739+11.03+11.5+(10.42376+0.38351*1.12))/4</f>
        <v>11.285170300000001</v>
      </c>
      <c r="H644" s="39">
        <v>19.953944</v>
      </c>
      <c r="I644" s="39">
        <f>+(13.0126+11.55)/2</f>
        <v>12.281300000000002</v>
      </c>
      <c r="J644" s="59">
        <f>(44.26/(25/4.19))</f>
        <v>7.4179760000000012</v>
      </c>
    </row>
    <row r="645" spans="1:10">
      <c r="A645" s="198">
        <v>37823</v>
      </c>
      <c r="B645" s="39">
        <v>15.67</v>
      </c>
      <c r="C645" s="39">
        <v>15.18</v>
      </c>
      <c r="D645" s="39">
        <v>14.58</v>
      </c>
      <c r="E645" s="39">
        <v>9.93</v>
      </c>
      <c r="F645" s="39">
        <f>+(10.345+10.45+11.28)/3</f>
        <v>10.691666666666668</v>
      </c>
      <c r="G645" s="39">
        <f>+(11.75739+11.03+11.5+(10.16116+0.38351*1.12))/4</f>
        <v>11.219520300000001</v>
      </c>
      <c r="H645" s="39">
        <v>20.367899999999999</v>
      </c>
      <c r="I645" s="39">
        <f>+(13.3337+11.55)/2</f>
        <v>12.441850000000001</v>
      </c>
      <c r="J645" s="59">
        <f>(43.82/(25/4.19))</f>
        <v>7.3442320000000008</v>
      </c>
    </row>
    <row r="646" spans="1:10">
      <c r="A646" s="198">
        <v>37830</v>
      </c>
      <c r="B646" s="39">
        <v>15.55</v>
      </c>
      <c r="C646" s="39">
        <v>15.13</v>
      </c>
      <c r="D646" s="39">
        <v>14.55</v>
      </c>
      <c r="E646" s="39">
        <v>10.15</v>
      </c>
      <c r="F646" s="39">
        <f>+(10.345+10.45+11.28)/3</f>
        <v>10.691666666666668</v>
      </c>
      <c r="G646" s="39">
        <f>(11.39659+11.03+12.05+(10.16116+0.38351*1.12))/4</f>
        <v>11.266820300000001</v>
      </c>
      <c r="H646" s="39">
        <v>20.367899999999999</v>
      </c>
      <c r="I646" s="39">
        <f>+(13.3337+11.55)/2</f>
        <v>12.441850000000001</v>
      </c>
      <c r="J646" s="59">
        <f>(44.26/(25/4.19))</f>
        <v>7.4179760000000012</v>
      </c>
    </row>
    <row r="647" spans="1:10">
      <c r="A647" s="200" t="s">
        <v>7</v>
      </c>
      <c r="B647" s="201">
        <f t="shared" ref="B647:J647" si="42">AVERAGE(B642:B646)</f>
        <v>15.584</v>
      </c>
      <c r="C647" s="201">
        <f t="shared" si="42"/>
        <v>15.097999999999999</v>
      </c>
      <c r="D647" s="201">
        <f t="shared" si="42"/>
        <v>14.581999999999999</v>
      </c>
      <c r="E647" s="201">
        <f t="shared" si="42"/>
        <v>9.9079999999999995</v>
      </c>
      <c r="F647" s="201">
        <f t="shared" si="42"/>
        <v>10.691333333333336</v>
      </c>
      <c r="G647" s="201">
        <f t="shared" si="42"/>
        <v>11.3141848</v>
      </c>
      <c r="H647" s="201">
        <f t="shared" si="42"/>
        <v>20.119526400000002</v>
      </c>
      <c r="I647" s="201">
        <f t="shared" si="42"/>
        <v>12.315520000000001</v>
      </c>
      <c r="J647" s="202">
        <f t="shared" si="42"/>
        <v>7.4169704000000012</v>
      </c>
    </row>
    <row r="649" spans="1:10">
      <c r="A649" s="192" t="s">
        <v>1</v>
      </c>
      <c r="B649" s="193" t="s">
        <v>139</v>
      </c>
      <c r="C649" s="193" t="s">
        <v>140</v>
      </c>
      <c r="D649" s="193" t="s">
        <v>5</v>
      </c>
      <c r="E649" s="193" t="s">
        <v>6</v>
      </c>
      <c r="F649" s="194" t="s">
        <v>57</v>
      </c>
      <c r="G649" s="194" t="s">
        <v>58</v>
      </c>
      <c r="H649" s="194" t="s">
        <v>149</v>
      </c>
      <c r="I649" s="194" t="s">
        <v>145</v>
      </c>
      <c r="J649" s="195" t="s">
        <v>61</v>
      </c>
    </row>
    <row r="650" spans="1:10">
      <c r="A650" s="196"/>
      <c r="B650" s="179" t="s">
        <v>146</v>
      </c>
      <c r="C650" s="179" t="s">
        <v>146</v>
      </c>
      <c r="D650" s="179" t="s">
        <v>146</v>
      </c>
      <c r="E650" s="179" t="s">
        <v>146</v>
      </c>
      <c r="F650" s="179" t="s">
        <v>146</v>
      </c>
      <c r="G650" s="179" t="s">
        <v>146</v>
      </c>
      <c r="H650" s="179" t="s">
        <v>146</v>
      </c>
      <c r="I650" s="179" t="s">
        <v>146</v>
      </c>
      <c r="J650" s="197" t="s">
        <v>146</v>
      </c>
    </row>
    <row r="651" spans="1:10">
      <c r="A651" s="198">
        <v>37837</v>
      </c>
      <c r="B651" s="39">
        <v>15.54</v>
      </c>
      <c r="C651" s="184">
        <v>15.1</v>
      </c>
      <c r="D651" s="39">
        <v>14.52</v>
      </c>
      <c r="E651" s="184">
        <v>10.17</v>
      </c>
      <c r="F651" s="39">
        <f>+(10.345+10.45+11.43)/3</f>
        <v>10.741666666666667</v>
      </c>
      <c r="G651" s="39">
        <f>(11.39659+11.03+12.05+(10.20128+0.38351*1.12))/4</f>
        <v>11.2768503</v>
      </c>
      <c r="H651" s="39">
        <v>20.133900000000001</v>
      </c>
      <c r="I651" s="39">
        <f>+(13.2668+11.7)/2</f>
        <v>12.4834</v>
      </c>
      <c r="J651" s="59">
        <f>(44.26/(25/4.19))</f>
        <v>7.4179760000000012</v>
      </c>
    </row>
    <row r="652" spans="1:10">
      <c r="A652" s="198">
        <v>37844</v>
      </c>
      <c r="B652" s="39">
        <v>15.8</v>
      </c>
      <c r="C652" s="39">
        <v>15.31</v>
      </c>
      <c r="D652" s="39">
        <v>14.78</v>
      </c>
      <c r="E652" s="39">
        <v>10.28</v>
      </c>
      <c r="F652" s="39">
        <f>+(10.345+10.45+11.43)/3</f>
        <v>10.741666666666667</v>
      </c>
      <c r="G652" s="39">
        <f>(11.40802+11.03+12.05+(10.20128+0.38351*1.12))/4</f>
        <v>11.279707800000001</v>
      </c>
      <c r="H652" s="39">
        <v>20.133900000000001</v>
      </c>
      <c r="I652" s="39">
        <f>+(13.2668+11.7)/2</f>
        <v>12.4834</v>
      </c>
      <c r="J652" s="59">
        <f>(44.06/(25/4.19))</f>
        <v>7.3844560000000019</v>
      </c>
    </row>
    <row r="653" spans="1:10">
      <c r="A653" s="198">
        <v>37851</v>
      </c>
      <c r="B653" s="39">
        <v>16.25</v>
      </c>
      <c r="C653" s="39">
        <v>15.7</v>
      </c>
      <c r="D653" s="39">
        <v>15.19</v>
      </c>
      <c r="E653" s="39">
        <v>10.54</v>
      </c>
      <c r="F653" s="39">
        <f>+(10.345+11.62)/2</f>
        <v>10.9825</v>
      </c>
      <c r="G653" s="39">
        <f>(11.32278+12.25+(10.65684+0.38351*1.12))/3</f>
        <v>11.553050400000002</v>
      </c>
      <c r="H653" s="39">
        <v>20.966100000000001</v>
      </c>
      <c r="I653" s="39">
        <f>+(13.7221+11.7)/2</f>
        <v>12.71105</v>
      </c>
      <c r="J653" s="59">
        <f>(44.09/(25/4.19))</f>
        <v>7.3894840000000013</v>
      </c>
    </row>
    <row r="654" spans="1:10">
      <c r="A654" s="198">
        <v>37858</v>
      </c>
      <c r="B654" s="39">
        <v>16.63</v>
      </c>
      <c r="C654" s="39">
        <v>16.05</v>
      </c>
      <c r="D654" s="39">
        <v>15.55</v>
      </c>
      <c r="E654" s="39">
        <v>10.92</v>
      </c>
      <c r="F654" s="39">
        <v>13.74</v>
      </c>
      <c r="G654" s="39">
        <f>(11.32278+11.4603+12.25+(10.6561+0.38351*1.12))/4</f>
        <v>11.5296778</v>
      </c>
      <c r="H654" s="39">
        <v>20.966100000000001</v>
      </c>
      <c r="I654" s="39">
        <f>+(13.7221+11.7)/2</f>
        <v>12.71105</v>
      </c>
      <c r="J654" s="59">
        <f>(44.24/(25/4.19))</f>
        <v>7.4146240000000017</v>
      </c>
    </row>
    <row r="655" spans="1:10">
      <c r="A655" s="200" t="s">
        <v>7</v>
      </c>
      <c r="B655" s="201">
        <f t="shared" ref="B655:J655" si="43">AVERAGE(B651:B654)</f>
        <v>16.055</v>
      </c>
      <c r="C655" s="201">
        <f t="shared" si="43"/>
        <v>15.54</v>
      </c>
      <c r="D655" s="201">
        <f t="shared" si="43"/>
        <v>15.009999999999998</v>
      </c>
      <c r="E655" s="201">
        <f t="shared" si="43"/>
        <v>10.477499999999999</v>
      </c>
      <c r="F655" s="201">
        <f t="shared" si="43"/>
        <v>11.551458333333334</v>
      </c>
      <c r="G655" s="201">
        <f t="shared" si="43"/>
        <v>11.409821575</v>
      </c>
      <c r="H655" s="201">
        <f t="shared" si="43"/>
        <v>20.55</v>
      </c>
      <c r="I655" s="201">
        <f t="shared" si="43"/>
        <v>12.597225</v>
      </c>
      <c r="J655" s="202">
        <f t="shared" si="43"/>
        <v>7.4016350000000024</v>
      </c>
    </row>
    <row r="657" spans="1:10">
      <c r="A657" s="192" t="s">
        <v>1</v>
      </c>
      <c r="B657" s="193" t="s">
        <v>139</v>
      </c>
      <c r="C657" s="193" t="s">
        <v>140</v>
      </c>
      <c r="D657" s="193" t="s">
        <v>5</v>
      </c>
      <c r="E657" s="193" t="s">
        <v>6</v>
      </c>
      <c r="F657" s="194" t="s">
        <v>57</v>
      </c>
      <c r="G657" s="194" t="s">
        <v>58</v>
      </c>
      <c r="H657" s="194" t="s">
        <v>149</v>
      </c>
      <c r="I657" s="194" t="s">
        <v>145</v>
      </c>
      <c r="J657" s="195" t="s">
        <v>61</v>
      </c>
    </row>
    <row r="658" spans="1:10">
      <c r="A658" s="196"/>
      <c r="B658" s="179" t="s">
        <v>146</v>
      </c>
      <c r="C658" s="179" t="s">
        <v>146</v>
      </c>
      <c r="D658" s="179" t="s">
        <v>146</v>
      </c>
      <c r="E658" s="179" t="s">
        <v>146</v>
      </c>
      <c r="F658" s="179" t="s">
        <v>146</v>
      </c>
      <c r="G658" s="179" t="s">
        <v>146</v>
      </c>
      <c r="H658" s="179" t="s">
        <v>146</v>
      </c>
      <c r="I658" s="179" t="s">
        <v>146</v>
      </c>
      <c r="J658" s="197" t="s">
        <v>146</v>
      </c>
    </row>
    <row r="659" spans="1:10">
      <c r="A659" s="198">
        <v>37865</v>
      </c>
      <c r="B659" s="39">
        <v>17.02</v>
      </c>
      <c r="C659" s="184">
        <v>16.43</v>
      </c>
      <c r="D659" s="39">
        <v>15.93</v>
      </c>
      <c r="E659" s="184">
        <v>11.06</v>
      </c>
      <c r="F659" s="39">
        <v>13.74</v>
      </c>
      <c r="G659" s="39">
        <f>(11.32278+11.4603+12.25+(10.71056+0.38351*1.12))/4</f>
        <v>11.5432928</v>
      </c>
      <c r="H659" s="39">
        <v>20.966100000000001</v>
      </c>
      <c r="I659" s="39">
        <f>+(13.7221+11.7)/2</f>
        <v>12.71105</v>
      </c>
      <c r="J659" s="59">
        <f>(44.18/(25/4.19))</f>
        <v>7.4045680000000011</v>
      </c>
    </row>
    <row r="660" spans="1:10">
      <c r="A660" s="198">
        <v>37872</v>
      </c>
      <c r="B660" s="39">
        <v>17.559999999999999</v>
      </c>
      <c r="C660" s="39">
        <v>16.71</v>
      </c>
      <c r="D660" s="39">
        <v>16.2</v>
      </c>
      <c r="E660" s="39">
        <v>11.24</v>
      </c>
      <c r="F660" s="39">
        <v>13.74</v>
      </c>
      <c r="G660" s="39">
        <f>(11.32278+11.4603+12.25+(10.69579+0.38351*1.12))/4</f>
        <v>11.5396003</v>
      </c>
      <c r="H660" s="39">
        <v>20.966100000000001</v>
      </c>
      <c r="I660" s="39">
        <f>+(13.7221+11.7)/2</f>
        <v>12.71105</v>
      </c>
      <c r="J660" s="59">
        <f>(43.27/(25/4.19))</f>
        <v>7.2520520000000017</v>
      </c>
    </row>
    <row r="661" spans="1:10">
      <c r="A661" s="198">
        <v>37879</v>
      </c>
      <c r="B661" s="39">
        <v>17.73</v>
      </c>
      <c r="C661" s="39">
        <v>17.04</v>
      </c>
      <c r="D661" s="39">
        <v>16.55</v>
      </c>
      <c r="E661" s="39">
        <v>11.25</v>
      </c>
      <c r="F661" s="39">
        <v>13.74</v>
      </c>
      <c r="G661" s="39">
        <f>(11.09968+11.4603+12.25+(10.68167+0.38351*1.12))/4</f>
        <v>11.480295299999998</v>
      </c>
      <c r="H661" s="39">
        <v>20.966100000000001</v>
      </c>
      <c r="I661" s="39">
        <v>11.99</v>
      </c>
      <c r="J661" s="59">
        <f>(43.12/(25/4.19))</f>
        <v>7.2269120000000004</v>
      </c>
    </row>
    <row r="662" spans="1:10">
      <c r="A662" s="198">
        <v>37886</v>
      </c>
      <c r="B662" s="39">
        <v>17.7</v>
      </c>
      <c r="C662" s="39">
        <v>17</v>
      </c>
      <c r="D662" s="39">
        <v>16.510000000000002</v>
      </c>
      <c r="E662" s="39">
        <v>11.17</v>
      </c>
      <c r="F662" s="39">
        <v>13.74</v>
      </c>
      <c r="G662" s="39">
        <f>(10.70768+11.4603+12.25+(10.68167+0.38351*1.12))/4</f>
        <v>11.382295299999999</v>
      </c>
      <c r="H662" s="39">
        <v>19.323399999999999</v>
      </c>
      <c r="I662" s="39">
        <f>+(12.2168+11.99)/2</f>
        <v>12.103400000000001</v>
      </c>
      <c r="J662" s="59">
        <f>(43.37/(25/4.19))</f>
        <v>7.2688120000000005</v>
      </c>
    </row>
    <row r="663" spans="1:10">
      <c r="A663" s="198">
        <v>37893</v>
      </c>
      <c r="B663" s="39">
        <v>17.54</v>
      </c>
      <c r="C663" s="39">
        <v>16.86</v>
      </c>
      <c r="D663" s="39">
        <v>16.39</v>
      </c>
      <c r="E663" s="39">
        <v>11</v>
      </c>
      <c r="F663" s="39">
        <v>13.74</v>
      </c>
      <c r="G663" s="39">
        <f>(10.70768+11.4603+12.25+(10.72139+0.38351*1.12))/4</f>
        <v>11.3922253</v>
      </c>
      <c r="H663" s="39">
        <v>20.240300000000001</v>
      </c>
      <c r="I663" s="39">
        <f>+(11.2168+11.99)/2</f>
        <v>11.603400000000001</v>
      </c>
      <c r="J663" s="59">
        <f>(43.36/(25/4.19))</f>
        <v>7.2671360000000007</v>
      </c>
    </row>
    <row r="664" spans="1:10">
      <c r="A664" s="200" t="s">
        <v>7</v>
      </c>
      <c r="B664" s="201">
        <f t="shared" ref="B664:J664" si="44">AVERAGE(B659:B663)</f>
        <v>17.510000000000002</v>
      </c>
      <c r="C664" s="201">
        <f t="shared" si="44"/>
        <v>16.808</v>
      </c>
      <c r="D664" s="201">
        <f t="shared" si="44"/>
        <v>16.315999999999999</v>
      </c>
      <c r="E664" s="201">
        <f t="shared" si="44"/>
        <v>11.144</v>
      </c>
      <c r="F664" s="201">
        <f t="shared" si="44"/>
        <v>13.74</v>
      </c>
      <c r="G664" s="201">
        <f t="shared" si="44"/>
        <v>11.467541799999999</v>
      </c>
      <c r="H664" s="201">
        <f t="shared" si="44"/>
        <v>20.4924</v>
      </c>
      <c r="I664" s="201">
        <f t="shared" si="44"/>
        <v>12.223780000000001</v>
      </c>
      <c r="J664" s="202">
        <f t="shared" si="44"/>
        <v>7.2838960000000013</v>
      </c>
    </row>
    <row r="666" spans="1:10">
      <c r="A666" s="192" t="s">
        <v>1</v>
      </c>
      <c r="B666" s="193" t="s">
        <v>139</v>
      </c>
      <c r="C666" s="193" t="s">
        <v>140</v>
      </c>
      <c r="D666" s="193" t="s">
        <v>5</v>
      </c>
      <c r="E666" s="193" t="s">
        <v>6</v>
      </c>
      <c r="F666" s="194" t="s">
        <v>57</v>
      </c>
      <c r="G666" s="194" t="s">
        <v>58</v>
      </c>
      <c r="H666" s="194" t="s">
        <v>149</v>
      </c>
      <c r="I666" s="194" t="s">
        <v>145</v>
      </c>
      <c r="J666" s="195" t="s">
        <v>61</v>
      </c>
    </row>
    <row r="667" spans="1:10">
      <c r="A667" s="196"/>
      <c r="B667" s="179" t="s">
        <v>146</v>
      </c>
      <c r="C667" s="179" t="s">
        <v>146</v>
      </c>
      <c r="D667" s="179" t="s">
        <v>146</v>
      </c>
      <c r="E667" s="179" t="s">
        <v>146</v>
      </c>
      <c r="F667" s="179" t="s">
        <v>146</v>
      </c>
      <c r="G667" s="179" t="s">
        <v>146</v>
      </c>
      <c r="H667" s="179" t="s">
        <v>146</v>
      </c>
      <c r="I667" s="179" t="s">
        <v>146</v>
      </c>
      <c r="J667" s="197" t="s">
        <v>146</v>
      </c>
    </row>
    <row r="668" spans="1:10">
      <c r="A668" s="198">
        <v>37900</v>
      </c>
      <c r="B668" s="39">
        <v>17.36</v>
      </c>
      <c r="C668" s="184">
        <v>16.73</v>
      </c>
      <c r="D668" s="39">
        <v>16.27</v>
      </c>
      <c r="E668" s="184">
        <v>10.88</v>
      </c>
      <c r="F668" s="39">
        <v>13.74</v>
      </c>
      <c r="G668" s="39">
        <f>(10.8607+12.25+(10.72139+0.38351*1.12))/3</f>
        <v>11.4205404</v>
      </c>
      <c r="H668" s="39">
        <v>20.240300000000001</v>
      </c>
      <c r="I668" s="39">
        <v>11.99</v>
      </c>
      <c r="J668" s="59">
        <f>(44.69/(25/4.19))</f>
        <v>7.490044000000001</v>
      </c>
    </row>
    <row r="669" spans="1:10">
      <c r="A669" s="198">
        <v>37907</v>
      </c>
      <c r="B669" s="39">
        <v>17.2</v>
      </c>
      <c r="C669" s="39">
        <v>16.600000000000001</v>
      </c>
      <c r="D669" s="39">
        <v>16.16</v>
      </c>
      <c r="E669" s="39">
        <v>10.78</v>
      </c>
      <c r="F669" s="39">
        <v>13.74</v>
      </c>
      <c r="G669" s="39">
        <f>(7.2079+7.46+8.95+(10.11198+0.38351*1.12))/4</f>
        <v>8.5398528000000002</v>
      </c>
      <c r="H669" s="39">
        <v>20.240300000000001</v>
      </c>
      <c r="I669" s="39">
        <v>11.75</v>
      </c>
      <c r="J669" s="59">
        <f>(45.1/(25/4.19))</f>
        <v>7.5587600000000013</v>
      </c>
    </row>
    <row r="670" spans="1:10">
      <c r="A670" s="198">
        <v>37914</v>
      </c>
      <c r="B670" s="39">
        <v>17.09</v>
      </c>
      <c r="C670" s="39">
        <v>16.489999999999998</v>
      </c>
      <c r="D670" s="39">
        <v>16.04</v>
      </c>
      <c r="E670" s="39">
        <v>10.75</v>
      </c>
      <c r="F670" s="39">
        <v>13.74</v>
      </c>
      <c r="G670" s="39">
        <f>(7.2079+7.46+8.95+(6.75219+0.38351*1.12))/4</f>
        <v>7.6999052999999993</v>
      </c>
      <c r="H670" s="39">
        <v>20.240300000000001</v>
      </c>
      <c r="I670" s="39">
        <f>+(13.9902+11.75)/2</f>
        <v>12.870100000000001</v>
      </c>
      <c r="J670" s="59">
        <f>(44.85/(25/4.19))</f>
        <v>7.5168600000000012</v>
      </c>
    </row>
    <row r="671" spans="1:10">
      <c r="A671" s="198">
        <v>37921</v>
      </c>
      <c r="B671" s="39">
        <v>17.149999999999999</v>
      </c>
      <c r="C671" s="39">
        <v>16.559999999999999</v>
      </c>
      <c r="D671" s="39">
        <v>16.079999999999998</v>
      </c>
      <c r="E671" s="39">
        <v>10.86</v>
      </c>
      <c r="F671" s="39">
        <v>13.74</v>
      </c>
      <c r="G671" s="39">
        <f>(7.3423+7.46+7.95+(6.99317+0.38351*1.12))/4</f>
        <v>7.5437502999999992</v>
      </c>
      <c r="H671" s="39">
        <v>20.240300000000001</v>
      </c>
      <c r="I671" s="39">
        <f>+(13.9902+11.75)/2</f>
        <v>12.870100000000001</v>
      </c>
      <c r="J671" s="59">
        <f>(47.33/(25/4.19))</f>
        <v>7.9325080000000012</v>
      </c>
    </row>
    <row r="672" spans="1:10">
      <c r="A672" s="200" t="s">
        <v>7</v>
      </c>
      <c r="B672" s="201">
        <f t="shared" ref="B672:J672" si="45">AVERAGE(B668:B671)</f>
        <v>17.200000000000003</v>
      </c>
      <c r="C672" s="201">
        <f t="shared" si="45"/>
        <v>16.594999999999999</v>
      </c>
      <c r="D672" s="201">
        <f t="shared" si="45"/>
        <v>16.137499999999999</v>
      </c>
      <c r="E672" s="201">
        <f t="shared" si="45"/>
        <v>10.817499999999999</v>
      </c>
      <c r="F672" s="201">
        <f t="shared" si="45"/>
        <v>13.74</v>
      </c>
      <c r="G672" s="201">
        <f t="shared" si="45"/>
        <v>8.8010121999999988</v>
      </c>
      <c r="H672" s="201">
        <f t="shared" si="45"/>
        <v>20.240300000000001</v>
      </c>
      <c r="I672" s="201">
        <f t="shared" si="45"/>
        <v>12.370050000000001</v>
      </c>
      <c r="J672" s="202">
        <f t="shared" si="45"/>
        <v>7.6245430000000018</v>
      </c>
    </row>
    <row r="674" spans="1:10">
      <c r="A674" s="192" t="s">
        <v>1</v>
      </c>
      <c r="B674" s="193" t="s">
        <v>139</v>
      </c>
      <c r="C674" s="193" t="s">
        <v>140</v>
      </c>
      <c r="D674" s="193" t="s">
        <v>5</v>
      </c>
      <c r="E674" s="193" t="s">
        <v>6</v>
      </c>
      <c r="F674" s="194" t="s">
        <v>57</v>
      </c>
      <c r="G674" s="194" t="s">
        <v>58</v>
      </c>
      <c r="H674" s="194" t="s">
        <v>149</v>
      </c>
      <c r="I674" s="194" t="s">
        <v>145</v>
      </c>
      <c r="J674" s="195" t="s">
        <v>61</v>
      </c>
    </row>
    <row r="675" spans="1:10">
      <c r="A675" s="196"/>
      <c r="B675" s="179" t="s">
        <v>146</v>
      </c>
      <c r="C675" s="179" t="s">
        <v>146</v>
      </c>
      <c r="D675" s="179" t="s">
        <v>146</v>
      </c>
      <c r="E675" s="179" t="s">
        <v>146</v>
      </c>
      <c r="F675" s="179" t="s">
        <v>146</v>
      </c>
      <c r="G675" s="179" t="s">
        <v>146</v>
      </c>
      <c r="H675" s="179" t="s">
        <v>146</v>
      </c>
      <c r="I675" s="179" t="s">
        <v>146</v>
      </c>
      <c r="J675" s="197" t="s">
        <v>146</v>
      </c>
    </row>
    <row r="676" spans="1:10">
      <c r="A676" s="198">
        <v>37928</v>
      </c>
      <c r="B676" s="39">
        <v>17.13</v>
      </c>
      <c r="C676" s="184">
        <v>16.54</v>
      </c>
      <c r="D676" s="39">
        <v>16.04</v>
      </c>
      <c r="E676" s="184">
        <v>10.93</v>
      </c>
      <c r="F676" s="39">
        <v>13.74</v>
      </c>
      <c r="G676" s="39">
        <f>(7.3423+7.46+7.95+(6.71293+0.38351*1.12))/4</f>
        <v>7.4736902999999995</v>
      </c>
      <c r="H676" s="39">
        <v>20.393899999999999</v>
      </c>
      <c r="I676" s="39">
        <f>+(13.9902+11.75)/2</f>
        <v>12.870100000000001</v>
      </c>
      <c r="J676" s="59">
        <f>(48.48/(25/4.19))</f>
        <v>8.1252480000000009</v>
      </c>
    </row>
    <row r="677" spans="1:10">
      <c r="A677" s="198">
        <v>37935</v>
      </c>
      <c r="B677" s="39">
        <v>17.059999999999999</v>
      </c>
      <c r="C677" s="39">
        <v>16.48</v>
      </c>
      <c r="D677" s="39">
        <v>15.99</v>
      </c>
      <c r="E677" s="39">
        <v>10.93</v>
      </c>
      <c r="F677" s="39">
        <v>13.74</v>
      </c>
      <c r="G677" s="39">
        <f>(7.4319+7.46+7.95+(6.71293+0.38351*1.12))/4</f>
        <v>7.4960902999999997</v>
      </c>
      <c r="H677" s="39">
        <v>20.393899999999999</v>
      </c>
      <c r="I677" s="39">
        <f>+(13.7099+11.75)/2</f>
        <v>12.729949999999999</v>
      </c>
      <c r="J677" s="59">
        <f>(48.28/(25/4.19))</f>
        <v>8.0917280000000016</v>
      </c>
    </row>
    <row r="678" spans="1:10">
      <c r="A678" s="198">
        <v>37942</v>
      </c>
      <c r="B678" s="39">
        <v>16.57</v>
      </c>
      <c r="C678" s="39">
        <v>16.09</v>
      </c>
      <c r="D678" s="39">
        <v>15.64</v>
      </c>
      <c r="E678" s="39">
        <v>11.06</v>
      </c>
      <c r="F678" s="39">
        <v>13.74</v>
      </c>
      <c r="G678" s="39">
        <f>(7.3087+7.46+7.95+(6.71458+0.38351*1.12))/4</f>
        <v>7.4657027999999999</v>
      </c>
      <c r="H678" s="39">
        <v>20.303899999999999</v>
      </c>
      <c r="I678" s="39">
        <f>+(13.6997+11.75)/2</f>
        <v>12.72485</v>
      </c>
      <c r="J678" s="59">
        <f>(48.54/(25/4.19))</f>
        <v>8.1353040000000014</v>
      </c>
    </row>
    <row r="679" spans="1:10">
      <c r="A679" s="198">
        <v>37949</v>
      </c>
      <c r="B679" s="39">
        <v>16.5</v>
      </c>
      <c r="C679" s="39">
        <v>15.99</v>
      </c>
      <c r="D679" s="39">
        <v>15.54</v>
      </c>
      <c r="E679" s="39">
        <v>11</v>
      </c>
      <c r="F679" s="39">
        <v>13.74</v>
      </c>
      <c r="G679" s="39">
        <f>(7.3087+7.46+7.95+(6.41783+0.38351*1.12))/4</f>
        <v>7.3915153</v>
      </c>
      <c r="H679" s="39">
        <v>20.303899999999999</v>
      </c>
      <c r="I679" s="39">
        <f>+(13.6997+11.75)/2</f>
        <v>12.72485</v>
      </c>
      <c r="J679" s="59">
        <f>(48.54/(25/4.19))</f>
        <v>8.1353040000000014</v>
      </c>
    </row>
    <row r="680" spans="1:10">
      <c r="A680" s="200" t="s">
        <v>7</v>
      </c>
      <c r="B680" s="201">
        <f t="shared" ref="B680:J680" si="46">AVERAGE(B676:B679)</f>
        <v>16.814999999999998</v>
      </c>
      <c r="C680" s="201">
        <f t="shared" si="46"/>
        <v>16.274999999999999</v>
      </c>
      <c r="D680" s="201">
        <f t="shared" si="46"/>
        <v>15.8025</v>
      </c>
      <c r="E680" s="201">
        <f t="shared" si="46"/>
        <v>10.98</v>
      </c>
      <c r="F680" s="201">
        <f t="shared" si="46"/>
        <v>13.74</v>
      </c>
      <c r="G680" s="201">
        <f t="shared" si="46"/>
        <v>7.4567496749999993</v>
      </c>
      <c r="H680" s="201">
        <f t="shared" si="46"/>
        <v>20.3489</v>
      </c>
      <c r="I680" s="201">
        <f t="shared" si="46"/>
        <v>12.762437500000001</v>
      </c>
      <c r="J680" s="202">
        <f t="shared" si="46"/>
        <v>8.1218960000000013</v>
      </c>
    </row>
    <row r="681" spans="1:10">
      <c r="E681" s="75"/>
      <c r="F681" s="75"/>
    </row>
    <row r="682" spans="1:10">
      <c r="A682" s="1689" t="s">
        <v>1</v>
      </c>
      <c r="B682" s="207" t="s">
        <v>139</v>
      </c>
      <c r="C682" s="207" t="s">
        <v>140</v>
      </c>
      <c r="D682" s="207" t="s">
        <v>5</v>
      </c>
      <c r="E682" s="207" t="s">
        <v>6</v>
      </c>
      <c r="F682" s="208" t="s">
        <v>57</v>
      </c>
      <c r="G682" s="208" t="s">
        <v>58</v>
      </c>
      <c r="H682" s="208" t="s">
        <v>149</v>
      </c>
      <c r="I682" s="208" t="s">
        <v>145</v>
      </c>
      <c r="J682" s="209" t="s">
        <v>61</v>
      </c>
    </row>
    <row r="683" spans="1:10">
      <c r="A683" s="1690"/>
      <c r="B683" s="210" t="s">
        <v>146</v>
      </c>
      <c r="C683" s="210" t="s">
        <v>146</v>
      </c>
      <c r="D683" s="210" t="s">
        <v>146</v>
      </c>
      <c r="E683" s="210" t="s">
        <v>146</v>
      </c>
      <c r="F683" s="210" t="s">
        <v>146</v>
      </c>
      <c r="G683" s="210" t="s">
        <v>146</v>
      </c>
      <c r="H683" s="210" t="s">
        <v>146</v>
      </c>
      <c r="I683" s="210" t="s">
        <v>146</v>
      </c>
      <c r="J683" s="211" t="s">
        <v>146</v>
      </c>
    </row>
    <row r="684" spans="1:10">
      <c r="A684" s="212">
        <v>37956</v>
      </c>
      <c r="B684" s="115">
        <v>16.45</v>
      </c>
      <c r="C684" s="213">
        <v>15.92</v>
      </c>
      <c r="D684" s="115">
        <v>15.49</v>
      </c>
      <c r="E684" s="213">
        <v>11.22</v>
      </c>
      <c r="F684" s="115">
        <v>13.74</v>
      </c>
      <c r="G684" s="115">
        <f>(7.2527+7.46+7.95+(6.41545+0.38351*1.12))/4</f>
        <v>7.3769203000000001</v>
      </c>
      <c r="H684" s="115">
        <v>20.111599999999999</v>
      </c>
      <c r="I684" s="115">
        <f>+(13.9377+11.75)/2</f>
        <v>12.84385</v>
      </c>
      <c r="J684" s="214">
        <f>(47.68/(25/4.19))</f>
        <v>7.9911680000000009</v>
      </c>
    </row>
    <row r="685" spans="1:10">
      <c r="A685" s="212">
        <v>37963</v>
      </c>
      <c r="B685" s="115">
        <v>16.420000000000002</v>
      </c>
      <c r="C685" s="115">
        <v>15.9</v>
      </c>
      <c r="D685" s="115">
        <v>15.45</v>
      </c>
      <c r="E685" s="115">
        <v>11.21</v>
      </c>
      <c r="F685" s="115">
        <v>13.74</v>
      </c>
      <c r="G685" s="115">
        <f>(6.9838+7.95+(6.41545+0.38351*1.12))/3</f>
        <v>7.2595937333333334</v>
      </c>
      <c r="H685" s="115">
        <v>20.111599999999999</v>
      </c>
      <c r="I685" s="115">
        <f>+(13.9377+11.75)/2</f>
        <v>12.84385</v>
      </c>
      <c r="J685" s="214">
        <f>(48.33/(25/4.19))</f>
        <v>8.1001080000000005</v>
      </c>
    </row>
    <row r="686" spans="1:10">
      <c r="A686" s="212">
        <v>37970</v>
      </c>
      <c r="B686" s="115">
        <v>16.38</v>
      </c>
      <c r="C686" s="115">
        <v>15.86</v>
      </c>
      <c r="D686" s="115">
        <v>15.43</v>
      </c>
      <c r="E686" s="115">
        <v>11.17</v>
      </c>
      <c r="F686" s="115">
        <v>13.99</v>
      </c>
      <c r="G686" s="115">
        <f>(7.95+(6.44724+0.38351*1.12))/2</f>
        <v>7.4133855999999998</v>
      </c>
      <c r="H686" s="115">
        <v>20.111599999999999</v>
      </c>
      <c r="I686" s="115">
        <f>+(13.9377+11.75)/2</f>
        <v>12.84385</v>
      </c>
      <c r="J686" s="214">
        <f>(48/(25/4.19))</f>
        <v>8.0448000000000004</v>
      </c>
    </row>
    <row r="687" spans="1:10">
      <c r="A687" s="212">
        <v>37977</v>
      </c>
      <c r="B687" s="115">
        <v>16.37</v>
      </c>
      <c r="C687" s="115">
        <v>15.87</v>
      </c>
      <c r="D687" s="115">
        <v>15.42</v>
      </c>
      <c r="E687" s="115">
        <v>11.33</v>
      </c>
      <c r="F687" s="115">
        <v>13.99</v>
      </c>
      <c r="G687" s="115">
        <f>(7.95+(6.4443+0.38351*1.12))/2</f>
        <v>7.4119156000000004</v>
      </c>
      <c r="H687" s="115">
        <v>20.111599999999999</v>
      </c>
      <c r="I687" s="115">
        <f>+(13.9377+11.75)/2</f>
        <v>12.84385</v>
      </c>
      <c r="J687" s="214">
        <f>(55.05/(25/4.19))</f>
        <v>9.2263800000000007</v>
      </c>
    </row>
    <row r="688" spans="1:10">
      <c r="A688" s="215">
        <v>37984</v>
      </c>
      <c r="B688" s="115">
        <v>16.39</v>
      </c>
      <c r="C688" s="115">
        <v>15.88</v>
      </c>
      <c r="D688" s="115">
        <v>15.44</v>
      </c>
      <c r="E688" s="115">
        <v>11.33</v>
      </c>
      <c r="F688" s="115">
        <v>13.87</v>
      </c>
      <c r="G688" s="115">
        <f>(7.95+(6.4443+0.38351*1.12))/2</f>
        <v>7.4119156000000004</v>
      </c>
      <c r="H688" s="115">
        <v>20.111599999999999</v>
      </c>
      <c r="I688" s="115">
        <f>+(13.9377+11.75)/2</f>
        <v>12.84385</v>
      </c>
      <c r="J688" s="214">
        <f>(55.28/(25/4.19))</f>
        <v>9.2649280000000012</v>
      </c>
    </row>
    <row r="689" spans="1:10">
      <c r="A689" s="216" t="s">
        <v>7</v>
      </c>
      <c r="B689" s="217">
        <f t="shared" ref="B689:J689" si="47">AVERAGE(B684:B688)</f>
        <v>16.402000000000001</v>
      </c>
      <c r="C689" s="217">
        <f t="shared" si="47"/>
        <v>15.885999999999999</v>
      </c>
      <c r="D689" s="217">
        <f t="shared" si="47"/>
        <v>15.446000000000002</v>
      </c>
      <c r="E689" s="217">
        <f t="shared" si="47"/>
        <v>11.251999999999999</v>
      </c>
      <c r="F689" s="217">
        <f t="shared" si="47"/>
        <v>13.866</v>
      </c>
      <c r="G689" s="217">
        <f t="shared" si="47"/>
        <v>7.3747461666666663</v>
      </c>
      <c r="H689" s="217">
        <f t="shared" si="47"/>
        <v>20.111599999999999</v>
      </c>
      <c r="I689" s="217">
        <f t="shared" si="47"/>
        <v>12.84385</v>
      </c>
      <c r="J689" s="218">
        <f t="shared" si="47"/>
        <v>8.5254768000000016</v>
      </c>
    </row>
    <row r="690" spans="1:10">
      <c r="A690" s="186"/>
      <c r="B690" s="126"/>
      <c r="C690" s="126"/>
      <c r="D690" s="126"/>
      <c r="E690" s="126"/>
      <c r="F690" s="126"/>
      <c r="G690" s="126"/>
      <c r="H690" s="126"/>
      <c r="I690" s="126"/>
      <c r="J690" s="126"/>
    </row>
    <row r="691" spans="1:10" ht="15" customHeight="1">
      <c r="A691" s="219"/>
      <c r="B691" s="219"/>
      <c r="C691" s="204"/>
      <c r="D691" s="204"/>
      <c r="E691" s="204"/>
      <c r="F691" s="219"/>
      <c r="G691" s="219"/>
      <c r="H691" s="219"/>
      <c r="I691" s="219"/>
      <c r="J691" s="219"/>
    </row>
    <row r="692" spans="1:10" ht="19.5" customHeight="1" thickBot="1">
      <c r="A692" s="219"/>
      <c r="B692" s="219"/>
      <c r="C692" s="220"/>
      <c r="D692" s="220"/>
      <c r="E692" s="220"/>
      <c r="F692" s="219"/>
      <c r="G692" s="219"/>
      <c r="H692" s="219"/>
      <c r="I692" s="219"/>
      <c r="J692" s="219"/>
    </row>
    <row r="693" spans="1:10" ht="13.5" thickTop="1">
      <c r="A693" s="1687" t="s">
        <v>1</v>
      </c>
      <c r="B693" s="221" t="s">
        <v>139</v>
      </c>
      <c r="C693" s="221" t="s">
        <v>140</v>
      </c>
      <c r="D693" s="221" t="s">
        <v>5</v>
      </c>
      <c r="E693" s="222" t="s">
        <v>6</v>
      </c>
      <c r="F693" s="223" t="s">
        <v>57</v>
      </c>
      <c r="G693" s="224" t="s">
        <v>58</v>
      </c>
      <c r="H693" s="225" t="s">
        <v>149</v>
      </c>
      <c r="I693" s="224" t="s">
        <v>145</v>
      </c>
      <c r="J693" s="225" t="s">
        <v>61</v>
      </c>
    </row>
    <row r="694" spans="1:10" ht="13.5" thickBot="1">
      <c r="A694" s="1688"/>
      <c r="B694" s="226" t="s">
        <v>146</v>
      </c>
      <c r="C694" s="226" t="s">
        <v>146</v>
      </c>
      <c r="D694" s="226" t="s">
        <v>146</v>
      </c>
      <c r="E694" s="227" t="s">
        <v>146</v>
      </c>
      <c r="F694" s="227" t="s">
        <v>146</v>
      </c>
      <c r="G694" s="228" t="s">
        <v>146</v>
      </c>
      <c r="H694" s="226" t="s">
        <v>146</v>
      </c>
      <c r="I694" s="228" t="s">
        <v>146</v>
      </c>
      <c r="J694" s="226" t="s">
        <v>146</v>
      </c>
    </row>
    <row r="695" spans="1:10" ht="13.5" thickTop="1">
      <c r="A695" s="229">
        <v>37991</v>
      </c>
      <c r="B695" s="230">
        <v>16.37</v>
      </c>
      <c r="C695" s="231">
        <v>15.88</v>
      </c>
      <c r="D695" s="231">
        <v>15.43</v>
      </c>
      <c r="E695" s="232">
        <v>11.33</v>
      </c>
      <c r="F695" s="231">
        <v>13.5</v>
      </c>
      <c r="G695" s="231">
        <f>+(6.9054+6.68)/2</f>
        <v>6.7927</v>
      </c>
      <c r="H695" s="231">
        <v>20.784099999999999</v>
      </c>
      <c r="I695" s="231">
        <v>12.2202</v>
      </c>
      <c r="J695" s="232">
        <f>(54.93/(25/4.19))</f>
        <v>9.2062680000000015</v>
      </c>
    </row>
    <row r="696" spans="1:10">
      <c r="A696" s="229">
        <v>37998</v>
      </c>
      <c r="B696" s="233">
        <v>16.739999999999998</v>
      </c>
      <c r="C696" s="234">
        <v>16.05</v>
      </c>
      <c r="D696" s="234">
        <v>15.6</v>
      </c>
      <c r="E696" s="235">
        <v>11.49</v>
      </c>
      <c r="F696" s="234">
        <v>13.74</v>
      </c>
      <c r="G696" s="234">
        <f>+(6.9838+6.68+6.28776+0.38351*1.12)/3</f>
        <v>6.7936970666666658</v>
      </c>
      <c r="H696" s="234">
        <v>20.784099999999999</v>
      </c>
      <c r="I696" s="234">
        <f>+(12.7+12.2202)/2</f>
        <v>12.460100000000001</v>
      </c>
      <c r="J696" s="235">
        <f>(57.69/(25/4.19))</f>
        <v>9.6688440000000018</v>
      </c>
    </row>
    <row r="697" spans="1:10">
      <c r="A697" s="229">
        <v>38005</v>
      </c>
      <c r="B697" s="233">
        <v>16.86</v>
      </c>
      <c r="C697" s="234">
        <v>16.309999999999999</v>
      </c>
      <c r="D697" s="234">
        <v>15.87</v>
      </c>
      <c r="E697" s="235">
        <v>11.71</v>
      </c>
      <c r="F697" s="234">
        <v>13.74</v>
      </c>
      <c r="G697" s="234">
        <f>+(6.7305+6.68+6.34599+0.38351*1.12)/3</f>
        <v>6.7286737333333333</v>
      </c>
      <c r="H697" s="234">
        <v>22.037600000000001</v>
      </c>
      <c r="I697" s="234">
        <v>13.493</v>
      </c>
      <c r="J697" s="235">
        <f>(58.52/(25/4.19))</f>
        <v>9.807952000000002</v>
      </c>
    </row>
    <row r="698" spans="1:10" ht="13.5" thickBot="1">
      <c r="A698" s="229">
        <v>38012</v>
      </c>
      <c r="B698" s="236">
        <v>17.23</v>
      </c>
      <c r="C698" s="237">
        <v>16.71</v>
      </c>
      <c r="D698" s="237">
        <v>16.28</v>
      </c>
      <c r="E698" s="238">
        <v>12.03</v>
      </c>
      <c r="F698" s="237">
        <v>13.74</v>
      </c>
      <c r="G698" s="237">
        <f>+(6.7305+6.68+6.3+0.38351*1.12)/3</f>
        <v>6.7133437333333328</v>
      </c>
      <c r="H698" s="234">
        <v>22.037600000000001</v>
      </c>
      <c r="I698" s="234">
        <v>13.493</v>
      </c>
      <c r="J698" s="235">
        <f>(61.04/(25/4.19))</f>
        <v>10.230304000000002</v>
      </c>
    </row>
    <row r="699" spans="1:10" ht="14.25" thickTop="1" thickBot="1">
      <c r="A699" s="239" t="s">
        <v>7</v>
      </c>
      <c r="B699" s="240">
        <f t="shared" ref="B699:J699" si="48">AVERAGE(B695:B698)</f>
        <v>16.8</v>
      </c>
      <c r="C699" s="241">
        <f t="shared" si="48"/>
        <v>16.237499999999997</v>
      </c>
      <c r="D699" s="241">
        <f t="shared" si="48"/>
        <v>15.795</v>
      </c>
      <c r="E699" s="242">
        <f t="shared" si="48"/>
        <v>11.64</v>
      </c>
      <c r="F699" s="241">
        <f t="shared" si="48"/>
        <v>13.680000000000001</v>
      </c>
      <c r="G699" s="241">
        <f t="shared" si="48"/>
        <v>6.7571036333333332</v>
      </c>
      <c r="H699" s="241">
        <f t="shared" si="48"/>
        <v>21.41085</v>
      </c>
      <c r="I699" s="241">
        <f t="shared" si="48"/>
        <v>12.916575000000002</v>
      </c>
      <c r="J699" s="242">
        <f t="shared" si="48"/>
        <v>9.7283420000000014</v>
      </c>
    </row>
    <row r="700" spans="1:10" ht="20.100000000000001" customHeight="1" thickTop="1" thickBot="1"/>
    <row r="701" spans="1:10" ht="13.5" thickTop="1">
      <c r="A701" s="1687" t="s">
        <v>1</v>
      </c>
      <c r="B701" s="221" t="s">
        <v>139</v>
      </c>
      <c r="C701" s="221" t="s">
        <v>140</v>
      </c>
      <c r="D701" s="221" t="s">
        <v>5</v>
      </c>
      <c r="E701" s="222" t="s">
        <v>6</v>
      </c>
      <c r="F701" s="223" t="s">
        <v>57</v>
      </c>
      <c r="G701" s="224" t="s">
        <v>58</v>
      </c>
      <c r="H701" s="225" t="s">
        <v>149</v>
      </c>
      <c r="I701" s="224" t="s">
        <v>145</v>
      </c>
      <c r="J701" s="225" t="s">
        <v>61</v>
      </c>
    </row>
    <row r="702" spans="1:10" ht="13.5" thickBot="1">
      <c r="A702" s="1688"/>
      <c r="B702" s="226" t="s">
        <v>146</v>
      </c>
      <c r="C702" s="226" t="s">
        <v>146</v>
      </c>
      <c r="D702" s="226" t="s">
        <v>146</v>
      </c>
      <c r="E702" s="227" t="s">
        <v>146</v>
      </c>
      <c r="F702" s="227" t="s">
        <v>146</v>
      </c>
      <c r="G702" s="228" t="s">
        <v>146</v>
      </c>
      <c r="H702" s="226" t="s">
        <v>146</v>
      </c>
      <c r="I702" s="228" t="s">
        <v>146</v>
      </c>
      <c r="J702" s="226" t="s">
        <v>146</v>
      </c>
    </row>
    <row r="703" spans="1:10" ht="13.5" thickTop="1">
      <c r="A703" s="229">
        <v>38019</v>
      </c>
      <c r="B703" s="234">
        <v>17.55</v>
      </c>
      <c r="C703" s="234">
        <v>17</v>
      </c>
      <c r="D703" s="234">
        <v>16.59</v>
      </c>
      <c r="E703" s="235">
        <v>12.41</v>
      </c>
      <c r="F703" s="234">
        <v>13.99</v>
      </c>
      <c r="G703" s="234">
        <f>+(6.762+6.11+6.3068+0.38351*1.12)/3</f>
        <v>6.5361103999999992</v>
      </c>
      <c r="H703" s="234">
        <v>22.4072</v>
      </c>
      <c r="I703" s="234">
        <f>+(13.3409+12.7)/2</f>
        <v>13.02045</v>
      </c>
      <c r="J703" s="232">
        <f>(61.02/(25/4.19))</f>
        <v>10.226952000000002</v>
      </c>
    </row>
    <row r="704" spans="1:10">
      <c r="A704" s="229">
        <v>38026</v>
      </c>
      <c r="B704" s="234">
        <v>18.11</v>
      </c>
      <c r="C704" s="234">
        <v>17.57</v>
      </c>
      <c r="D704" s="234">
        <v>17.16</v>
      </c>
      <c r="E704" s="235">
        <v>12.61</v>
      </c>
      <c r="F704" s="234">
        <v>13.5</v>
      </c>
      <c r="G704" s="234">
        <f>+(6.7102+6.11+6.4283+0.38351*1.12)/3</f>
        <v>6.5593437333333329</v>
      </c>
      <c r="H704" s="234">
        <v>22.4072</v>
      </c>
      <c r="I704" s="234">
        <f>+(13.3409+13.2)/2</f>
        <v>13.27045</v>
      </c>
      <c r="J704" s="235">
        <f>(61.09/(25/4.19))</f>
        <v>10.238684000000003</v>
      </c>
    </row>
    <row r="705" spans="1:10">
      <c r="A705" s="229">
        <v>38033</v>
      </c>
      <c r="B705" s="234">
        <v>18.12</v>
      </c>
      <c r="C705" s="234">
        <v>17.55</v>
      </c>
      <c r="D705" s="234">
        <v>17.13</v>
      </c>
      <c r="E705" s="235">
        <v>12.54</v>
      </c>
      <c r="F705" s="234">
        <v>13.99</v>
      </c>
      <c r="G705" s="234">
        <f>+(6.6542+6.11+6.46772+0.38351*1.12)/3</f>
        <v>6.5538170666666673</v>
      </c>
      <c r="H705" s="234">
        <f>+(22.5528)</f>
        <v>22.552800000000001</v>
      </c>
      <c r="I705" s="234">
        <f>+(12.6064+13.2)/2</f>
        <v>12.9032</v>
      </c>
      <c r="J705" s="235">
        <f>(60.49/(25/4.19))</f>
        <v>10.138124000000001</v>
      </c>
    </row>
    <row r="706" spans="1:10" ht="13.5" thickBot="1">
      <c r="A706" s="229">
        <v>38040</v>
      </c>
      <c r="B706" s="234">
        <v>18.43</v>
      </c>
      <c r="C706" s="234">
        <v>17.829999999999998</v>
      </c>
      <c r="D706" s="234">
        <v>17.43</v>
      </c>
      <c r="E706" s="238">
        <v>12.81</v>
      </c>
      <c r="F706" s="234">
        <v>13.99</v>
      </c>
      <c r="G706" s="234">
        <f>+(6.6542+6.11)/2</f>
        <v>6.3821000000000003</v>
      </c>
      <c r="H706" s="234">
        <v>22.552800000000001</v>
      </c>
      <c r="I706" s="234">
        <f>+(12.6064+13.2)/2</f>
        <v>12.9032</v>
      </c>
      <c r="J706" s="238">
        <f>(60.49/(25/4.19))</f>
        <v>10.138124000000001</v>
      </c>
    </row>
    <row r="707" spans="1:10" ht="14.25" thickTop="1" thickBot="1">
      <c r="A707" s="239" t="s">
        <v>7</v>
      </c>
      <c r="B707" s="240">
        <f t="shared" ref="B707:J707" si="49">AVERAGE(B703:B706)</f>
        <v>18.052500000000002</v>
      </c>
      <c r="C707" s="240">
        <f t="shared" si="49"/>
        <v>17.487500000000001</v>
      </c>
      <c r="D707" s="240">
        <f t="shared" si="49"/>
        <v>17.077500000000001</v>
      </c>
      <c r="E707" s="240">
        <f t="shared" si="49"/>
        <v>12.592500000000001</v>
      </c>
      <c r="F707" s="240">
        <f t="shared" si="49"/>
        <v>13.867500000000001</v>
      </c>
      <c r="G707" s="240">
        <f t="shared" si="49"/>
        <v>6.5078428000000006</v>
      </c>
      <c r="H707" s="240">
        <f t="shared" si="49"/>
        <v>22.48</v>
      </c>
      <c r="I707" s="240">
        <f t="shared" si="49"/>
        <v>13.024324999999999</v>
      </c>
      <c r="J707" s="240">
        <f t="shared" si="49"/>
        <v>10.185471000000001</v>
      </c>
    </row>
    <row r="708" spans="1:10" ht="20.100000000000001" customHeight="1" thickTop="1" thickBot="1"/>
    <row r="709" spans="1:10" ht="13.5" thickTop="1">
      <c r="A709" s="1687" t="s">
        <v>1</v>
      </c>
      <c r="B709" s="221" t="s">
        <v>139</v>
      </c>
      <c r="C709" s="221" t="s">
        <v>140</v>
      </c>
      <c r="D709" s="221" t="s">
        <v>5</v>
      </c>
      <c r="E709" s="222" t="s">
        <v>6</v>
      </c>
      <c r="F709" s="223" t="s">
        <v>57</v>
      </c>
      <c r="G709" s="224" t="s">
        <v>58</v>
      </c>
      <c r="H709" s="225" t="s">
        <v>149</v>
      </c>
      <c r="I709" s="224" t="s">
        <v>145</v>
      </c>
      <c r="J709" s="225" t="s">
        <v>61</v>
      </c>
    </row>
    <row r="710" spans="1:10" ht="13.5" thickBot="1">
      <c r="A710" s="1688"/>
      <c r="B710" s="226" t="s">
        <v>146</v>
      </c>
      <c r="C710" s="226" t="s">
        <v>146</v>
      </c>
      <c r="D710" s="226" t="s">
        <v>146</v>
      </c>
      <c r="E710" s="227" t="s">
        <v>146</v>
      </c>
      <c r="F710" s="227" t="s">
        <v>146</v>
      </c>
      <c r="G710" s="228" t="s">
        <v>146</v>
      </c>
      <c r="H710" s="226" t="s">
        <v>146</v>
      </c>
      <c r="I710" s="228" t="s">
        <v>146</v>
      </c>
      <c r="J710" s="226" t="s">
        <v>146</v>
      </c>
    </row>
    <row r="711" spans="1:10" ht="13.5" thickTop="1">
      <c r="A711" s="229">
        <v>38047</v>
      </c>
      <c r="B711" s="234">
        <v>18.75</v>
      </c>
      <c r="C711" s="234">
        <v>18.16</v>
      </c>
      <c r="D711" s="234">
        <v>17.760000000000002</v>
      </c>
      <c r="E711" s="235">
        <v>13.22</v>
      </c>
      <c r="F711" s="234">
        <v>13.99</v>
      </c>
      <c r="G711" s="234">
        <f>+(6.7003+6.48+7.52081+0.38351*1.12)/3</f>
        <v>7.0435470666666662</v>
      </c>
      <c r="H711" s="234">
        <f>+(21.8884)</f>
        <v>21.888400000000001</v>
      </c>
      <c r="I711" s="234">
        <f>+(13.2244+13.2)/2</f>
        <v>13.212199999999999</v>
      </c>
      <c r="J711" s="232">
        <f>(61.06/(25/4.19))</f>
        <v>10.233656000000002</v>
      </c>
    </row>
    <row r="712" spans="1:10">
      <c r="A712" s="229">
        <v>38054</v>
      </c>
      <c r="B712" s="234">
        <v>18.61</v>
      </c>
      <c r="C712" s="234">
        <v>18.04</v>
      </c>
      <c r="D712" s="234">
        <v>17.670000000000002</v>
      </c>
      <c r="E712" s="235">
        <v>13.08</v>
      </c>
      <c r="F712" s="234">
        <v>13.99</v>
      </c>
      <c r="G712" s="234">
        <f>+(6.7003+6.48+7.52081+0.38351*1.12)/3</f>
        <v>7.0435470666666662</v>
      </c>
      <c r="H712" s="234">
        <v>21.888400000000001</v>
      </c>
      <c r="I712" s="234">
        <f>+(13.2244+13.2)/2</f>
        <v>13.212199999999999</v>
      </c>
      <c r="J712" s="235">
        <f>(60.59/(25/4.19))</f>
        <v>10.154884000000003</v>
      </c>
    </row>
    <row r="713" spans="1:10">
      <c r="A713" s="229">
        <v>38061</v>
      </c>
      <c r="B713" s="234">
        <v>18.670000000000002</v>
      </c>
      <c r="C713" s="234">
        <v>18.11</v>
      </c>
      <c r="D713" s="234">
        <v>17.68</v>
      </c>
      <c r="E713" s="235">
        <v>13.06</v>
      </c>
      <c r="F713" s="234">
        <v>13.99</v>
      </c>
      <c r="G713" s="234">
        <f>+(6.7563+6.48+6.09694+0.38351*1.12)/3</f>
        <v>6.5875903999999998</v>
      </c>
      <c r="H713" s="234">
        <v>21.888400000000001</v>
      </c>
      <c r="I713" s="234">
        <f>+(13.2244+13.55)/2</f>
        <v>13.3872</v>
      </c>
      <c r="J713" s="235">
        <f>(60.71/(25/4.19))</f>
        <v>10.174996000000002</v>
      </c>
    </row>
    <row r="714" spans="1:10">
      <c r="A714" s="229">
        <v>38068</v>
      </c>
      <c r="B714" s="234">
        <v>18.68</v>
      </c>
      <c r="C714" s="234">
        <v>18.11</v>
      </c>
      <c r="D714" s="234">
        <v>17.7</v>
      </c>
      <c r="E714" s="235">
        <v>12.7</v>
      </c>
      <c r="F714" s="234">
        <v>13.99</v>
      </c>
      <c r="G714" s="234">
        <f>+(6.7563+6.48+6.09694+0.38351*1.12)/3</f>
        <v>6.5875903999999998</v>
      </c>
      <c r="H714" s="234">
        <v>21.888400000000001</v>
      </c>
      <c r="I714" s="234">
        <f>+(13.55)</f>
        <v>13.55</v>
      </c>
      <c r="J714" s="235">
        <f>(60.98/(25/4.19))</f>
        <v>10.220248000000002</v>
      </c>
    </row>
    <row r="715" spans="1:10" ht="13.5" thickBot="1">
      <c r="A715" s="229">
        <v>38076</v>
      </c>
      <c r="B715" s="234">
        <v>18.690000000000001</v>
      </c>
      <c r="C715" s="234">
        <v>18.13</v>
      </c>
      <c r="D715" s="234">
        <v>17.72</v>
      </c>
      <c r="E715" s="238">
        <v>12.53</v>
      </c>
      <c r="F715" s="234">
        <v>13.99</v>
      </c>
      <c r="G715" s="234">
        <f>+(6.5997+6.48+6.09694+0.38351*1.12)/3</f>
        <v>6.5353903999999998</v>
      </c>
      <c r="H715" s="234">
        <v>21.888400000000001</v>
      </c>
      <c r="I715" s="234">
        <v>13.55</v>
      </c>
      <c r="J715" s="235">
        <f>(61.03/(25/4.19))</f>
        <v>10.228628000000002</v>
      </c>
    </row>
    <row r="716" spans="1:10" ht="14.25" thickTop="1" thickBot="1">
      <c r="A716" s="239" t="s">
        <v>7</v>
      </c>
      <c r="B716" s="240">
        <f t="shared" ref="B716:J716" si="50">AVERAGE(B711:B715)</f>
        <v>18.68</v>
      </c>
      <c r="C716" s="240">
        <f t="shared" si="50"/>
        <v>18.11</v>
      </c>
      <c r="D716" s="240">
        <f t="shared" si="50"/>
        <v>17.706</v>
      </c>
      <c r="E716" s="240">
        <f t="shared" si="50"/>
        <v>12.918000000000001</v>
      </c>
      <c r="F716" s="240">
        <f t="shared" si="50"/>
        <v>13.99</v>
      </c>
      <c r="G716" s="240">
        <f t="shared" si="50"/>
        <v>6.7595330666666671</v>
      </c>
      <c r="H716" s="240">
        <f t="shared" si="50"/>
        <v>21.888400000000001</v>
      </c>
      <c r="I716" s="240">
        <f t="shared" si="50"/>
        <v>13.382319999999998</v>
      </c>
      <c r="J716" s="240">
        <f t="shared" si="50"/>
        <v>10.202482400000003</v>
      </c>
    </row>
    <row r="717" spans="1:10" ht="14.25" thickTop="1" thickBot="1">
      <c r="A717" s="243"/>
      <c r="B717" s="243"/>
      <c r="C717" s="243"/>
      <c r="D717" s="243"/>
      <c r="E717" s="243"/>
      <c r="F717" s="243"/>
      <c r="G717" s="243"/>
      <c r="H717" s="244"/>
      <c r="I717" s="243"/>
    </row>
    <row r="718" spans="1:10" ht="13.5" thickTop="1">
      <c r="A718" s="1682" t="s">
        <v>1</v>
      </c>
      <c r="B718" s="221" t="s">
        <v>139</v>
      </c>
      <c r="C718" s="221" t="s">
        <v>140</v>
      </c>
      <c r="D718" s="221" t="s">
        <v>5</v>
      </c>
      <c r="E718" s="245" t="s">
        <v>6</v>
      </c>
      <c r="F718" s="225" t="s">
        <v>57</v>
      </c>
      <c r="G718" s="224" t="s">
        <v>58</v>
      </c>
      <c r="H718" s="225" t="s">
        <v>149</v>
      </c>
      <c r="I718" s="224" t="s">
        <v>145</v>
      </c>
      <c r="J718" s="225" t="s">
        <v>61</v>
      </c>
    </row>
    <row r="719" spans="1:10" ht="13.5" thickBot="1">
      <c r="A719" s="1683"/>
      <c r="B719" s="226" t="s">
        <v>146</v>
      </c>
      <c r="C719" s="226" t="s">
        <v>146</v>
      </c>
      <c r="D719" s="226" t="s">
        <v>146</v>
      </c>
      <c r="E719" s="228" t="s">
        <v>146</v>
      </c>
      <c r="F719" s="226" t="s">
        <v>146</v>
      </c>
      <c r="G719" s="228" t="s">
        <v>146</v>
      </c>
      <c r="H719" s="226" t="s">
        <v>146</v>
      </c>
      <c r="I719" s="228" t="s">
        <v>146</v>
      </c>
      <c r="J719" s="226" t="s">
        <v>146</v>
      </c>
    </row>
    <row r="720" spans="1:10" ht="13.5" thickTop="1">
      <c r="A720" s="229">
        <v>38082</v>
      </c>
      <c r="B720" s="234">
        <v>19.05</v>
      </c>
      <c r="C720" s="246">
        <v>18.23</v>
      </c>
      <c r="D720" s="234">
        <v>17.809999999999999</v>
      </c>
      <c r="E720" s="246">
        <v>12.51</v>
      </c>
      <c r="F720" s="234">
        <v>13.99</v>
      </c>
      <c r="G720" s="234">
        <f>+(6.5997+6.56)/2</f>
        <v>6.5798500000000004</v>
      </c>
      <c r="H720" s="234">
        <v>22.452000000000002</v>
      </c>
      <c r="I720" s="234">
        <v>13.2104</v>
      </c>
      <c r="J720" s="232">
        <f>(60.9/(25/4.19))</f>
        <v>10.206840000000001</v>
      </c>
    </row>
    <row r="721" spans="1:10">
      <c r="A721" s="229">
        <v>38089</v>
      </c>
      <c r="B721" s="234">
        <v>19.149999999999999</v>
      </c>
      <c r="C721" s="234">
        <v>18.489999999999998</v>
      </c>
      <c r="D721" s="234">
        <v>18.079999999999998</v>
      </c>
      <c r="E721" s="234">
        <v>12.53</v>
      </c>
      <c r="F721" s="234">
        <v>13.99</v>
      </c>
      <c r="G721" s="234">
        <f>+(6.5213+6.56+6+0.38351*1.12)/3</f>
        <v>6.5036103999999995</v>
      </c>
      <c r="H721" s="234">
        <v>22.452000000000002</v>
      </c>
      <c r="I721" s="234">
        <v>13.2104</v>
      </c>
      <c r="J721" s="235">
        <f>(61/(25/4.19))</f>
        <v>10.223600000000001</v>
      </c>
    </row>
    <row r="722" spans="1:10">
      <c r="A722" s="229">
        <v>38096</v>
      </c>
      <c r="B722" s="234">
        <v>19.18</v>
      </c>
      <c r="C722" s="234">
        <v>18.55</v>
      </c>
      <c r="D722" s="234">
        <v>18.149999999999999</v>
      </c>
      <c r="E722" s="234">
        <v>12.56</v>
      </c>
      <c r="F722" s="234">
        <v>13.99</v>
      </c>
      <c r="G722" s="234">
        <f>+(6.7226+6.56+6.40033+0.38351*1.12)/3</f>
        <v>6.7041537333333325</v>
      </c>
      <c r="H722" s="234">
        <v>22.25</v>
      </c>
      <c r="I722" s="234">
        <f>+(14.9032+13.55)/2</f>
        <v>14.226600000000001</v>
      </c>
      <c r="J722" s="235">
        <f>(60.87/(25/4.19))</f>
        <v>10.201812</v>
      </c>
    </row>
    <row r="723" spans="1:10" ht="13.5" thickBot="1">
      <c r="A723" s="229">
        <v>38103</v>
      </c>
      <c r="B723" s="234">
        <v>19.260000000000002</v>
      </c>
      <c r="C723" s="234">
        <v>18.66</v>
      </c>
      <c r="D723" s="234">
        <v>18.239999999999998</v>
      </c>
      <c r="E723" s="234">
        <v>12.56</v>
      </c>
      <c r="F723" s="234">
        <v>13.99</v>
      </c>
      <c r="G723" s="234">
        <f>+(6.8158+6.56+6.1273+0.38351*1.12)/3</f>
        <v>6.6442103999999995</v>
      </c>
      <c r="H723" s="234">
        <v>22.25</v>
      </c>
      <c r="I723" s="234">
        <v>14.23</v>
      </c>
      <c r="J723" s="235">
        <f>(60.95/(25/4.19))</f>
        <v>10.215220000000002</v>
      </c>
    </row>
    <row r="724" spans="1:10" ht="14.25" thickTop="1" thickBot="1">
      <c r="A724" s="239" t="s">
        <v>7</v>
      </c>
      <c r="B724" s="240">
        <f t="shared" ref="B724:J724" si="51">AVERAGE(B720:B723)</f>
        <v>19.16</v>
      </c>
      <c r="C724" s="240">
        <f t="shared" si="51"/>
        <v>18.482499999999998</v>
      </c>
      <c r="D724" s="240">
        <f t="shared" si="51"/>
        <v>18.07</v>
      </c>
      <c r="E724" s="240">
        <f t="shared" si="51"/>
        <v>12.540000000000001</v>
      </c>
      <c r="F724" s="240">
        <f t="shared" si="51"/>
        <v>13.99</v>
      </c>
      <c r="G724" s="240">
        <f t="shared" si="51"/>
        <v>6.6079561333333325</v>
      </c>
      <c r="H724" s="240">
        <f t="shared" si="51"/>
        <v>22.350999999999999</v>
      </c>
      <c r="I724" s="240">
        <f t="shared" si="51"/>
        <v>13.719350000000002</v>
      </c>
      <c r="J724" s="240">
        <f t="shared" si="51"/>
        <v>10.211868000000003</v>
      </c>
    </row>
    <row r="725" spans="1:10" ht="14.25" thickTop="1" thickBot="1">
      <c r="A725" s="243"/>
      <c r="B725" s="243"/>
      <c r="C725" s="247"/>
      <c r="D725" s="243"/>
      <c r="E725" s="243"/>
      <c r="F725" s="243"/>
      <c r="G725" s="243" t="s">
        <v>148</v>
      </c>
      <c r="H725" s="244"/>
      <c r="I725" s="243"/>
    </row>
    <row r="726" spans="1:10" ht="13.5" thickTop="1">
      <c r="A726" s="1682" t="s">
        <v>1</v>
      </c>
      <c r="B726" s="221" t="s">
        <v>139</v>
      </c>
      <c r="C726" s="221" t="s">
        <v>140</v>
      </c>
      <c r="D726" s="221" t="s">
        <v>5</v>
      </c>
      <c r="E726" s="245" t="s">
        <v>6</v>
      </c>
      <c r="F726" s="225" t="s">
        <v>57</v>
      </c>
      <c r="G726" s="224" t="s">
        <v>58</v>
      </c>
      <c r="H726" s="225" t="s">
        <v>149</v>
      </c>
      <c r="I726" s="224" t="s">
        <v>145</v>
      </c>
      <c r="J726" s="225" t="s">
        <v>61</v>
      </c>
    </row>
    <row r="727" spans="1:10" ht="13.5" thickBot="1">
      <c r="A727" s="1683"/>
      <c r="B727" s="226" t="s">
        <v>146</v>
      </c>
      <c r="C727" s="226" t="s">
        <v>146</v>
      </c>
      <c r="D727" s="226" t="s">
        <v>146</v>
      </c>
      <c r="E727" s="228" t="s">
        <v>146</v>
      </c>
      <c r="F727" s="226" t="s">
        <v>146</v>
      </c>
      <c r="G727" s="228" t="s">
        <v>146</v>
      </c>
      <c r="H727" s="226" t="s">
        <v>146</v>
      </c>
      <c r="I727" s="228" t="s">
        <v>146</v>
      </c>
      <c r="J727" s="226" t="s">
        <v>146</v>
      </c>
    </row>
    <row r="728" spans="1:10" ht="13.5" thickTop="1">
      <c r="A728" s="229">
        <v>38110</v>
      </c>
      <c r="B728" s="234">
        <v>19.07</v>
      </c>
      <c r="C728" s="246">
        <v>18.489999999999998</v>
      </c>
      <c r="D728" s="234">
        <v>18.059999999999999</v>
      </c>
      <c r="E728" s="246">
        <v>12.51</v>
      </c>
      <c r="F728" s="234">
        <v>13.99</v>
      </c>
      <c r="G728" s="234">
        <f>+(6.9166+6.885+6.4194+0.38351*1.12)/3</f>
        <v>6.8835103999999996</v>
      </c>
      <c r="H728" s="234">
        <v>22.104800000000001</v>
      </c>
      <c r="I728" s="234">
        <v>15.38</v>
      </c>
      <c r="J728" s="232">
        <f>(60.63/(25/4.19))</f>
        <v>10.161588000000002</v>
      </c>
    </row>
    <row r="729" spans="1:10">
      <c r="A729" s="229">
        <v>38117</v>
      </c>
      <c r="B729" s="234">
        <v>19.05</v>
      </c>
      <c r="C729" s="234">
        <v>18.54</v>
      </c>
      <c r="D729" s="234">
        <v>18.12</v>
      </c>
      <c r="E729" s="234">
        <v>12.74</v>
      </c>
      <c r="F729" s="234">
        <v>13.04</v>
      </c>
      <c r="G729" s="234">
        <f>+(6.995+6.885+7.8)/3</f>
        <v>7.2266666666666666</v>
      </c>
      <c r="H729" s="234">
        <v>22.104800000000001</v>
      </c>
      <c r="I729" s="234">
        <f>+(15.38+13.55)/2</f>
        <v>14.465</v>
      </c>
      <c r="J729" s="235">
        <f>(60.9/(25/4.19))</f>
        <v>10.206840000000001</v>
      </c>
    </row>
    <row r="730" spans="1:10">
      <c r="A730" s="229">
        <v>38124</v>
      </c>
      <c r="B730" s="234">
        <v>19.649999999999999</v>
      </c>
      <c r="C730" s="234">
        <v>19.04</v>
      </c>
      <c r="D730" s="234">
        <v>18.57</v>
      </c>
      <c r="E730" s="234">
        <v>12.7</v>
      </c>
      <c r="F730" s="234">
        <v>13.04</v>
      </c>
      <c r="G730" s="234">
        <f>+(6.995+6.885+7.8)/3</f>
        <v>7.2266666666666666</v>
      </c>
      <c r="H730" s="234">
        <v>24.781400000000001</v>
      </c>
      <c r="I730" s="234">
        <f>+(16.459+14.1)/2</f>
        <v>15.279499999999999</v>
      </c>
      <c r="J730" s="235">
        <f>(61.18/(25/4.19))</f>
        <v>10.253768000000001</v>
      </c>
    </row>
    <row r="731" spans="1:10">
      <c r="A731" s="229">
        <v>38131</v>
      </c>
      <c r="B731" s="234">
        <v>19.63</v>
      </c>
      <c r="C731" s="234">
        <v>19.059999999999999</v>
      </c>
      <c r="D731" s="234">
        <v>18.61</v>
      </c>
      <c r="E731" s="234">
        <v>12.73</v>
      </c>
      <c r="F731" s="234">
        <v>13.04</v>
      </c>
      <c r="G731" s="234">
        <f>+(6.995+6.885+6.63249+0.38351*1.12+7.8)/4</f>
        <v>7.1855053</v>
      </c>
      <c r="H731" s="234">
        <v>24.781600000000001</v>
      </c>
      <c r="I731" s="234">
        <v>16.459</v>
      </c>
      <c r="J731" s="235">
        <f>(60.82/(25/4.19))</f>
        <v>10.193432000000001</v>
      </c>
    </row>
    <row r="732" spans="1:10" ht="13.5" thickBot="1">
      <c r="A732" s="229">
        <v>38138</v>
      </c>
      <c r="B732" s="234">
        <v>20.02</v>
      </c>
      <c r="C732" s="234">
        <v>19.34</v>
      </c>
      <c r="D732" s="234">
        <v>18.87</v>
      </c>
      <c r="E732" s="234">
        <v>12.81</v>
      </c>
      <c r="F732" s="234">
        <v>13.04</v>
      </c>
      <c r="G732" s="234">
        <f>+(7.5724+6.885+6.9371+0.38351*1.12+8.6)/4</f>
        <v>7.6060078000000004</v>
      </c>
      <c r="H732" s="234">
        <v>24.781600000000001</v>
      </c>
      <c r="I732" s="234">
        <v>16.459</v>
      </c>
      <c r="J732" s="238">
        <f>(60.88/(25/4.19))</f>
        <v>10.203488000000002</v>
      </c>
    </row>
    <row r="733" spans="1:10" ht="14.25" thickTop="1" thickBot="1">
      <c r="A733" s="239" t="s">
        <v>7</v>
      </c>
      <c r="B733" s="240">
        <f t="shared" ref="B733:J733" si="52">AVERAGE(B728:B732)</f>
        <v>19.484000000000002</v>
      </c>
      <c r="C733" s="240">
        <f t="shared" si="52"/>
        <v>18.893999999999998</v>
      </c>
      <c r="D733" s="240">
        <f t="shared" si="52"/>
        <v>18.446000000000002</v>
      </c>
      <c r="E733" s="240">
        <f t="shared" si="52"/>
        <v>12.698000000000002</v>
      </c>
      <c r="F733" s="240">
        <f t="shared" si="52"/>
        <v>13.23</v>
      </c>
      <c r="G733" s="240">
        <f t="shared" si="52"/>
        <v>7.2256713666666652</v>
      </c>
      <c r="H733" s="240">
        <f t="shared" si="52"/>
        <v>23.710839999999997</v>
      </c>
      <c r="I733" s="240">
        <f t="shared" si="52"/>
        <v>15.608500000000001</v>
      </c>
      <c r="J733" s="240">
        <f t="shared" si="52"/>
        <v>10.2038232</v>
      </c>
    </row>
    <row r="734" spans="1:10" ht="14.25" thickTop="1" thickBot="1">
      <c r="A734" s="243"/>
      <c r="B734" s="243"/>
      <c r="C734" s="243"/>
      <c r="D734" s="243"/>
      <c r="E734" s="243"/>
      <c r="F734" s="243"/>
      <c r="G734" s="243"/>
      <c r="H734" s="244"/>
      <c r="I734" s="243"/>
    </row>
    <row r="735" spans="1:10" ht="13.5" thickTop="1">
      <c r="A735" s="1682" t="s">
        <v>1</v>
      </c>
      <c r="B735" s="221" t="s">
        <v>139</v>
      </c>
      <c r="C735" s="221" t="s">
        <v>140</v>
      </c>
      <c r="D735" s="221" t="s">
        <v>5</v>
      </c>
      <c r="E735" s="245" t="s">
        <v>6</v>
      </c>
      <c r="F735" s="225" t="s">
        <v>57</v>
      </c>
      <c r="G735" s="224" t="s">
        <v>58</v>
      </c>
      <c r="H735" s="225" t="s">
        <v>149</v>
      </c>
      <c r="I735" s="224" t="s">
        <v>145</v>
      </c>
      <c r="J735" s="225" t="s">
        <v>61</v>
      </c>
    </row>
    <row r="736" spans="1:10" ht="13.5" thickBot="1">
      <c r="A736" s="1683"/>
      <c r="B736" s="226" t="s">
        <v>146</v>
      </c>
      <c r="C736" s="226" t="s">
        <v>146</v>
      </c>
      <c r="D736" s="226" t="s">
        <v>146</v>
      </c>
      <c r="E736" s="228" t="s">
        <v>146</v>
      </c>
      <c r="F736" s="226" t="s">
        <v>146</v>
      </c>
      <c r="G736" s="228" t="s">
        <v>146</v>
      </c>
      <c r="H736" s="226" t="s">
        <v>146</v>
      </c>
      <c r="I736" s="228" t="s">
        <v>146</v>
      </c>
      <c r="J736" s="226" t="s">
        <v>146</v>
      </c>
    </row>
    <row r="737" spans="1:10" ht="13.5" thickTop="1">
      <c r="A737" s="229">
        <v>38145</v>
      </c>
      <c r="B737" s="234">
        <v>19.989999999999998</v>
      </c>
      <c r="C737" s="234">
        <v>19.3</v>
      </c>
      <c r="D737" s="234">
        <v>18.829999999999998</v>
      </c>
      <c r="E737" s="246">
        <v>12.65</v>
      </c>
      <c r="F737" s="234">
        <v>13.04</v>
      </c>
      <c r="G737" s="234">
        <f>+(7.5724+7.15+8.6)/3</f>
        <v>7.7741333333333342</v>
      </c>
      <c r="H737" s="234">
        <v>25.0168</v>
      </c>
      <c r="I737" s="234">
        <f>+(15.8184+14.1)/2</f>
        <v>14.959199999999999</v>
      </c>
      <c r="J737" s="232">
        <f>(60.86/(25/4.19))</f>
        <v>10.200136000000002</v>
      </c>
    </row>
    <row r="738" spans="1:10">
      <c r="A738" s="229">
        <v>38152</v>
      </c>
      <c r="B738" s="234">
        <v>19.95</v>
      </c>
      <c r="C738" s="234">
        <v>19.27</v>
      </c>
      <c r="D738" s="234">
        <v>18.809999999999999</v>
      </c>
      <c r="E738" s="234">
        <v>12.59</v>
      </c>
      <c r="F738" s="234">
        <v>13.04</v>
      </c>
      <c r="G738" s="234">
        <f>+(7.4945+7.15+8.2+6.92517+0.38351*1.12)/4</f>
        <v>7.5498002999999994</v>
      </c>
      <c r="H738" s="234">
        <v>25.0168</v>
      </c>
      <c r="I738" s="234">
        <f>+(15.8184+13.7)/2</f>
        <v>14.7592</v>
      </c>
      <c r="J738" s="235">
        <f>(60.86/(25/4.19))</f>
        <v>10.200136000000002</v>
      </c>
    </row>
    <row r="739" spans="1:10">
      <c r="A739" s="229">
        <v>38159</v>
      </c>
      <c r="B739" s="234">
        <v>19.850000000000001</v>
      </c>
      <c r="C739" s="234">
        <v>19.23</v>
      </c>
      <c r="D739" s="234">
        <v>18.760000000000002</v>
      </c>
      <c r="E739" s="234">
        <v>12.56</v>
      </c>
      <c r="F739" s="234">
        <v>13.04</v>
      </c>
      <c r="G739" s="234">
        <f>+(7.4049+7.15+6.81491+0.38351*1.12)/3</f>
        <v>7.2664470666666672</v>
      </c>
      <c r="H739" s="234">
        <v>23.571999999999999</v>
      </c>
      <c r="I739" s="234">
        <f>+(15.34+13.7)/2</f>
        <v>14.52</v>
      </c>
      <c r="J739" s="235">
        <f>(60.95/(25/4.19))</f>
        <v>10.215220000000002</v>
      </c>
    </row>
    <row r="740" spans="1:10" ht="13.5" thickBot="1">
      <c r="A740" s="229">
        <v>38166</v>
      </c>
      <c r="B740" s="234">
        <v>19.809999999999999</v>
      </c>
      <c r="C740" s="234">
        <v>19.170000000000002</v>
      </c>
      <c r="D740" s="234">
        <v>18.7</v>
      </c>
      <c r="E740" s="234">
        <v>12.47</v>
      </c>
      <c r="F740" s="234">
        <v>12.79</v>
      </c>
      <c r="G740" s="234">
        <f>+(7.4049+7.15+8.2+6.81491+0.38351*1.12)/4</f>
        <v>7.4998353</v>
      </c>
      <c r="H740" s="234">
        <v>23.571999999999999</v>
      </c>
      <c r="I740" s="234">
        <f>+(15.34+13.7)/2</f>
        <v>14.52</v>
      </c>
      <c r="J740" s="235">
        <f>(60.9/(25/4.19))</f>
        <v>10.206840000000001</v>
      </c>
    </row>
    <row r="741" spans="1:10" ht="14.25" thickTop="1" thickBot="1">
      <c r="A741" s="239" t="s">
        <v>7</v>
      </c>
      <c r="B741" s="240">
        <f t="shared" ref="B741:J741" si="53">AVERAGE(B737:B740)</f>
        <v>19.899999999999999</v>
      </c>
      <c r="C741" s="240">
        <f t="shared" si="53"/>
        <v>19.2425</v>
      </c>
      <c r="D741" s="240">
        <f t="shared" si="53"/>
        <v>18.775000000000002</v>
      </c>
      <c r="E741" s="240">
        <f t="shared" si="53"/>
        <v>12.567500000000001</v>
      </c>
      <c r="F741" s="240">
        <f t="shared" si="53"/>
        <v>12.977499999999999</v>
      </c>
      <c r="G741" s="240">
        <f t="shared" si="53"/>
        <v>7.5225540000000004</v>
      </c>
      <c r="H741" s="240">
        <f t="shared" si="53"/>
        <v>24.2944</v>
      </c>
      <c r="I741" s="240">
        <f t="shared" si="53"/>
        <v>14.689599999999999</v>
      </c>
      <c r="J741" s="240">
        <f t="shared" si="53"/>
        <v>10.205583000000003</v>
      </c>
    </row>
    <row r="742" spans="1:10" ht="14.25" thickTop="1" thickBot="1">
      <c r="A742" s="243"/>
      <c r="B742" s="243"/>
      <c r="C742" s="243"/>
      <c r="D742" s="243"/>
      <c r="E742" s="243"/>
      <c r="F742" s="243"/>
      <c r="G742" s="243"/>
      <c r="H742" s="244"/>
      <c r="I742" s="243"/>
    </row>
    <row r="743" spans="1:10" ht="13.5" thickTop="1">
      <c r="A743" s="1682" t="s">
        <v>1</v>
      </c>
      <c r="B743" s="221" t="s">
        <v>139</v>
      </c>
      <c r="C743" s="221" t="s">
        <v>140</v>
      </c>
      <c r="D743" s="221" t="s">
        <v>5</v>
      </c>
      <c r="E743" s="245" t="s">
        <v>6</v>
      </c>
      <c r="F743" s="225" t="s">
        <v>57</v>
      </c>
      <c r="G743" s="224" t="s">
        <v>58</v>
      </c>
      <c r="H743" s="225" t="s">
        <v>149</v>
      </c>
      <c r="I743" s="224" t="s">
        <v>145</v>
      </c>
      <c r="J743" s="225" t="s">
        <v>61</v>
      </c>
    </row>
    <row r="744" spans="1:10" ht="13.5" thickBot="1">
      <c r="A744" s="1683"/>
      <c r="B744" s="226" t="s">
        <v>146</v>
      </c>
      <c r="C744" s="226" t="s">
        <v>146</v>
      </c>
      <c r="D744" s="226" t="s">
        <v>146</v>
      </c>
      <c r="E744" s="228" t="s">
        <v>146</v>
      </c>
      <c r="F744" s="226" t="s">
        <v>146</v>
      </c>
      <c r="G744" s="228" t="s">
        <v>146</v>
      </c>
      <c r="H744" s="226" t="s">
        <v>146</v>
      </c>
      <c r="I744" s="228" t="s">
        <v>146</v>
      </c>
      <c r="J744" s="226" t="s">
        <v>146</v>
      </c>
    </row>
    <row r="745" spans="1:10" ht="13.5" thickTop="1">
      <c r="A745" s="229">
        <v>38173</v>
      </c>
      <c r="B745" s="234">
        <v>19.87</v>
      </c>
      <c r="C745" s="234">
        <v>19.170000000000002</v>
      </c>
      <c r="D745" s="234">
        <v>18.72</v>
      </c>
      <c r="E745" s="246">
        <v>12.48</v>
      </c>
      <c r="F745" s="234">
        <v>14</v>
      </c>
      <c r="G745" s="234">
        <f>+(7.1282+6.7261+6.17617+7.83+0.38351*1.12)/4</f>
        <v>7.0725002999999997</v>
      </c>
      <c r="H745" s="234">
        <v>23.4712</v>
      </c>
      <c r="I745" s="234">
        <f>+(15.6136+13.7)/2</f>
        <v>14.6568</v>
      </c>
      <c r="J745" s="232">
        <f>(60.87/(25/4.19))</f>
        <v>10.201812</v>
      </c>
    </row>
    <row r="746" spans="1:10">
      <c r="A746" s="229">
        <v>38180</v>
      </c>
      <c r="B746" s="234">
        <v>19.829999999999998</v>
      </c>
      <c r="C746" s="234">
        <v>19.18</v>
      </c>
      <c r="D746" s="234">
        <v>18.71</v>
      </c>
      <c r="E746" s="246">
        <v>12.5</v>
      </c>
      <c r="F746" s="234">
        <v>13.04</v>
      </c>
      <c r="G746" s="234">
        <f>+(7.1282+6.7261+6.24103+7.83193+0.38351*1.12)/4</f>
        <v>7.0891977999999991</v>
      </c>
      <c r="H746" s="234">
        <v>23.4712</v>
      </c>
      <c r="I746" s="234">
        <v>15.6136</v>
      </c>
      <c r="J746" s="235">
        <f>(60.66/(25/4.19))</f>
        <v>10.166616000000001</v>
      </c>
    </row>
    <row r="747" spans="1:10">
      <c r="A747" s="229">
        <v>38187</v>
      </c>
      <c r="B747" s="234">
        <v>19.850000000000001</v>
      </c>
      <c r="C747" s="234">
        <v>19.14</v>
      </c>
      <c r="D747" s="234">
        <v>18.670000000000002</v>
      </c>
      <c r="E747" s="234">
        <v>12.61</v>
      </c>
      <c r="F747" s="234">
        <v>13.04</v>
      </c>
      <c r="G747" s="234">
        <f>+(6.9378+6.7261+7.83)/3</f>
        <v>7.1646333333333336</v>
      </c>
      <c r="H747" s="234">
        <v>24.423200000000001</v>
      </c>
      <c r="I747" s="234">
        <v>16.084099999999999</v>
      </c>
      <c r="J747" s="235">
        <f>(60.69/(25/4.19))</f>
        <v>10.171644000000001</v>
      </c>
    </row>
    <row r="748" spans="1:10" ht="13.5" thickBot="1">
      <c r="A748" s="229">
        <v>38194</v>
      </c>
      <c r="B748" s="234">
        <v>19.850000000000001</v>
      </c>
      <c r="C748" s="234">
        <v>19.14</v>
      </c>
      <c r="D748" s="234">
        <v>18.68</v>
      </c>
      <c r="E748" s="234">
        <v>12.62</v>
      </c>
      <c r="F748" s="234">
        <v>13.04</v>
      </c>
      <c r="G748" s="234">
        <f>+(6.7586+6.7261+7.83)/3</f>
        <v>7.1049000000000007</v>
      </c>
      <c r="H748" s="234">
        <v>24.423200000000001</v>
      </c>
      <c r="I748" s="234">
        <v>16.084099999999999</v>
      </c>
      <c r="J748" s="235">
        <f>(60.8/(25/4.19))</f>
        <v>10.190080000000002</v>
      </c>
    </row>
    <row r="749" spans="1:10" ht="14.25" thickTop="1" thickBot="1">
      <c r="A749" s="239" t="s">
        <v>7</v>
      </c>
      <c r="B749" s="240">
        <f t="shared" ref="B749:J749" si="54">AVERAGE(B745:B748)</f>
        <v>19.850000000000001</v>
      </c>
      <c r="C749" s="240">
        <f t="shared" si="54"/>
        <v>19.157499999999999</v>
      </c>
      <c r="D749" s="240">
        <f t="shared" si="54"/>
        <v>18.695</v>
      </c>
      <c r="E749" s="240">
        <f t="shared" si="54"/>
        <v>12.5525</v>
      </c>
      <c r="F749" s="240">
        <f t="shared" si="54"/>
        <v>13.28</v>
      </c>
      <c r="G749" s="240">
        <f t="shared" si="54"/>
        <v>7.1078078583333335</v>
      </c>
      <c r="H749" s="240">
        <f t="shared" si="54"/>
        <v>23.947200000000002</v>
      </c>
      <c r="I749" s="240">
        <f t="shared" si="54"/>
        <v>15.60965</v>
      </c>
      <c r="J749" s="240">
        <f t="shared" si="54"/>
        <v>10.182538000000001</v>
      </c>
    </row>
    <row r="750" spans="1:10" ht="14.25" thickTop="1" thickBot="1">
      <c r="A750" s="243"/>
      <c r="B750" s="243"/>
      <c r="C750" s="243"/>
      <c r="D750" s="243"/>
      <c r="E750" s="243"/>
      <c r="F750" s="243"/>
      <c r="G750" s="243"/>
      <c r="H750" s="244"/>
      <c r="I750" s="243"/>
    </row>
    <row r="751" spans="1:10" ht="13.5" thickTop="1">
      <c r="A751" s="1682" t="s">
        <v>1</v>
      </c>
      <c r="B751" s="221" t="s">
        <v>139</v>
      </c>
      <c r="C751" s="221" t="s">
        <v>140</v>
      </c>
      <c r="D751" s="221" t="s">
        <v>5</v>
      </c>
      <c r="E751" s="245" t="s">
        <v>6</v>
      </c>
      <c r="F751" s="225" t="s">
        <v>57</v>
      </c>
      <c r="G751" s="224" t="s">
        <v>58</v>
      </c>
      <c r="H751" s="225" t="s">
        <v>149</v>
      </c>
      <c r="I751" s="224" t="s">
        <v>145</v>
      </c>
      <c r="J751" s="225" t="s">
        <v>61</v>
      </c>
    </row>
    <row r="752" spans="1:10" ht="13.5" thickBot="1">
      <c r="A752" s="1683"/>
      <c r="B752" s="226" t="s">
        <v>146</v>
      </c>
      <c r="C752" s="226" t="s">
        <v>146</v>
      </c>
      <c r="D752" s="226" t="s">
        <v>146</v>
      </c>
      <c r="E752" s="228" t="s">
        <v>146</v>
      </c>
      <c r="F752" s="226" t="s">
        <v>146</v>
      </c>
      <c r="G752" s="228" t="s">
        <v>146</v>
      </c>
      <c r="H752" s="226" t="s">
        <v>146</v>
      </c>
      <c r="I752" s="228" t="s">
        <v>146</v>
      </c>
      <c r="J752" s="226" t="s">
        <v>146</v>
      </c>
    </row>
    <row r="753" spans="1:10" ht="13.5" thickTop="1">
      <c r="A753" s="229">
        <v>38202</v>
      </c>
      <c r="B753" s="234">
        <v>19.760000000000002</v>
      </c>
      <c r="C753" s="234">
        <v>19.07</v>
      </c>
      <c r="D753" s="234">
        <v>18.62</v>
      </c>
      <c r="E753" s="246">
        <v>12.61</v>
      </c>
      <c r="F753" s="234">
        <v>13.5</v>
      </c>
      <c r="G753" s="234">
        <f>+(7.0183+6.9134+7.30966+0.38351*1.12+7.83)/4</f>
        <v>7.3752227999999995</v>
      </c>
      <c r="H753" s="234">
        <v>24.165600000000001</v>
      </c>
      <c r="I753" s="234">
        <f>+(16.7072+14.11)/2</f>
        <v>15.4086</v>
      </c>
      <c r="J753" s="232">
        <f>(61/(25/4.19))</f>
        <v>10.223600000000001</v>
      </c>
    </row>
    <row r="754" spans="1:10">
      <c r="A754" s="229">
        <v>38209</v>
      </c>
      <c r="B754" s="234">
        <v>19.760000000000002</v>
      </c>
      <c r="C754" s="234">
        <v>19.09</v>
      </c>
      <c r="D754" s="234">
        <v>18.61</v>
      </c>
      <c r="E754" s="246">
        <v>12.97</v>
      </c>
      <c r="F754" s="234">
        <v>13.04</v>
      </c>
      <c r="G754" s="234">
        <f>+(7.0183+6.53776+0.38351*1.12+7.73)/3</f>
        <v>7.2385303999999993</v>
      </c>
      <c r="H754" s="234">
        <v>24.165600000000001</v>
      </c>
      <c r="I754" s="234">
        <f>+(16.7072+15.19)/2</f>
        <v>15.948599999999999</v>
      </c>
      <c r="J754" s="235">
        <f>(64.76/(25/4.19))</f>
        <v>10.853776000000002</v>
      </c>
    </row>
    <row r="755" spans="1:10">
      <c r="A755" s="229">
        <v>38215</v>
      </c>
      <c r="B755" s="234">
        <v>19.66</v>
      </c>
      <c r="C755" s="234">
        <v>19.04</v>
      </c>
      <c r="D755" s="234">
        <v>18.57</v>
      </c>
      <c r="E755" s="234">
        <v>13.08</v>
      </c>
      <c r="F755" s="234">
        <v>13.04</v>
      </c>
      <c r="G755" s="234">
        <f>+(7.0183+6.9134+8.23)/3</f>
        <v>7.3872333333333335</v>
      </c>
      <c r="H755" s="234">
        <v>24.008800000000001</v>
      </c>
      <c r="I755" s="234">
        <f>+(16.9473+15.19)/2</f>
        <v>16.068649999999998</v>
      </c>
      <c r="J755" s="235">
        <f>(68.93/(25/4.19))</f>
        <v>11.552668000000002</v>
      </c>
    </row>
    <row r="756" spans="1:10">
      <c r="A756" s="229">
        <v>38222</v>
      </c>
      <c r="B756" s="234">
        <v>19.66</v>
      </c>
      <c r="C756" s="234">
        <v>19.03</v>
      </c>
      <c r="D756" s="234">
        <v>18.559999999999999</v>
      </c>
      <c r="E756" s="234">
        <v>13.15</v>
      </c>
      <c r="F756" s="234">
        <v>13.04</v>
      </c>
      <c r="G756" s="234">
        <f>+(7.0183+6.9134+8.23)/3</f>
        <v>7.3872333333333335</v>
      </c>
      <c r="H756" s="234">
        <v>24.008800000000001</v>
      </c>
      <c r="I756" s="234">
        <f>+(16.9473+15.19)/2</f>
        <v>16.068649999999998</v>
      </c>
      <c r="J756" s="235">
        <f>(69.99/(25/4.19))</f>
        <v>11.730324000000001</v>
      </c>
    </row>
    <row r="757" spans="1:10" ht="13.5" thickBot="1">
      <c r="A757" s="229">
        <v>38229</v>
      </c>
      <c r="B757" s="234">
        <v>19.61</v>
      </c>
      <c r="C757" s="234">
        <v>18.97</v>
      </c>
      <c r="D757" s="234">
        <v>18.489999999999998</v>
      </c>
      <c r="E757" s="234">
        <v>13.27</v>
      </c>
      <c r="F757" s="234">
        <v>13.79</v>
      </c>
      <c r="G757" s="234">
        <f>+(7.2181+6.9134+6.2+0.38351*1.12+8.3)/4</f>
        <v>7.2652577999999997</v>
      </c>
      <c r="H757" s="234">
        <v>24.008800000000001</v>
      </c>
      <c r="I757" s="234">
        <f>+(16.9473+15.19)/2</f>
        <v>16.068649999999998</v>
      </c>
      <c r="J757" s="235">
        <f>(69.93/(25/4.19))</f>
        <v>11.720268000000003</v>
      </c>
    </row>
    <row r="758" spans="1:10" ht="14.25" thickTop="1" thickBot="1">
      <c r="A758" s="239" t="s">
        <v>7</v>
      </c>
      <c r="B758" s="240">
        <f>AVERAGE(B753:B757)</f>
        <v>19.690000000000001</v>
      </c>
      <c r="C758" s="240">
        <f>AVERAGE(C753:C757)</f>
        <v>19.04</v>
      </c>
      <c r="D758" s="240">
        <f>AVERAGE(D753:D757)</f>
        <v>18.57</v>
      </c>
      <c r="E758" s="240">
        <f>AVERAGE(E753:E756)</f>
        <v>12.952499999999999</v>
      </c>
      <c r="F758" s="240">
        <f>AVERAGE(F753:F757)</f>
        <v>13.282</v>
      </c>
      <c r="G758" s="240">
        <f>AVERAGE(G753:G756)</f>
        <v>7.3470549666666667</v>
      </c>
      <c r="H758" s="240">
        <f>AVERAGE(H753:H757)</f>
        <v>24.071520000000003</v>
      </c>
      <c r="I758" s="240">
        <f>AVERAGE(I753:I756)</f>
        <v>15.873624999999999</v>
      </c>
      <c r="J758" s="240">
        <f>AVERAGE(J754:J756)</f>
        <v>11.378922666666668</v>
      </c>
    </row>
    <row r="759" spans="1:10" ht="14.25" thickTop="1" thickBot="1">
      <c r="A759" s="243"/>
      <c r="B759" s="243"/>
      <c r="C759" s="243"/>
      <c r="D759" s="243"/>
      <c r="E759" s="243"/>
      <c r="F759" s="243"/>
      <c r="G759" s="243"/>
      <c r="H759" s="244"/>
      <c r="I759" s="243"/>
    </row>
    <row r="760" spans="1:10" ht="13.5" thickTop="1">
      <c r="A760" s="1682" t="s">
        <v>1</v>
      </c>
      <c r="B760" s="221" t="s">
        <v>139</v>
      </c>
      <c r="C760" s="221" t="s">
        <v>140</v>
      </c>
      <c r="D760" s="221" t="s">
        <v>5</v>
      </c>
      <c r="E760" s="245" t="s">
        <v>6</v>
      </c>
      <c r="F760" s="225" t="s">
        <v>57</v>
      </c>
      <c r="G760" s="224" t="s">
        <v>58</v>
      </c>
      <c r="H760" s="225" t="s">
        <v>149</v>
      </c>
      <c r="I760" s="224" t="s">
        <v>145</v>
      </c>
      <c r="J760" s="225" t="s">
        <v>61</v>
      </c>
    </row>
    <row r="761" spans="1:10" ht="13.5" thickBot="1">
      <c r="A761" s="1683"/>
      <c r="B761" s="226" t="s">
        <v>146</v>
      </c>
      <c r="C761" s="226" t="s">
        <v>146</v>
      </c>
      <c r="D761" s="226" t="s">
        <v>146</v>
      </c>
      <c r="E761" s="228" t="s">
        <v>146</v>
      </c>
      <c r="F761" s="226" t="s">
        <v>146</v>
      </c>
      <c r="G761" s="228" t="s">
        <v>146</v>
      </c>
      <c r="H761" s="226" t="s">
        <v>146</v>
      </c>
      <c r="I761" s="228" t="s">
        <v>146</v>
      </c>
      <c r="J761" s="226" t="s">
        <v>146</v>
      </c>
    </row>
    <row r="762" spans="1:10" ht="13.5" thickTop="1">
      <c r="A762" s="229">
        <v>38236</v>
      </c>
      <c r="B762" s="234">
        <v>19.420000000000002</v>
      </c>
      <c r="C762" s="234">
        <v>18.89</v>
      </c>
      <c r="D762" s="234">
        <v>18.399999999999999</v>
      </c>
      <c r="E762" s="246">
        <v>13.46</v>
      </c>
      <c r="F762" s="234">
        <v>13.79</v>
      </c>
      <c r="G762" s="234">
        <f>+(7.5541+7.0099+6.98654+0.38351*1.12)/3</f>
        <v>7.3266903999999995</v>
      </c>
      <c r="H762" s="234">
        <v>23.896799999999999</v>
      </c>
      <c r="I762" s="234">
        <f>+(17.2364+16.32)/2</f>
        <v>16.778199999999998</v>
      </c>
      <c r="J762" s="232">
        <f>(70.03/(25/4.19))</f>
        <v>11.737028000000002</v>
      </c>
    </row>
    <row r="763" spans="1:10">
      <c r="A763" s="229">
        <v>38243</v>
      </c>
      <c r="B763" s="234">
        <v>19.38</v>
      </c>
      <c r="C763" s="234">
        <v>18.809999999999999</v>
      </c>
      <c r="D763" s="234">
        <v>18.32</v>
      </c>
      <c r="E763" s="246">
        <v>13.6</v>
      </c>
      <c r="F763" s="234">
        <v>13.79</v>
      </c>
      <c r="G763" s="234">
        <f>+(7.7333+7.0099+6.96135+0.38351*1.12+9.6)/4</f>
        <v>7.9335202999999996</v>
      </c>
      <c r="H763" s="234">
        <v>23.896799999999999</v>
      </c>
      <c r="I763" s="234">
        <f>+(17.2364+16.32)/2</f>
        <v>16.778199999999998</v>
      </c>
      <c r="J763" s="235">
        <f>(69.99/(25/4.19))</f>
        <v>11.730324000000001</v>
      </c>
    </row>
    <row r="764" spans="1:10">
      <c r="A764" s="229">
        <v>38250</v>
      </c>
      <c r="B764" s="234">
        <v>19.63</v>
      </c>
      <c r="C764" s="234">
        <v>18.96</v>
      </c>
      <c r="D764" s="234">
        <v>18.47</v>
      </c>
      <c r="E764" s="234">
        <v>14.14</v>
      </c>
      <c r="F764" s="234">
        <v>13.79</v>
      </c>
      <c r="G764" s="234">
        <f>+(7.5541+7.0099+6.96135+0.38351*1.12+8.24)/4</f>
        <v>7.5487202999999994</v>
      </c>
      <c r="H764" s="234">
        <v>23.8856</v>
      </c>
      <c r="I764" s="234">
        <f>+(17.5206+15.92)/2</f>
        <v>16.720300000000002</v>
      </c>
      <c r="J764" s="235">
        <f>(70/(25/4.19))</f>
        <v>11.732000000000001</v>
      </c>
    </row>
    <row r="765" spans="1:10" ht="13.5" thickBot="1">
      <c r="A765" s="229">
        <v>38257</v>
      </c>
      <c r="B765" s="234">
        <v>19.59</v>
      </c>
      <c r="C765" s="234">
        <v>18.989999999999998</v>
      </c>
      <c r="D765" s="234">
        <v>18.5</v>
      </c>
      <c r="E765" s="234">
        <v>14.3</v>
      </c>
      <c r="F765" s="234">
        <v>13.79</v>
      </c>
      <c r="G765" s="234">
        <f>+(7.8341+7.0099+6.53+0.38351*1.12+8.24)/4</f>
        <v>7.510882800000001</v>
      </c>
      <c r="H765" s="234">
        <v>23.8856</v>
      </c>
      <c r="I765" s="234">
        <f>+(17.5206+15.92)/2</f>
        <v>16.720300000000002</v>
      </c>
      <c r="J765" s="235">
        <f>(69.91/(25/4.19))</f>
        <v>11.716916000000001</v>
      </c>
    </row>
    <row r="766" spans="1:10" ht="14.25" thickTop="1" thickBot="1">
      <c r="A766" s="239" t="s">
        <v>7</v>
      </c>
      <c r="B766" s="240">
        <f t="shared" ref="B766:J766" si="55">AVERAGE(B762:B765)</f>
        <v>19.504999999999999</v>
      </c>
      <c r="C766" s="240">
        <f t="shared" si="55"/>
        <v>18.912500000000001</v>
      </c>
      <c r="D766" s="240">
        <f t="shared" si="55"/>
        <v>18.422499999999999</v>
      </c>
      <c r="E766" s="240">
        <f t="shared" si="55"/>
        <v>13.875</v>
      </c>
      <c r="F766" s="240">
        <f t="shared" si="55"/>
        <v>13.79</v>
      </c>
      <c r="G766" s="240">
        <f t="shared" si="55"/>
        <v>7.5799534499999996</v>
      </c>
      <c r="H766" s="240">
        <f t="shared" si="55"/>
        <v>23.891199999999998</v>
      </c>
      <c r="I766" s="240">
        <f t="shared" si="55"/>
        <v>16.74925</v>
      </c>
      <c r="J766" s="240">
        <f t="shared" si="55"/>
        <v>11.729067000000001</v>
      </c>
    </row>
    <row r="767" spans="1:10" ht="14.25" thickTop="1" thickBot="1">
      <c r="A767" s="243"/>
      <c r="B767" s="243"/>
      <c r="C767" s="243"/>
      <c r="D767" s="243"/>
      <c r="E767" s="243"/>
      <c r="F767" s="243"/>
      <c r="G767" s="243"/>
      <c r="H767" s="244"/>
      <c r="I767" s="243"/>
    </row>
    <row r="768" spans="1:10" ht="13.5" thickTop="1">
      <c r="A768" s="1682" t="s">
        <v>1</v>
      </c>
      <c r="B768" s="221" t="s">
        <v>139</v>
      </c>
      <c r="C768" s="221" t="s">
        <v>140</v>
      </c>
      <c r="D768" s="221" t="s">
        <v>5</v>
      </c>
      <c r="E768" s="245" t="s">
        <v>6</v>
      </c>
      <c r="F768" s="225" t="s">
        <v>57</v>
      </c>
      <c r="G768" s="224" t="s">
        <v>58</v>
      </c>
      <c r="H768" s="225" t="s">
        <v>149</v>
      </c>
      <c r="I768" s="224" t="s">
        <v>145</v>
      </c>
      <c r="J768" s="225" t="s">
        <v>61</v>
      </c>
    </row>
    <row r="769" spans="1:10" ht="13.5" thickBot="1">
      <c r="A769" s="1683"/>
      <c r="B769" s="226" t="s">
        <v>146</v>
      </c>
      <c r="C769" s="226" t="s">
        <v>146</v>
      </c>
      <c r="D769" s="226" t="s">
        <v>146</v>
      </c>
      <c r="E769" s="228" t="s">
        <v>146</v>
      </c>
      <c r="F769" s="226" t="s">
        <v>146</v>
      </c>
      <c r="G769" s="228" t="s">
        <v>146</v>
      </c>
      <c r="H769" s="226" t="s">
        <v>146</v>
      </c>
      <c r="I769" s="228" t="s">
        <v>146</v>
      </c>
      <c r="J769" s="226" t="s">
        <v>146</v>
      </c>
    </row>
    <row r="770" spans="1:10" ht="13.5" thickTop="1">
      <c r="A770" s="229">
        <v>38264</v>
      </c>
      <c r="B770" s="234">
        <v>19.66</v>
      </c>
      <c r="C770" s="234">
        <v>19.11</v>
      </c>
      <c r="D770" s="234">
        <v>18.670000000000002</v>
      </c>
      <c r="E770" s="246">
        <v>15.05</v>
      </c>
      <c r="F770" s="234">
        <v>15.59</v>
      </c>
      <c r="G770" s="234">
        <f>+(7.7109+7.37+6.97+0.38351*1.12+8.24)/4</f>
        <v>7.6801078</v>
      </c>
      <c r="H770" s="234">
        <v>24.9832</v>
      </c>
      <c r="I770" s="234">
        <v>18.9329</v>
      </c>
      <c r="J770" s="232">
        <f>(69.87/(25/4.19))</f>
        <v>11.710212000000002</v>
      </c>
    </row>
    <row r="771" spans="1:10">
      <c r="A771" s="229">
        <v>38271</v>
      </c>
      <c r="B771" s="234">
        <v>19.71</v>
      </c>
      <c r="C771" s="234">
        <v>19.16</v>
      </c>
      <c r="D771" s="234">
        <v>18.75</v>
      </c>
      <c r="E771" s="246">
        <v>15.22</v>
      </c>
      <c r="F771" s="234">
        <v>15.59</v>
      </c>
      <c r="G771" s="234">
        <f>+(7.37+7.04476+0.38351*1.12+8.89)/3</f>
        <v>7.9114304000000004</v>
      </c>
      <c r="H771" s="234">
        <v>24.9832</v>
      </c>
      <c r="I771" s="234">
        <v>18.9329</v>
      </c>
      <c r="J771" s="235">
        <f>(70.13/(25/4.19))</f>
        <v>11.753788000000002</v>
      </c>
    </row>
    <row r="772" spans="1:10">
      <c r="A772" s="229">
        <v>38278</v>
      </c>
      <c r="B772" s="234">
        <v>20.53</v>
      </c>
      <c r="C772" s="234">
        <v>19.66</v>
      </c>
      <c r="D772" s="234">
        <v>19.18</v>
      </c>
      <c r="E772" s="234">
        <v>16.2</v>
      </c>
      <c r="F772" s="234">
        <v>15.79</v>
      </c>
      <c r="G772" s="234">
        <f>+(7.37+7.43912+0.38351*1.12+7.6094+8.89)/4</f>
        <v>7.9345128000000003</v>
      </c>
      <c r="H772" s="234">
        <v>25.4312</v>
      </c>
      <c r="I772" s="234">
        <v>19.258600000000001</v>
      </c>
      <c r="J772" s="235">
        <f>(71.12/(25/4.19))</f>
        <v>11.919712000000002</v>
      </c>
    </row>
    <row r="773" spans="1:10" ht="13.5" thickBot="1">
      <c r="A773" s="229">
        <v>38285</v>
      </c>
      <c r="B773" s="234">
        <v>20.64</v>
      </c>
      <c r="C773" s="234">
        <v>19.98</v>
      </c>
      <c r="D773" s="234">
        <v>19.510000000000002</v>
      </c>
      <c r="E773" s="234">
        <v>16.75</v>
      </c>
      <c r="F773" s="234">
        <v>15.79</v>
      </c>
      <c r="G773" s="234">
        <f>+(7.37+7.43912+0.38351*1.12+7.6094+8.89)/4</f>
        <v>7.9345128000000003</v>
      </c>
      <c r="H773" s="234">
        <v>25.4312</v>
      </c>
      <c r="I773" s="234">
        <v>19.258600000000001</v>
      </c>
      <c r="J773" s="235">
        <f>(77.08/(25/4.19))</f>
        <v>12.918608000000003</v>
      </c>
    </row>
    <row r="774" spans="1:10" ht="14.25" thickTop="1" thickBot="1">
      <c r="A774" s="239" t="s">
        <v>7</v>
      </c>
      <c r="B774" s="240">
        <f t="shared" ref="B774:J774" si="56">AVERAGE(B770:B773)</f>
        <v>20.135000000000002</v>
      </c>
      <c r="C774" s="240">
        <f t="shared" si="56"/>
        <v>19.477499999999999</v>
      </c>
      <c r="D774" s="240">
        <f t="shared" si="56"/>
        <v>19.0275</v>
      </c>
      <c r="E774" s="240">
        <f t="shared" si="56"/>
        <v>15.805</v>
      </c>
      <c r="F774" s="240">
        <f t="shared" si="56"/>
        <v>15.69</v>
      </c>
      <c r="G774" s="240">
        <f t="shared" si="56"/>
        <v>7.8651409500000007</v>
      </c>
      <c r="H774" s="240">
        <f t="shared" si="56"/>
        <v>25.2072</v>
      </c>
      <c r="I774" s="240">
        <f t="shared" si="56"/>
        <v>19.095750000000002</v>
      </c>
      <c r="J774" s="240">
        <f t="shared" si="56"/>
        <v>12.075580000000002</v>
      </c>
    </row>
    <row r="775" spans="1:10" ht="14.25" thickTop="1" thickBot="1">
      <c r="A775" s="243"/>
      <c r="B775" s="243"/>
      <c r="C775" s="243"/>
      <c r="D775" s="243"/>
      <c r="E775" s="243"/>
      <c r="F775" s="243"/>
      <c r="G775" s="243"/>
      <c r="H775" s="244"/>
      <c r="I775" s="243"/>
    </row>
    <row r="776" spans="1:10" ht="13.5" thickTop="1">
      <c r="A776" s="1682" t="s">
        <v>1</v>
      </c>
      <c r="B776" s="221" t="s">
        <v>139</v>
      </c>
      <c r="C776" s="221" t="s">
        <v>140</v>
      </c>
      <c r="D776" s="221" t="s">
        <v>5</v>
      </c>
      <c r="E776" s="245" t="s">
        <v>6</v>
      </c>
      <c r="F776" s="225" t="s">
        <v>57</v>
      </c>
      <c r="G776" s="224" t="s">
        <v>58</v>
      </c>
      <c r="H776" s="225" t="s">
        <v>149</v>
      </c>
      <c r="I776" s="224" t="s">
        <v>145</v>
      </c>
      <c r="J776" s="225" t="s">
        <v>61</v>
      </c>
    </row>
    <row r="777" spans="1:10" ht="13.5" thickBot="1">
      <c r="A777" s="1683"/>
      <c r="B777" s="226" t="s">
        <v>146</v>
      </c>
      <c r="C777" s="226" t="s">
        <v>146</v>
      </c>
      <c r="D777" s="226" t="s">
        <v>146</v>
      </c>
      <c r="E777" s="228" t="s">
        <v>146</v>
      </c>
      <c r="F777" s="226" t="s">
        <v>146</v>
      </c>
      <c r="G777" s="228" t="s">
        <v>146</v>
      </c>
      <c r="H777" s="226" t="s">
        <v>146</v>
      </c>
      <c r="I777" s="228" t="s">
        <v>146</v>
      </c>
      <c r="J777" s="226" t="s">
        <v>146</v>
      </c>
    </row>
    <row r="778" spans="1:10" ht="13.5" thickTop="1">
      <c r="A778" s="229">
        <v>38292</v>
      </c>
      <c r="B778" s="234">
        <v>21.11</v>
      </c>
      <c r="C778" s="234">
        <v>20.29</v>
      </c>
      <c r="D778" s="234">
        <v>19.809999999999999</v>
      </c>
      <c r="E778" s="246">
        <v>17.13</v>
      </c>
      <c r="F778" s="234">
        <v>16.79</v>
      </c>
      <c r="G778" s="234">
        <v>7.56</v>
      </c>
      <c r="H778" s="234">
        <v>25.14</v>
      </c>
      <c r="I778" s="234">
        <f>+(19.4404+17.23)/2</f>
        <v>18.3352</v>
      </c>
      <c r="J778" s="232">
        <f>(77.63/(25/4.19))</f>
        <v>13.010788000000002</v>
      </c>
    </row>
    <row r="779" spans="1:10">
      <c r="A779" s="229">
        <v>38299</v>
      </c>
      <c r="B779" s="234">
        <v>21.03</v>
      </c>
      <c r="C779" s="234">
        <v>20.3</v>
      </c>
      <c r="D779" s="234">
        <v>19.82</v>
      </c>
      <c r="E779" s="246">
        <v>17.190000000000001</v>
      </c>
      <c r="F779" s="234">
        <v>17.600000000000001</v>
      </c>
      <c r="G779" s="234">
        <v>7.56</v>
      </c>
      <c r="H779" s="234">
        <v>25.14</v>
      </c>
      <c r="I779" s="234">
        <f>+(19.4404+18)/2</f>
        <v>18.720199999999998</v>
      </c>
      <c r="J779" s="235">
        <f>(77.49/(25/4.19))</f>
        <v>12.987324000000001</v>
      </c>
    </row>
    <row r="780" spans="1:10">
      <c r="A780" s="229">
        <v>38306</v>
      </c>
      <c r="B780" s="234">
        <v>21.02</v>
      </c>
      <c r="C780" s="234">
        <v>20.329999999999998</v>
      </c>
      <c r="D780" s="234">
        <v>19.84</v>
      </c>
      <c r="E780" s="234">
        <v>17.16</v>
      </c>
      <c r="F780" s="234">
        <v>17.420000000000002</v>
      </c>
      <c r="G780" s="234">
        <v>7.67</v>
      </c>
      <c r="H780" s="234">
        <v>25.14</v>
      </c>
      <c r="I780" s="234">
        <f>+(19.4404+18)/2</f>
        <v>18.720199999999998</v>
      </c>
      <c r="J780" s="235">
        <f>(77.59/(25/4.19))</f>
        <v>13.004084000000002</v>
      </c>
    </row>
    <row r="781" spans="1:10">
      <c r="A781" s="229">
        <v>38313</v>
      </c>
      <c r="B781" s="234">
        <v>20.98</v>
      </c>
      <c r="C781" s="234">
        <v>20.32</v>
      </c>
      <c r="D781" s="234">
        <v>19.829999999999998</v>
      </c>
      <c r="E781" s="234">
        <v>17.149999999999999</v>
      </c>
      <c r="F781" s="234">
        <v>16.86</v>
      </c>
      <c r="G781" s="234">
        <v>7.61</v>
      </c>
      <c r="H781" s="234">
        <v>24.89</v>
      </c>
      <c r="I781" s="234">
        <f>+(17.78+18)/2</f>
        <v>17.89</v>
      </c>
      <c r="J781" s="235">
        <f>(77.63/(25/4.19))</f>
        <v>13.010788000000002</v>
      </c>
    </row>
    <row r="782" spans="1:10" ht="13.5" thickBot="1">
      <c r="A782" s="229">
        <v>38320</v>
      </c>
      <c r="B782" s="234">
        <v>20.99</v>
      </c>
      <c r="C782" s="234">
        <v>20.29</v>
      </c>
      <c r="D782" s="234">
        <v>19.809999999999999</v>
      </c>
      <c r="E782" s="234">
        <v>17.13</v>
      </c>
      <c r="F782" s="234">
        <v>16.91</v>
      </c>
      <c r="G782" s="234">
        <v>7.61</v>
      </c>
      <c r="H782" s="234">
        <v>24.89</v>
      </c>
      <c r="I782" s="234">
        <v>24.89</v>
      </c>
      <c r="J782" s="235">
        <f>(77.53/(25/4.19))</f>
        <v>12.994028000000002</v>
      </c>
    </row>
    <row r="783" spans="1:10" ht="14.25" thickTop="1" thickBot="1">
      <c r="A783" s="239" t="s">
        <v>7</v>
      </c>
      <c r="B783" s="240">
        <f t="shared" ref="B783:J783" si="57">AVERAGE(B778:B782)</f>
        <v>21.026</v>
      </c>
      <c r="C783" s="240">
        <f t="shared" si="57"/>
        <v>20.306000000000001</v>
      </c>
      <c r="D783" s="240">
        <f t="shared" si="57"/>
        <v>19.821999999999999</v>
      </c>
      <c r="E783" s="240">
        <f t="shared" si="57"/>
        <v>17.151999999999997</v>
      </c>
      <c r="F783" s="240">
        <f t="shared" si="57"/>
        <v>17.116</v>
      </c>
      <c r="G783" s="240">
        <f t="shared" si="57"/>
        <v>7.6019999999999994</v>
      </c>
      <c r="H783" s="240">
        <f t="shared" si="57"/>
        <v>25.04</v>
      </c>
      <c r="I783" s="240">
        <f t="shared" si="57"/>
        <v>19.711120000000001</v>
      </c>
      <c r="J783" s="240">
        <f t="shared" si="57"/>
        <v>13.0014024</v>
      </c>
    </row>
    <row r="784" spans="1:10" ht="14.25" thickTop="1" thickBot="1">
      <c r="A784" s="243"/>
      <c r="B784" s="243"/>
      <c r="C784" s="243"/>
      <c r="D784" s="243"/>
      <c r="E784" s="243"/>
      <c r="F784" s="243"/>
      <c r="G784" s="243"/>
      <c r="H784" s="244"/>
      <c r="I784" s="243"/>
    </row>
    <row r="785" spans="1:10" ht="13.5" thickTop="1">
      <c r="A785" s="1682" t="s">
        <v>1</v>
      </c>
      <c r="B785" s="221" t="s">
        <v>139</v>
      </c>
      <c r="C785" s="221" t="s">
        <v>140</v>
      </c>
      <c r="D785" s="221" t="s">
        <v>5</v>
      </c>
      <c r="E785" s="245" t="s">
        <v>6</v>
      </c>
      <c r="F785" s="225" t="s">
        <v>57</v>
      </c>
      <c r="G785" s="224" t="s">
        <v>58</v>
      </c>
      <c r="H785" s="225" t="s">
        <v>149</v>
      </c>
      <c r="I785" s="224" t="s">
        <v>145</v>
      </c>
      <c r="J785" s="225" t="s">
        <v>61</v>
      </c>
    </row>
    <row r="786" spans="1:10" ht="13.5" thickBot="1">
      <c r="A786" s="1683"/>
      <c r="B786" s="226" t="s">
        <v>146</v>
      </c>
      <c r="C786" s="226" t="s">
        <v>146</v>
      </c>
      <c r="D786" s="226" t="s">
        <v>146</v>
      </c>
      <c r="E786" s="228" t="s">
        <v>146</v>
      </c>
      <c r="F786" s="226" t="s">
        <v>146</v>
      </c>
      <c r="G786" s="228" t="s">
        <v>146</v>
      </c>
      <c r="H786" s="226" t="s">
        <v>146</v>
      </c>
      <c r="I786" s="228" t="s">
        <v>146</v>
      </c>
      <c r="J786" s="226" t="s">
        <v>146</v>
      </c>
    </row>
    <row r="787" spans="1:10" ht="13.5" thickTop="1">
      <c r="A787" s="229">
        <v>38327</v>
      </c>
      <c r="B787" s="234">
        <v>20.99</v>
      </c>
      <c r="C787" s="234">
        <v>20.29</v>
      </c>
      <c r="D787" s="234">
        <v>19.8</v>
      </c>
      <c r="E787" s="246">
        <v>17.13</v>
      </c>
      <c r="F787" s="234">
        <v>15.93</v>
      </c>
      <c r="G787" s="234">
        <v>7.28</v>
      </c>
      <c r="H787" s="234">
        <v>24.92</v>
      </c>
      <c r="I787" s="234">
        <f>+(17.79+16.9)/2</f>
        <v>17.344999999999999</v>
      </c>
      <c r="J787" s="232">
        <f>(77.52/(25/4.19))</f>
        <v>12.992352000000002</v>
      </c>
    </row>
    <row r="788" spans="1:10">
      <c r="A788" s="229">
        <v>38334</v>
      </c>
      <c r="B788" s="234">
        <v>20.91</v>
      </c>
      <c r="C788" s="234">
        <v>20.190000000000001</v>
      </c>
      <c r="D788" s="234">
        <v>19.71</v>
      </c>
      <c r="E788" s="246">
        <v>17.02</v>
      </c>
      <c r="F788" s="234">
        <v>15.93</v>
      </c>
      <c r="G788" s="234">
        <v>7.22</v>
      </c>
      <c r="H788" s="234">
        <v>24.92</v>
      </c>
      <c r="I788" s="234">
        <f>+(17.79+16.9)/2</f>
        <v>17.344999999999999</v>
      </c>
      <c r="J788" s="235">
        <f>(77.55/(25/4.19))</f>
        <v>12.997380000000001</v>
      </c>
    </row>
    <row r="789" spans="1:10">
      <c r="A789" s="229">
        <v>38341</v>
      </c>
      <c r="B789" s="234">
        <v>20.69</v>
      </c>
      <c r="C789" s="234">
        <v>19.98</v>
      </c>
      <c r="D789" s="234">
        <v>19.510000000000002</v>
      </c>
      <c r="E789" s="234">
        <v>16.82</v>
      </c>
      <c r="F789" s="234">
        <v>16.29</v>
      </c>
      <c r="G789" s="234">
        <v>6.97</v>
      </c>
      <c r="H789" s="234">
        <v>23.068000000000001</v>
      </c>
      <c r="I789" s="234">
        <f>+(16.03+18.3)/2</f>
        <v>17.164999999999999</v>
      </c>
      <c r="J789" s="235">
        <f>(77.59/(25/4.19))</f>
        <v>13.004084000000002</v>
      </c>
    </row>
    <row r="790" spans="1:10" ht="13.5" thickBot="1">
      <c r="A790" s="229">
        <v>38348</v>
      </c>
      <c r="B790" s="234">
        <v>20.23</v>
      </c>
      <c r="C790" s="234">
        <v>19.66</v>
      </c>
      <c r="D790" s="234">
        <v>19.12</v>
      </c>
      <c r="E790" s="234">
        <v>16.54</v>
      </c>
      <c r="F790" s="234">
        <v>16.05</v>
      </c>
      <c r="G790" s="234">
        <v>6.79</v>
      </c>
      <c r="H790" s="234">
        <v>23.068000000000001</v>
      </c>
      <c r="I790" s="234">
        <f>+(16.03+18.3)/2</f>
        <v>17.164999999999999</v>
      </c>
      <c r="J790" s="235">
        <f>(77.62/(25/4.19))</f>
        <v>13.009112000000004</v>
      </c>
    </row>
    <row r="791" spans="1:10" ht="14.25" thickTop="1" thickBot="1">
      <c r="A791" s="239" t="s">
        <v>7</v>
      </c>
      <c r="B791" s="240">
        <f t="shared" ref="B791:J791" si="58">AVERAGE(B787:B790)</f>
        <v>20.705000000000002</v>
      </c>
      <c r="C791" s="240">
        <f t="shared" si="58"/>
        <v>20.03</v>
      </c>
      <c r="D791" s="240">
        <f t="shared" si="58"/>
        <v>19.535000000000004</v>
      </c>
      <c r="E791" s="240">
        <f t="shared" si="58"/>
        <v>16.877499999999998</v>
      </c>
      <c r="F791" s="240">
        <f t="shared" si="58"/>
        <v>16.05</v>
      </c>
      <c r="G791" s="240">
        <f t="shared" si="58"/>
        <v>7.0649999999999995</v>
      </c>
      <c r="H791" s="240">
        <f t="shared" si="58"/>
        <v>23.994</v>
      </c>
      <c r="I791" s="240">
        <f t="shared" si="58"/>
        <v>17.254999999999999</v>
      </c>
      <c r="J791" s="240">
        <f t="shared" si="58"/>
        <v>13.000732000000003</v>
      </c>
    </row>
    <row r="792" spans="1:10" ht="13.5" thickTop="1">
      <c r="A792" s="243"/>
      <c r="B792" s="243"/>
      <c r="C792" s="243"/>
      <c r="D792" s="243"/>
      <c r="E792" s="243"/>
      <c r="F792" s="243"/>
      <c r="G792" s="243"/>
      <c r="H792" s="244"/>
      <c r="I792" s="243"/>
    </row>
    <row r="793" spans="1:10">
      <c r="A793" s="1681" t="s">
        <v>1</v>
      </c>
      <c r="B793" s="248" t="s">
        <v>139</v>
      </c>
      <c r="C793" s="248" t="s">
        <v>150</v>
      </c>
      <c r="D793" s="248" t="s">
        <v>5</v>
      </c>
      <c r="E793" s="248" t="s">
        <v>6</v>
      </c>
      <c r="F793" s="249" t="s">
        <v>57</v>
      </c>
      <c r="G793" s="249" t="s">
        <v>58</v>
      </c>
      <c r="H793" s="249" t="s">
        <v>149</v>
      </c>
      <c r="I793" s="249" t="s">
        <v>145</v>
      </c>
      <c r="J793" s="249" t="s">
        <v>61</v>
      </c>
    </row>
    <row r="794" spans="1:10">
      <c r="A794" s="1681"/>
      <c r="B794" s="250" t="s">
        <v>146</v>
      </c>
      <c r="C794" s="250" t="s">
        <v>146</v>
      </c>
      <c r="D794" s="250" t="s">
        <v>146</v>
      </c>
      <c r="E794" s="250" t="s">
        <v>146</v>
      </c>
      <c r="F794" s="250" t="s">
        <v>146</v>
      </c>
      <c r="G794" s="250" t="s">
        <v>146</v>
      </c>
      <c r="H794" s="250" t="s">
        <v>146</v>
      </c>
      <c r="I794" s="250" t="s">
        <v>146</v>
      </c>
      <c r="J794" s="250" t="s">
        <v>146</v>
      </c>
    </row>
    <row r="795" spans="1:10">
      <c r="A795" s="251">
        <v>38355</v>
      </c>
      <c r="B795" s="252">
        <v>20.079999999999998</v>
      </c>
      <c r="C795" s="252">
        <v>19.45</v>
      </c>
      <c r="D795" s="252">
        <v>18.88</v>
      </c>
      <c r="E795" s="253">
        <v>16.34</v>
      </c>
      <c r="F795" s="252">
        <v>15.64</v>
      </c>
      <c r="G795" s="252">
        <v>6.97</v>
      </c>
      <c r="H795" s="252">
        <v>22.6</v>
      </c>
      <c r="I795" s="252">
        <f>+(18.04+17.65)/2</f>
        <v>17.844999999999999</v>
      </c>
      <c r="J795" s="252">
        <f>(77.73/(25/4.19))</f>
        <v>13.027548000000003</v>
      </c>
    </row>
    <row r="796" spans="1:10">
      <c r="A796" s="251">
        <v>38362</v>
      </c>
      <c r="B796" s="252">
        <v>20.010000000000002</v>
      </c>
      <c r="C796" s="252">
        <v>19.32</v>
      </c>
      <c r="D796" s="252">
        <v>18.760000000000002</v>
      </c>
      <c r="E796" s="253">
        <v>16.22</v>
      </c>
      <c r="F796" s="252">
        <v>16.14</v>
      </c>
      <c r="G796" s="252">
        <v>6.97</v>
      </c>
      <c r="H796" s="252">
        <v>22.6</v>
      </c>
      <c r="I796" s="252">
        <f>+(18.04+17.65)/2</f>
        <v>17.844999999999999</v>
      </c>
      <c r="J796" s="252">
        <f>(77.82/(25/4.19))</f>
        <v>13.042632000000001</v>
      </c>
    </row>
    <row r="797" spans="1:10">
      <c r="A797" s="251">
        <v>38369</v>
      </c>
      <c r="B797" s="252">
        <v>19.78</v>
      </c>
      <c r="C797" s="252">
        <v>19.010000000000002</v>
      </c>
      <c r="D797" s="252">
        <v>18.43</v>
      </c>
      <c r="E797" s="252">
        <v>15.83</v>
      </c>
      <c r="F797" s="252">
        <v>16.239999999999998</v>
      </c>
      <c r="G797" s="252">
        <v>6.83</v>
      </c>
      <c r="H797" s="252">
        <v>25.177900000000001</v>
      </c>
      <c r="I797" s="252">
        <f>+(18.34+17.65)/2</f>
        <v>17.994999999999997</v>
      </c>
      <c r="J797" s="252">
        <f>(77.73/(25/4.19))</f>
        <v>13.027548000000003</v>
      </c>
    </row>
    <row r="798" spans="1:10">
      <c r="A798" s="251">
        <v>38376</v>
      </c>
      <c r="B798" s="252">
        <v>19.63</v>
      </c>
      <c r="C798" s="252">
        <v>18.87</v>
      </c>
      <c r="D798" s="252">
        <v>18.3</v>
      </c>
      <c r="E798" s="252">
        <v>15.66</v>
      </c>
      <c r="F798" s="252">
        <v>15.74</v>
      </c>
      <c r="G798" s="252">
        <v>6.84</v>
      </c>
      <c r="H798" s="252">
        <v>25.177900000000001</v>
      </c>
      <c r="I798" s="252">
        <f>+(18.34+17.65)/2</f>
        <v>17.994999999999997</v>
      </c>
      <c r="J798" s="252">
        <f>(74.72/(25/4.19))</f>
        <v>12.523072000000001</v>
      </c>
    </row>
    <row r="799" spans="1:10">
      <c r="A799" s="251">
        <v>38383</v>
      </c>
      <c r="B799" s="252">
        <v>19.5</v>
      </c>
      <c r="C799" s="252">
        <v>18.79</v>
      </c>
      <c r="D799" s="252">
        <v>18.23</v>
      </c>
      <c r="E799" s="252">
        <v>15.59</v>
      </c>
      <c r="F799" s="252">
        <v>15.74</v>
      </c>
      <c r="G799" s="252">
        <v>6.96</v>
      </c>
      <c r="H799" s="252">
        <v>25.177900000000001</v>
      </c>
      <c r="I799" s="252">
        <f>+(18.34+17.65)/2</f>
        <v>17.994999999999997</v>
      </c>
      <c r="J799" s="252">
        <f>(74.06/(25/4.19))</f>
        <v>12.412456000000002</v>
      </c>
    </row>
    <row r="800" spans="1:10">
      <c r="A800" s="254" t="s">
        <v>7</v>
      </c>
      <c r="B800" s="255">
        <f t="shared" ref="B800:J800" si="59">AVERAGE(B795:B799)</f>
        <v>19.8</v>
      </c>
      <c r="C800" s="255">
        <f t="shared" si="59"/>
        <v>19.088000000000001</v>
      </c>
      <c r="D800" s="255">
        <f t="shared" si="59"/>
        <v>18.520000000000003</v>
      </c>
      <c r="E800" s="255">
        <f t="shared" si="59"/>
        <v>15.928000000000001</v>
      </c>
      <c r="F800" s="255">
        <f t="shared" si="59"/>
        <v>15.9</v>
      </c>
      <c r="G800" s="255">
        <f t="shared" si="59"/>
        <v>6.9139999999999997</v>
      </c>
      <c r="H800" s="255">
        <f t="shared" si="59"/>
        <v>24.146740000000001</v>
      </c>
      <c r="I800" s="255">
        <f t="shared" si="59"/>
        <v>17.934999999999995</v>
      </c>
      <c r="J800" s="255">
        <f t="shared" si="59"/>
        <v>12.806651200000001</v>
      </c>
    </row>
    <row r="801" spans="1:10">
      <c r="A801" s="243"/>
      <c r="B801" s="243"/>
      <c r="C801" s="243"/>
      <c r="D801" s="243"/>
      <c r="E801" s="243"/>
      <c r="F801" s="243"/>
      <c r="G801" s="243"/>
      <c r="H801" s="244"/>
      <c r="I801" s="243"/>
    </row>
    <row r="802" spans="1:10">
      <c r="A802" s="1681" t="s">
        <v>1</v>
      </c>
      <c r="B802" s="248" t="s">
        <v>139</v>
      </c>
      <c r="C802" s="248" t="s">
        <v>140</v>
      </c>
      <c r="D802" s="248" t="s">
        <v>5</v>
      </c>
      <c r="E802" s="248" t="s">
        <v>6</v>
      </c>
      <c r="F802" s="249" t="s">
        <v>57</v>
      </c>
      <c r="G802" s="249" t="s">
        <v>58</v>
      </c>
      <c r="H802" s="249" t="s">
        <v>149</v>
      </c>
      <c r="I802" s="249" t="s">
        <v>145</v>
      </c>
      <c r="J802" s="249" t="s">
        <v>61</v>
      </c>
    </row>
    <row r="803" spans="1:10">
      <c r="A803" s="1681"/>
      <c r="B803" s="250" t="s">
        <v>146</v>
      </c>
      <c r="C803" s="250" t="s">
        <v>146</v>
      </c>
      <c r="D803" s="250" t="s">
        <v>146</v>
      </c>
      <c r="E803" s="250" t="s">
        <v>146</v>
      </c>
      <c r="F803" s="250" t="s">
        <v>146</v>
      </c>
      <c r="G803" s="250" t="s">
        <v>146</v>
      </c>
      <c r="H803" s="250" t="s">
        <v>146</v>
      </c>
      <c r="I803" s="250" t="s">
        <v>146</v>
      </c>
      <c r="J803" s="250" t="s">
        <v>146</v>
      </c>
    </row>
    <row r="804" spans="1:10">
      <c r="A804" s="256">
        <v>38390</v>
      </c>
      <c r="B804" s="257">
        <v>19.37</v>
      </c>
      <c r="C804" s="257">
        <v>18.72</v>
      </c>
      <c r="D804" s="257">
        <v>18.18</v>
      </c>
      <c r="E804" s="258">
        <v>15.46</v>
      </c>
      <c r="F804" s="257">
        <v>15.74</v>
      </c>
      <c r="G804" s="257">
        <f>+(7.3438+6.1+0.38351*1.12+7.4558+7.4)/4</f>
        <v>7.1822827999999994</v>
      </c>
      <c r="H804" s="257">
        <v>25.177900000000001</v>
      </c>
      <c r="I804" s="257">
        <f>(19.21+17.65)/2</f>
        <v>18.43</v>
      </c>
      <c r="J804" s="257">
        <f>(74.06/(25/4.19))</f>
        <v>12.412456000000002</v>
      </c>
    </row>
    <row r="805" spans="1:10">
      <c r="A805" s="256">
        <v>38397</v>
      </c>
      <c r="B805" s="257">
        <v>19.239999999999998</v>
      </c>
      <c r="C805" s="257">
        <v>18.600000000000001</v>
      </c>
      <c r="D805" s="257">
        <v>18.07</v>
      </c>
      <c r="E805" s="258">
        <v>15.39</v>
      </c>
      <c r="F805" s="257">
        <v>15.64</v>
      </c>
      <c r="G805" s="257">
        <f>+(7.5342+7.03+7.48+6.35+0.38351*1.12)/4</f>
        <v>7.2059327999999994</v>
      </c>
      <c r="H805" s="257">
        <v>25.98</v>
      </c>
      <c r="I805" s="257">
        <f>(19.21+17.65)/2</f>
        <v>18.43</v>
      </c>
      <c r="J805" s="257">
        <f>(72.75/(25/4.19))</f>
        <v>12.192900000000002</v>
      </c>
    </row>
    <row r="806" spans="1:10">
      <c r="A806" s="256">
        <v>38404</v>
      </c>
      <c r="B806" s="257">
        <v>19.13</v>
      </c>
      <c r="C806" s="257">
        <v>18.52</v>
      </c>
      <c r="D806" s="257">
        <v>18</v>
      </c>
      <c r="E806" s="257">
        <v>15.31</v>
      </c>
      <c r="F806" s="257">
        <v>15.64</v>
      </c>
      <c r="G806" s="257">
        <f>+(7.5342+7.03+7.48+6.35+0.38351*1.12)/4</f>
        <v>7.2059327999999994</v>
      </c>
      <c r="H806" s="257">
        <v>23.62</v>
      </c>
      <c r="I806" s="252">
        <v>17.649999999999999</v>
      </c>
      <c r="J806" s="257">
        <f>(70.32/(25/4.19))</f>
        <v>11.785632000000001</v>
      </c>
    </row>
    <row r="807" spans="1:10">
      <c r="A807" s="256">
        <v>38411</v>
      </c>
      <c r="B807" s="257">
        <v>19.27</v>
      </c>
      <c r="C807" s="257">
        <v>18.559999999999999</v>
      </c>
      <c r="D807" s="257">
        <v>18.04</v>
      </c>
      <c r="E807" s="257">
        <v>15.22</v>
      </c>
      <c r="F807" s="257">
        <v>15.24</v>
      </c>
      <c r="G807" s="257">
        <f>+(7.5342+7.03+7.48+6.35+0.38351*1.12)/4</f>
        <v>7.2059327999999994</v>
      </c>
      <c r="H807" s="257">
        <v>23.62</v>
      </c>
      <c r="I807" s="252">
        <v>17.649999999999999</v>
      </c>
      <c r="J807" s="257">
        <f>(70.4/(25/4.19))</f>
        <v>11.799040000000003</v>
      </c>
    </row>
    <row r="808" spans="1:10">
      <c r="A808" s="254" t="s">
        <v>7</v>
      </c>
      <c r="B808" s="255">
        <f t="shared" ref="B808:J808" si="60">AVERAGE(B804:B807)</f>
        <v>19.252499999999998</v>
      </c>
      <c r="C808" s="255">
        <f t="shared" si="60"/>
        <v>18.600000000000001</v>
      </c>
      <c r="D808" s="255">
        <f t="shared" si="60"/>
        <v>18.072499999999998</v>
      </c>
      <c r="E808" s="255">
        <f t="shared" si="60"/>
        <v>15.345000000000001</v>
      </c>
      <c r="F808" s="255">
        <f t="shared" si="60"/>
        <v>15.565000000000001</v>
      </c>
      <c r="G808" s="255">
        <f t="shared" si="60"/>
        <v>7.2000202999999994</v>
      </c>
      <c r="H808" s="255">
        <f t="shared" si="60"/>
        <v>24.599475000000002</v>
      </c>
      <c r="I808" s="255">
        <f t="shared" si="60"/>
        <v>18.04</v>
      </c>
      <c r="J808" s="255">
        <f t="shared" si="60"/>
        <v>12.047507000000003</v>
      </c>
    </row>
    <row r="809" spans="1:10">
      <c r="A809" s="243"/>
      <c r="B809" s="243"/>
      <c r="C809" s="243"/>
      <c r="D809" s="243"/>
      <c r="E809" s="243"/>
      <c r="F809" s="243"/>
      <c r="G809" s="243"/>
      <c r="H809" s="244"/>
      <c r="I809" s="243"/>
    </row>
    <row r="810" spans="1:10">
      <c r="A810" s="1681" t="s">
        <v>1</v>
      </c>
      <c r="B810" s="248" t="s">
        <v>139</v>
      </c>
      <c r="C810" s="248" t="s">
        <v>140</v>
      </c>
      <c r="D810" s="248" t="s">
        <v>5</v>
      </c>
      <c r="E810" s="248" t="s">
        <v>6</v>
      </c>
      <c r="F810" s="249" t="s">
        <v>57</v>
      </c>
      <c r="G810" s="249" t="s">
        <v>58</v>
      </c>
      <c r="H810" s="249" t="s">
        <v>149</v>
      </c>
      <c r="I810" s="249" t="s">
        <v>145</v>
      </c>
      <c r="J810" s="249" t="s">
        <v>61</v>
      </c>
    </row>
    <row r="811" spans="1:10">
      <c r="A811" s="1681"/>
      <c r="B811" s="250" t="s">
        <v>146</v>
      </c>
      <c r="C811" s="250" t="s">
        <v>146</v>
      </c>
      <c r="D811" s="250" t="s">
        <v>146</v>
      </c>
      <c r="E811" s="250" t="s">
        <v>146</v>
      </c>
      <c r="F811" s="250" t="s">
        <v>146</v>
      </c>
      <c r="G811" s="250" t="s">
        <v>146</v>
      </c>
      <c r="H811" s="250" t="s">
        <v>146</v>
      </c>
      <c r="I811" s="250" t="s">
        <v>146</v>
      </c>
      <c r="J811" s="250" t="s">
        <v>146</v>
      </c>
    </row>
    <row r="812" spans="1:10">
      <c r="A812" s="256">
        <v>38418</v>
      </c>
      <c r="B812" s="257">
        <v>19.43</v>
      </c>
      <c r="C812" s="257">
        <v>18.75</v>
      </c>
      <c r="D812" s="257">
        <v>18.22</v>
      </c>
      <c r="E812" s="258">
        <v>15.33</v>
      </c>
      <c r="F812" s="257">
        <v>15.35</v>
      </c>
      <c r="G812" s="257">
        <f>+(7.5342+7.37+7.48)/3</f>
        <v>7.4614000000000003</v>
      </c>
      <c r="H812" s="257">
        <v>24.06</v>
      </c>
      <c r="I812" s="257">
        <v>17.649999999999999</v>
      </c>
      <c r="J812" s="257">
        <f>(70.23/(25/4.19))</f>
        <v>11.770548000000003</v>
      </c>
    </row>
    <row r="813" spans="1:10">
      <c r="A813" s="256">
        <v>38427</v>
      </c>
      <c r="B813" s="257">
        <v>20.56</v>
      </c>
      <c r="C813" s="257">
        <v>19.78</v>
      </c>
      <c r="D813" s="257">
        <v>19.260000000000002</v>
      </c>
      <c r="E813" s="258">
        <v>16.21</v>
      </c>
      <c r="F813" s="257">
        <v>17.399999999999999</v>
      </c>
      <c r="G813" s="257">
        <f>+(7.796+7.37+7.746+6.95+0.38351*1.12)/4</f>
        <v>7.5728827999999995</v>
      </c>
      <c r="H813" s="257">
        <v>24.06</v>
      </c>
      <c r="I813" s="257">
        <v>18.600000000000001</v>
      </c>
      <c r="J813" s="257">
        <f>(70.01/(25/4.19))</f>
        <v>11.733676000000003</v>
      </c>
    </row>
    <row r="814" spans="1:10">
      <c r="A814" s="256">
        <v>38433</v>
      </c>
      <c r="B814" s="257">
        <v>20.88</v>
      </c>
      <c r="C814" s="257">
        <v>20.14</v>
      </c>
      <c r="D814" s="257">
        <v>19.63</v>
      </c>
      <c r="E814" s="257">
        <v>16.61</v>
      </c>
      <c r="F814" s="257">
        <v>17.399999999999999</v>
      </c>
      <c r="G814" s="257">
        <f>+(7.796+7.37+7.746+6.95+0.38351*1.12)/4</f>
        <v>7.5728827999999995</v>
      </c>
      <c r="H814" s="257">
        <v>25.6</v>
      </c>
      <c r="I814" s="257">
        <v>18.600000000000001</v>
      </c>
      <c r="J814" s="257">
        <f>(70.11/(25/4.19))</f>
        <v>11.750436000000002</v>
      </c>
    </row>
    <row r="815" spans="1:10">
      <c r="A815" s="256">
        <v>38441</v>
      </c>
      <c r="B815" s="257">
        <v>20.95</v>
      </c>
      <c r="C815" s="257">
        <v>20.38</v>
      </c>
      <c r="D815" s="257">
        <v>19.87</v>
      </c>
      <c r="E815" s="257">
        <v>16.850000000000001</v>
      </c>
      <c r="F815" s="257">
        <v>17.5</v>
      </c>
      <c r="G815" s="257">
        <f>+(7.796+7.37+7.746+7.2+0.38351*1.12)/4</f>
        <v>7.6353827999999995</v>
      </c>
      <c r="H815" s="257">
        <v>25.6</v>
      </c>
      <c r="I815" s="257">
        <v>20.309999999999999</v>
      </c>
      <c r="J815" s="257">
        <f>(72.95/(25/4.19))</f>
        <v>12.226420000000003</v>
      </c>
    </row>
    <row r="816" spans="1:10">
      <c r="A816" s="254" t="s">
        <v>7</v>
      </c>
      <c r="B816" s="255">
        <f t="shared" ref="B816:J816" si="61">AVERAGE(B812:B815)</f>
        <v>20.454999999999998</v>
      </c>
      <c r="C816" s="255">
        <f t="shared" si="61"/>
        <v>19.762499999999999</v>
      </c>
      <c r="D816" s="255">
        <f t="shared" si="61"/>
        <v>19.245000000000001</v>
      </c>
      <c r="E816" s="255">
        <f t="shared" si="61"/>
        <v>16.25</v>
      </c>
      <c r="F816" s="255">
        <f t="shared" si="61"/>
        <v>16.912500000000001</v>
      </c>
      <c r="G816" s="255">
        <f t="shared" si="61"/>
        <v>7.5606370999999992</v>
      </c>
      <c r="H816" s="255">
        <f t="shared" si="61"/>
        <v>24.83</v>
      </c>
      <c r="I816" s="255">
        <f t="shared" si="61"/>
        <v>18.79</v>
      </c>
      <c r="J816" s="255">
        <f t="shared" si="61"/>
        <v>11.870270000000003</v>
      </c>
    </row>
    <row r="817" spans="1:10">
      <c r="A817" s="243"/>
      <c r="B817" s="243"/>
      <c r="C817" s="243"/>
      <c r="D817" s="243"/>
      <c r="E817" s="243"/>
      <c r="F817" s="243"/>
      <c r="G817" s="243"/>
      <c r="H817" s="244"/>
      <c r="I817" s="243"/>
    </row>
    <row r="818" spans="1:10">
      <c r="A818" s="1681" t="s">
        <v>1</v>
      </c>
      <c r="B818" s="248" t="s">
        <v>139</v>
      </c>
      <c r="C818" s="248" t="s">
        <v>140</v>
      </c>
      <c r="D818" s="248" t="s">
        <v>5</v>
      </c>
      <c r="E818" s="248" t="s">
        <v>6</v>
      </c>
      <c r="F818" s="249" t="s">
        <v>57</v>
      </c>
      <c r="G818" s="249" t="s">
        <v>58</v>
      </c>
      <c r="H818" s="249" t="s">
        <v>149</v>
      </c>
      <c r="I818" s="249" t="s">
        <v>145</v>
      </c>
      <c r="J818" s="249" t="s">
        <v>61</v>
      </c>
    </row>
    <row r="819" spans="1:10">
      <c r="A819" s="1681"/>
      <c r="B819" s="250" t="s">
        <v>146</v>
      </c>
      <c r="C819" s="250" t="s">
        <v>146</v>
      </c>
      <c r="D819" s="250" t="s">
        <v>146</v>
      </c>
      <c r="E819" s="250" t="s">
        <v>146</v>
      </c>
      <c r="F819" s="250" t="s">
        <v>146</v>
      </c>
      <c r="G819" s="250" t="s">
        <v>146</v>
      </c>
      <c r="H819" s="250" t="s">
        <v>146</v>
      </c>
      <c r="I819" s="250" t="s">
        <v>146</v>
      </c>
      <c r="J819" s="250" t="s">
        <v>146</v>
      </c>
    </row>
    <row r="820" spans="1:10">
      <c r="A820" s="256">
        <v>38447</v>
      </c>
      <c r="B820" s="257">
        <v>21.53</v>
      </c>
      <c r="C820" s="257">
        <v>20.85</v>
      </c>
      <c r="D820" s="257">
        <v>20.34</v>
      </c>
      <c r="E820" s="258">
        <v>17.16</v>
      </c>
      <c r="F820" s="257">
        <v>17.600000000000001</v>
      </c>
      <c r="G820" s="257">
        <f>+(7.79+7.88+7.74+7.25+0.38351*1.12)/4</f>
        <v>7.7723827999999999</v>
      </c>
      <c r="H820" s="257">
        <v>25</v>
      </c>
      <c r="I820" s="257">
        <f>+(21.36+18.8)/2</f>
        <v>20.079999999999998</v>
      </c>
      <c r="J820" s="257">
        <f>(72.93/(25/4.19))</f>
        <v>12.223068000000003</v>
      </c>
    </row>
    <row r="821" spans="1:10">
      <c r="A821" s="256">
        <v>38455</v>
      </c>
      <c r="B821" s="257">
        <v>23.03</v>
      </c>
      <c r="C821" s="257">
        <v>22.18</v>
      </c>
      <c r="D821" s="257">
        <v>21.66</v>
      </c>
      <c r="E821" s="258">
        <v>18.190000000000001</v>
      </c>
      <c r="F821" s="257">
        <f>+(F820+F822)/2</f>
        <v>17.925000000000001</v>
      </c>
      <c r="G821" s="257">
        <f>+(7.79+7.88+7.74+7.4+0.38351*1.12)/4</f>
        <v>7.8098828000000005</v>
      </c>
      <c r="H821" s="257">
        <v>25</v>
      </c>
      <c r="I821" s="257">
        <f>+(21.36+19.3)/2</f>
        <v>20.329999999999998</v>
      </c>
      <c r="J821" s="257">
        <f>(73.26/(25/4.19))</f>
        <v>12.278376000000003</v>
      </c>
    </row>
    <row r="822" spans="1:10">
      <c r="A822" s="256">
        <v>38460</v>
      </c>
      <c r="B822" s="257">
        <v>23.08</v>
      </c>
      <c r="C822" s="257">
        <v>22.35</v>
      </c>
      <c r="D822" s="257">
        <v>21.82</v>
      </c>
      <c r="E822" s="257">
        <v>18.32</v>
      </c>
      <c r="F822" s="257">
        <v>18.25</v>
      </c>
      <c r="G822" s="257">
        <f>+(8.29+8.24+7.88+7.4+0.38351*1.12)/4</f>
        <v>8.0598828000000005</v>
      </c>
      <c r="H822" s="257">
        <v>26.91</v>
      </c>
      <c r="I822" s="257">
        <f>+(21.36+19.3)/2</f>
        <v>20.329999999999998</v>
      </c>
      <c r="J822" s="257">
        <f>(73.07/(25/4.19))</f>
        <v>12.246532</v>
      </c>
    </row>
    <row r="823" spans="1:10">
      <c r="A823" s="256">
        <v>38467</v>
      </c>
      <c r="B823" s="257">
        <v>23.14</v>
      </c>
      <c r="C823" s="257">
        <v>22.39</v>
      </c>
      <c r="D823" s="257">
        <v>21.86</v>
      </c>
      <c r="E823" s="257">
        <v>18.36</v>
      </c>
      <c r="F823" s="257">
        <v>18.3</v>
      </c>
      <c r="G823" s="257">
        <f>+(8.59+8.54+7.88+7.4+0.38351*1.12)/4</f>
        <v>8.209882799999999</v>
      </c>
      <c r="H823" s="257">
        <v>26.91</v>
      </c>
      <c r="I823" s="257">
        <f>+(21.36+19.3)/2</f>
        <v>20.329999999999998</v>
      </c>
      <c r="J823" s="257">
        <f>(72.97/(25/4.19))</f>
        <v>12.229772000000002</v>
      </c>
    </row>
    <row r="824" spans="1:10">
      <c r="A824" s="254" t="s">
        <v>7</v>
      </c>
      <c r="B824" s="255">
        <f t="shared" ref="B824:J824" si="62">AVERAGE(B820:B823)</f>
        <v>22.695</v>
      </c>
      <c r="C824" s="255">
        <f t="shared" si="62"/>
        <v>21.942499999999999</v>
      </c>
      <c r="D824" s="255">
        <f t="shared" si="62"/>
        <v>21.42</v>
      </c>
      <c r="E824" s="255">
        <f t="shared" si="62"/>
        <v>18.0075</v>
      </c>
      <c r="F824" s="255">
        <f t="shared" si="62"/>
        <v>18.018750000000001</v>
      </c>
      <c r="G824" s="255">
        <f t="shared" si="62"/>
        <v>7.9630077999999997</v>
      </c>
      <c r="H824" s="255">
        <f t="shared" si="62"/>
        <v>25.954999999999998</v>
      </c>
      <c r="I824" s="255">
        <f t="shared" si="62"/>
        <v>20.267499999999998</v>
      </c>
      <c r="J824" s="255">
        <f t="shared" si="62"/>
        <v>12.244437000000003</v>
      </c>
    </row>
    <row r="826" spans="1:10">
      <c r="A826" s="1681" t="s">
        <v>1</v>
      </c>
      <c r="B826" s="248" t="s">
        <v>139</v>
      </c>
      <c r="C826" s="248" t="s">
        <v>140</v>
      </c>
      <c r="D826" s="248" t="s">
        <v>5</v>
      </c>
      <c r="E826" s="248" t="s">
        <v>6</v>
      </c>
      <c r="F826" s="249" t="s">
        <v>57</v>
      </c>
      <c r="G826" s="249" t="s">
        <v>58</v>
      </c>
      <c r="H826" s="249" t="s">
        <v>149</v>
      </c>
      <c r="I826" s="249" t="s">
        <v>145</v>
      </c>
      <c r="J826" s="249" t="s">
        <v>61</v>
      </c>
    </row>
    <row r="827" spans="1:10">
      <c r="A827" s="1681"/>
      <c r="B827" s="250" t="s">
        <v>146</v>
      </c>
      <c r="C827" s="250" t="s">
        <v>146</v>
      </c>
      <c r="D827" s="250" t="s">
        <v>146</v>
      </c>
      <c r="E827" s="250" t="s">
        <v>146</v>
      </c>
      <c r="F827" s="250" t="s">
        <v>146</v>
      </c>
      <c r="G827" s="250" t="s">
        <v>146</v>
      </c>
      <c r="H827" s="250" t="s">
        <v>146</v>
      </c>
      <c r="I827" s="250" t="s">
        <v>146</v>
      </c>
      <c r="J827" s="250" t="s">
        <v>146</v>
      </c>
    </row>
    <row r="828" spans="1:10">
      <c r="A828" s="256">
        <v>38474</v>
      </c>
      <c r="B828" s="257">
        <v>23.25</v>
      </c>
      <c r="C828" s="257">
        <v>22.51</v>
      </c>
      <c r="D828" s="257">
        <v>21.99</v>
      </c>
      <c r="E828" s="258">
        <v>18.510000000000002</v>
      </c>
      <c r="F828" s="257">
        <v>18.5</v>
      </c>
      <c r="G828" s="257">
        <f>+(8.719+8.65+8.67+8.4+0.38351*1.12)/4</f>
        <v>8.7171327999999999</v>
      </c>
      <c r="H828" s="257">
        <v>26.42</v>
      </c>
      <c r="I828" s="257">
        <f>+(21.1316+20.85)/2</f>
        <v>20.9908</v>
      </c>
      <c r="J828" s="257">
        <f>(68.59/(25/4.19))</f>
        <v>11.495684000000002</v>
      </c>
    </row>
    <row r="829" spans="1:10">
      <c r="A829" s="256">
        <v>38481</v>
      </c>
      <c r="B829" s="257">
        <v>23.25</v>
      </c>
      <c r="C829" s="257">
        <v>22.51</v>
      </c>
      <c r="D829" s="257">
        <v>21.99</v>
      </c>
      <c r="E829" s="258">
        <v>18.55</v>
      </c>
      <c r="F829" s="257">
        <v>19</v>
      </c>
      <c r="G829" s="257">
        <f>+(8.719+8.65+8.67+8.6+0.38351*1.12)/4</f>
        <v>8.7671328000000006</v>
      </c>
      <c r="H829" s="257">
        <v>26.42</v>
      </c>
      <c r="I829" s="257">
        <f>+(21.1316+20.85)/2</f>
        <v>20.9908</v>
      </c>
      <c r="J829" s="257">
        <f>(67.31/(25/4.19))</f>
        <v>11.281156000000003</v>
      </c>
    </row>
    <row r="830" spans="1:10">
      <c r="A830" s="256">
        <v>38488</v>
      </c>
      <c r="B830" s="257">
        <v>23.25</v>
      </c>
      <c r="C830" s="257">
        <v>22.51</v>
      </c>
      <c r="D830" s="257">
        <v>22.01</v>
      </c>
      <c r="E830" s="257">
        <v>18.559999999999999</v>
      </c>
      <c r="F830" s="257">
        <v>19.149999999999999</v>
      </c>
      <c r="G830" s="257">
        <f>+(8.72+8.65+8.67+8.6+0.38351*1.12)/4</f>
        <v>8.7673828</v>
      </c>
      <c r="H830" s="257">
        <v>25.79</v>
      </c>
      <c r="I830" s="257">
        <f>+(20.653+20.85)/2</f>
        <v>20.7515</v>
      </c>
      <c r="J830" s="257">
        <f>(61.02/(25/4.19))</f>
        <v>10.226952000000002</v>
      </c>
    </row>
    <row r="831" spans="1:10">
      <c r="A831" s="256">
        <v>38495</v>
      </c>
      <c r="B831" s="257">
        <v>23.18</v>
      </c>
      <c r="C831" s="257">
        <v>22.46</v>
      </c>
      <c r="D831" s="257">
        <v>21.97</v>
      </c>
      <c r="E831" s="257">
        <v>18.53</v>
      </c>
      <c r="F831" s="257">
        <v>19.149999999999999</v>
      </c>
      <c r="G831" s="257">
        <f>+(9.32+8.65+9.27+8.6+0.38351*1.12)/4</f>
        <v>9.067382799999999</v>
      </c>
      <c r="H831" s="257">
        <v>25.79</v>
      </c>
      <c r="I831" s="257">
        <f>+(20.653+21.05)/2</f>
        <v>20.851500000000001</v>
      </c>
      <c r="J831" s="257">
        <f>(60.92/(25/4.19))</f>
        <v>10.210192000000001</v>
      </c>
    </row>
    <row r="832" spans="1:10">
      <c r="A832" s="256">
        <v>38502</v>
      </c>
      <c r="B832" s="257">
        <v>23.12</v>
      </c>
      <c r="C832" s="257">
        <v>22.39</v>
      </c>
      <c r="D832" s="257">
        <v>21.9</v>
      </c>
      <c r="E832" s="257">
        <v>18.37</v>
      </c>
      <c r="F832" s="257">
        <v>19.149999999999999</v>
      </c>
      <c r="G832" s="257">
        <f>+(9.32+8.65+9.27+8.7+0.38351*1.12)/4</f>
        <v>9.0923827999999993</v>
      </c>
      <c r="H832" s="257">
        <v>25.79</v>
      </c>
      <c r="I832" s="257">
        <f>+(20.653+18.45)/2</f>
        <v>19.551499999999997</v>
      </c>
      <c r="J832" s="257">
        <f>(60.79/(25/4.19))</f>
        <v>10.188404000000002</v>
      </c>
    </row>
    <row r="833" spans="1:10">
      <c r="A833" s="254" t="s">
        <v>7</v>
      </c>
      <c r="B833" s="255">
        <f t="shared" ref="B833:J833" si="63">AVERAGE(B828:B832)</f>
        <v>23.21</v>
      </c>
      <c r="C833" s="255">
        <f t="shared" si="63"/>
        <v>22.476000000000003</v>
      </c>
      <c r="D833" s="255">
        <f t="shared" si="63"/>
        <v>21.971999999999998</v>
      </c>
      <c r="E833" s="255">
        <f t="shared" si="63"/>
        <v>18.504000000000001</v>
      </c>
      <c r="F833" s="255">
        <f t="shared" si="63"/>
        <v>18.989999999999998</v>
      </c>
      <c r="G833" s="255">
        <f t="shared" si="63"/>
        <v>8.8822827999999987</v>
      </c>
      <c r="H833" s="255">
        <f t="shared" si="63"/>
        <v>26.041999999999994</v>
      </c>
      <c r="I833" s="255">
        <f t="shared" si="63"/>
        <v>20.627220000000001</v>
      </c>
      <c r="J833" s="255">
        <f t="shared" si="63"/>
        <v>10.680477600000003</v>
      </c>
    </row>
    <row r="835" spans="1:10">
      <c r="A835" s="1681" t="s">
        <v>1</v>
      </c>
      <c r="B835" s="248" t="s">
        <v>139</v>
      </c>
      <c r="C835" s="248" t="s">
        <v>140</v>
      </c>
      <c r="D835" s="248" t="s">
        <v>5</v>
      </c>
      <c r="E835" s="248" t="s">
        <v>6</v>
      </c>
      <c r="F835" s="249" t="s">
        <v>57</v>
      </c>
      <c r="G835" s="249" t="s">
        <v>58</v>
      </c>
      <c r="H835" s="249" t="s">
        <v>149</v>
      </c>
      <c r="I835" s="249" t="s">
        <v>145</v>
      </c>
      <c r="J835" s="249" t="s">
        <v>61</v>
      </c>
    </row>
    <row r="836" spans="1:10">
      <c r="A836" s="1681"/>
      <c r="B836" s="250" t="s">
        <v>146</v>
      </c>
      <c r="C836" s="250" t="s">
        <v>146</v>
      </c>
      <c r="D836" s="250" t="s">
        <v>146</v>
      </c>
      <c r="E836" s="250" t="s">
        <v>146</v>
      </c>
      <c r="F836" s="250" t="s">
        <v>146</v>
      </c>
      <c r="G836" s="250" t="s">
        <v>146</v>
      </c>
      <c r="H836" s="250" t="s">
        <v>146</v>
      </c>
      <c r="I836" s="250" t="s">
        <v>146</v>
      </c>
      <c r="J836" s="250" t="s">
        <v>146</v>
      </c>
    </row>
    <row r="837" spans="1:10">
      <c r="A837" s="256">
        <v>38509</v>
      </c>
      <c r="B837" s="257">
        <v>23.03</v>
      </c>
      <c r="C837" s="257">
        <v>22.31</v>
      </c>
      <c r="D837" s="257">
        <v>21.82</v>
      </c>
      <c r="E837" s="258">
        <v>17.43</v>
      </c>
      <c r="F837" s="257">
        <v>18.45</v>
      </c>
      <c r="G837" s="257">
        <f>+(9.39+8.65+9.34+8.5+0.38351*1.12)/4</f>
        <v>9.0773827999999988</v>
      </c>
      <c r="H837" s="257">
        <v>26.97</v>
      </c>
      <c r="I837" s="257">
        <f>+(18.434+18.45)/2</f>
        <v>18.442</v>
      </c>
      <c r="J837" s="257">
        <f>(60.65/(25/4.19))</f>
        <v>10.164940000000001</v>
      </c>
    </row>
    <row r="838" spans="1:10">
      <c r="A838" s="256">
        <v>38516</v>
      </c>
      <c r="B838" s="257">
        <v>23.01</v>
      </c>
      <c r="C838" s="257">
        <v>22.27</v>
      </c>
      <c r="D838" s="257">
        <v>21.78</v>
      </c>
      <c r="E838" s="258">
        <v>17.29</v>
      </c>
      <c r="F838" s="257">
        <v>17.649999999999999</v>
      </c>
      <c r="G838" s="257">
        <f>+(9.1887+8.6+9.14+8.9+0.38351*1.12)/4</f>
        <v>9.0645577999999993</v>
      </c>
      <c r="H838" s="257">
        <v>26.97</v>
      </c>
      <c r="I838" s="257">
        <f>+(18.434+18.45)/2</f>
        <v>18.442</v>
      </c>
      <c r="J838" s="257">
        <f>(60.47/(25/4.19))</f>
        <v>10.134772000000002</v>
      </c>
    </row>
    <row r="839" spans="1:10">
      <c r="A839" s="256">
        <v>38523</v>
      </c>
      <c r="B839" s="257">
        <v>22.97</v>
      </c>
      <c r="C839" s="257">
        <v>22.2</v>
      </c>
      <c r="D839" s="257">
        <v>21.72</v>
      </c>
      <c r="E839" s="257">
        <v>17.16</v>
      </c>
      <c r="F839" s="257">
        <v>17.649999999999999</v>
      </c>
      <c r="G839" s="257">
        <f>+(9.1887+8.6+9.14+8.7+0.38351*1.12)/4</f>
        <v>9.0145577999999986</v>
      </c>
      <c r="H839" s="257">
        <v>27.85</v>
      </c>
      <c r="I839" s="257">
        <f>+(20.18+18.45)/2</f>
        <v>19.314999999999998</v>
      </c>
      <c r="J839" s="257">
        <f>(60.5/(25/4.19))</f>
        <v>10.139800000000001</v>
      </c>
    </row>
    <row r="840" spans="1:10">
      <c r="A840" s="256">
        <v>38530</v>
      </c>
      <c r="B840" s="257">
        <v>22.92</v>
      </c>
      <c r="C840" s="257">
        <v>22.11</v>
      </c>
      <c r="D840" s="257">
        <v>21.63</v>
      </c>
      <c r="E840" s="257">
        <v>17.11</v>
      </c>
      <c r="F840" s="257">
        <v>17.350000000000001</v>
      </c>
      <c r="G840" s="257">
        <f>+(9.0767+8.6+9.02+8.4+0.38351*1.12)/4</f>
        <v>8.8815577999999995</v>
      </c>
      <c r="H840" s="257">
        <v>27.85</v>
      </c>
      <c r="I840" s="257">
        <f>+(20.18+18.45)/2</f>
        <v>19.314999999999998</v>
      </c>
      <c r="J840" s="257">
        <f>(60.42/(25/4.19))</f>
        <v>10.126392000000003</v>
      </c>
    </row>
    <row r="841" spans="1:10">
      <c r="A841" s="254" t="s">
        <v>7</v>
      </c>
      <c r="B841" s="255">
        <f t="shared" ref="B841:J841" si="64">AVERAGE(B837:B840)</f>
        <v>22.982500000000002</v>
      </c>
      <c r="C841" s="255">
        <f t="shared" si="64"/>
        <v>22.2225</v>
      </c>
      <c r="D841" s="255">
        <f t="shared" si="64"/>
        <v>21.737499999999997</v>
      </c>
      <c r="E841" s="255">
        <f t="shared" si="64"/>
        <v>17.247499999999999</v>
      </c>
      <c r="F841" s="255">
        <f t="shared" si="64"/>
        <v>17.774999999999999</v>
      </c>
      <c r="G841" s="255">
        <f t="shared" si="64"/>
        <v>9.0095140499999999</v>
      </c>
      <c r="H841" s="255">
        <f t="shared" si="64"/>
        <v>27.409999999999997</v>
      </c>
      <c r="I841" s="255">
        <f t="shared" si="64"/>
        <v>18.878499999999999</v>
      </c>
      <c r="J841" s="255">
        <f t="shared" si="64"/>
        <v>10.141476000000001</v>
      </c>
    </row>
    <row r="843" spans="1:10">
      <c r="A843" s="1681" t="s">
        <v>1</v>
      </c>
      <c r="B843" s="248" t="s">
        <v>139</v>
      </c>
      <c r="C843" s="248" t="s">
        <v>140</v>
      </c>
      <c r="D843" s="248" t="s">
        <v>5</v>
      </c>
      <c r="E843" s="248" t="s">
        <v>6</v>
      </c>
      <c r="F843" s="249" t="s">
        <v>57</v>
      </c>
      <c r="G843" s="249" t="s">
        <v>58</v>
      </c>
      <c r="H843" s="249" t="s">
        <v>149</v>
      </c>
      <c r="I843" s="249" t="s">
        <v>145</v>
      </c>
      <c r="J843" s="249" t="s">
        <v>61</v>
      </c>
    </row>
    <row r="844" spans="1:10">
      <c r="A844" s="1681"/>
      <c r="B844" s="250" t="s">
        <v>146</v>
      </c>
      <c r="C844" s="250" t="s">
        <v>146</v>
      </c>
      <c r="D844" s="250" t="s">
        <v>146</v>
      </c>
      <c r="E844" s="250" t="s">
        <v>146</v>
      </c>
      <c r="F844" s="250" t="s">
        <v>146</v>
      </c>
      <c r="G844" s="250" t="s">
        <v>146</v>
      </c>
      <c r="H844" s="250" t="s">
        <v>146</v>
      </c>
      <c r="I844" s="250" t="s">
        <v>146</v>
      </c>
      <c r="J844" s="250" t="s">
        <v>146</v>
      </c>
    </row>
    <row r="845" spans="1:10">
      <c r="A845" s="256">
        <v>38537</v>
      </c>
      <c r="B845" s="257">
        <v>23.09</v>
      </c>
      <c r="C845" s="257">
        <v>22.21</v>
      </c>
      <c r="D845" s="257">
        <v>21.71</v>
      </c>
      <c r="E845" s="258">
        <v>17.190000000000001</v>
      </c>
      <c r="F845" s="257">
        <v>17.399999999999999</v>
      </c>
      <c r="G845" s="257">
        <f>+(9.4288+9.13+9.38+8.4+0.38351*1.12)/4</f>
        <v>9.1920827999999997</v>
      </c>
      <c r="H845" s="257">
        <v>28.32</v>
      </c>
      <c r="I845" s="257">
        <f>+(20.3+18.45)/2</f>
        <v>19.375</v>
      </c>
      <c r="J845" s="257">
        <f>(60.61/(25/4.19))</f>
        <v>10.158236000000002</v>
      </c>
    </row>
    <row r="846" spans="1:10">
      <c r="A846" s="256">
        <v>38544</v>
      </c>
      <c r="B846" s="257">
        <v>23.08</v>
      </c>
      <c r="C846" s="257">
        <v>22.23</v>
      </c>
      <c r="D846" s="257">
        <v>21.73</v>
      </c>
      <c r="E846" s="258">
        <v>17.23</v>
      </c>
      <c r="F846" s="257">
        <v>17.399999999999999</v>
      </c>
      <c r="G846" s="257">
        <f>+(9.33+9.13+9.28+8.55+0.38351*1.12)/4</f>
        <v>9.1798828000000015</v>
      </c>
      <c r="H846" s="257">
        <v>28.32</v>
      </c>
      <c r="I846" s="257">
        <f>+(20.3+18.45)/2</f>
        <v>19.375</v>
      </c>
      <c r="J846" s="257">
        <f>(60.6/(25/4.19))</f>
        <v>10.156560000000002</v>
      </c>
    </row>
    <row r="847" spans="1:10">
      <c r="A847" s="256">
        <v>38551</v>
      </c>
      <c r="B847" s="257">
        <v>23.09</v>
      </c>
      <c r="C847" s="257">
        <v>22.25</v>
      </c>
      <c r="D847" s="257">
        <v>21.75</v>
      </c>
      <c r="E847" s="257">
        <v>17.28</v>
      </c>
      <c r="F847" s="257">
        <v>17.399999999999999</v>
      </c>
      <c r="G847" s="257">
        <f>+(9.33+9.13+9.28+8.7+0.38351*1.12)/4</f>
        <v>9.2173827999999993</v>
      </c>
      <c r="H847" s="257">
        <v>28.98</v>
      </c>
      <c r="I847" s="257">
        <f>+(20.58+18.45)/2</f>
        <v>19.515000000000001</v>
      </c>
      <c r="J847" s="257">
        <f>(60.5/(25/4.19))</f>
        <v>10.139800000000001</v>
      </c>
    </row>
    <row r="848" spans="1:10">
      <c r="A848" s="256">
        <v>38558</v>
      </c>
      <c r="B848" s="257">
        <v>23.05</v>
      </c>
      <c r="C848" s="257">
        <v>22.24</v>
      </c>
      <c r="D848" s="257">
        <v>21.74</v>
      </c>
      <c r="E848" s="257">
        <v>17.29</v>
      </c>
      <c r="F848" s="257">
        <v>17.899999999999999</v>
      </c>
      <c r="G848" s="257">
        <f>+(9.33+9.13+9.28+9.5+0.38351*1.12)/4</f>
        <v>9.4173828000000004</v>
      </c>
      <c r="H848" s="257">
        <v>28.98</v>
      </c>
      <c r="I848" s="257">
        <f>+(20.58+18.45)/2</f>
        <v>19.515000000000001</v>
      </c>
      <c r="J848" s="257">
        <f>(60.55/(25/4.19))</f>
        <v>10.148180000000002</v>
      </c>
    </row>
    <row r="849" spans="1:10">
      <c r="A849" s="254" t="s">
        <v>7</v>
      </c>
      <c r="B849" s="255">
        <f t="shared" ref="B849:J849" si="65">AVERAGE(B845:B848)</f>
        <v>23.077500000000001</v>
      </c>
      <c r="C849" s="255">
        <f t="shared" si="65"/>
        <v>22.232499999999998</v>
      </c>
      <c r="D849" s="255">
        <f t="shared" si="65"/>
        <v>21.732499999999998</v>
      </c>
      <c r="E849" s="255">
        <f t="shared" si="65"/>
        <v>17.247500000000002</v>
      </c>
      <c r="F849" s="255">
        <f t="shared" si="65"/>
        <v>17.524999999999999</v>
      </c>
      <c r="G849" s="255">
        <f t="shared" si="65"/>
        <v>9.2516828000000011</v>
      </c>
      <c r="H849" s="255">
        <f t="shared" si="65"/>
        <v>28.650000000000002</v>
      </c>
      <c r="I849" s="255">
        <f t="shared" si="65"/>
        <v>19.445</v>
      </c>
      <c r="J849" s="255">
        <f t="shared" si="65"/>
        <v>10.150694000000001</v>
      </c>
    </row>
    <row r="851" spans="1:10">
      <c r="A851" s="1681" t="s">
        <v>1</v>
      </c>
      <c r="B851" s="248" t="s">
        <v>139</v>
      </c>
      <c r="C851" s="248" t="s">
        <v>140</v>
      </c>
      <c r="D851" s="248" t="s">
        <v>5</v>
      </c>
      <c r="E851" s="248" t="s">
        <v>6</v>
      </c>
      <c r="F851" s="249" t="s">
        <v>57</v>
      </c>
      <c r="G851" s="249" t="s">
        <v>58</v>
      </c>
      <c r="H851" s="249" t="s">
        <v>149</v>
      </c>
      <c r="I851" s="249" t="s">
        <v>145</v>
      </c>
      <c r="J851" s="249" t="s">
        <v>61</v>
      </c>
    </row>
    <row r="852" spans="1:10">
      <c r="A852" s="1681"/>
      <c r="B852" s="250" t="s">
        <v>146</v>
      </c>
      <c r="C852" s="250" t="s">
        <v>146</v>
      </c>
      <c r="D852" s="250" t="s">
        <v>146</v>
      </c>
      <c r="E852" s="250" t="s">
        <v>146</v>
      </c>
      <c r="F852" s="250" t="s">
        <v>146</v>
      </c>
      <c r="G852" s="250" t="s">
        <v>146</v>
      </c>
      <c r="H852" s="250" t="s">
        <v>146</v>
      </c>
      <c r="I852" s="250" t="s">
        <v>146</v>
      </c>
      <c r="J852" s="250" t="s">
        <v>146</v>
      </c>
    </row>
    <row r="853" spans="1:10">
      <c r="A853" s="256">
        <v>38565</v>
      </c>
      <c r="B853" s="257">
        <v>23.05</v>
      </c>
      <c r="C853" s="257">
        <v>22.21</v>
      </c>
      <c r="D853" s="257">
        <v>21.72</v>
      </c>
      <c r="E853" s="258">
        <v>17.38</v>
      </c>
      <c r="F853" s="257">
        <v>17.899999999999999</v>
      </c>
      <c r="G853" s="257">
        <f>+(9.33+9.18+9.28+8.4+0.38351*1.12)/4</f>
        <v>9.1548827999999993</v>
      </c>
      <c r="H853" s="257">
        <v>28.68</v>
      </c>
      <c r="I853" s="257">
        <f>+(20.04+18.81)/2</f>
        <v>19.424999999999997</v>
      </c>
      <c r="J853" s="257">
        <f>(60.48/(25/4.19))</f>
        <v>10.136448000000001</v>
      </c>
    </row>
    <row r="854" spans="1:10">
      <c r="A854" s="256">
        <v>38572</v>
      </c>
      <c r="B854" s="257">
        <v>23.04</v>
      </c>
      <c r="C854" s="257">
        <v>22.22</v>
      </c>
      <c r="D854" s="257">
        <v>21.72</v>
      </c>
      <c r="E854" s="258">
        <v>17.46</v>
      </c>
      <c r="F854" s="257">
        <v>17.899999999999999</v>
      </c>
      <c r="G854" s="257">
        <f>+(9.38+9.18+9.33+8.4+0.38351*1.12)/4</f>
        <v>9.1798827999999997</v>
      </c>
      <c r="H854" s="257">
        <v>28.68</v>
      </c>
      <c r="I854" s="257">
        <f>+(20.04+18.81)/2</f>
        <v>19.424999999999997</v>
      </c>
      <c r="J854" s="257">
        <f>(60.65/(25/4.19))</f>
        <v>10.164940000000001</v>
      </c>
    </row>
    <row r="855" spans="1:10">
      <c r="A855" s="256">
        <v>38580</v>
      </c>
      <c r="B855" s="257">
        <v>23.4</v>
      </c>
      <c r="C855" s="257">
        <v>22.64</v>
      </c>
      <c r="D855" s="257">
        <v>22.12</v>
      </c>
      <c r="E855" s="257">
        <v>17.68</v>
      </c>
      <c r="F855" s="257">
        <v>18.25</v>
      </c>
      <c r="G855" s="257">
        <f>+(9.38+9.18+9.33+8.95+0.38351*1.12)/4</f>
        <v>9.3173828000000007</v>
      </c>
      <c r="H855" s="257">
        <v>28.68</v>
      </c>
      <c r="I855" s="257">
        <f>+(20.04+18.81)/2</f>
        <v>19.424999999999997</v>
      </c>
      <c r="J855" s="257">
        <f>(66.39/(25/4.19))</f>
        <v>11.126964000000001</v>
      </c>
    </row>
    <row r="856" spans="1:10">
      <c r="A856" s="256">
        <v>38586</v>
      </c>
      <c r="B856" s="257">
        <v>23.42</v>
      </c>
      <c r="C856" s="257">
        <v>22.89</v>
      </c>
      <c r="D856" s="257">
        <v>22.36</v>
      </c>
      <c r="E856" s="257">
        <v>17.84</v>
      </c>
      <c r="F856" s="257">
        <v>18.25</v>
      </c>
      <c r="G856" s="257">
        <f>+(9.58+9.18+9.53+8.5+0.38351*1.12)/4</f>
        <v>9.3048827999999997</v>
      </c>
      <c r="H856" s="257">
        <v>30.604900000000001</v>
      </c>
      <c r="I856" s="257">
        <f>+(21.47+18.81)/2</f>
        <v>20.14</v>
      </c>
      <c r="J856" s="257">
        <f>(67.25/(25/4.19))</f>
        <v>11.271100000000002</v>
      </c>
    </row>
    <row r="857" spans="1:10">
      <c r="A857" s="256">
        <v>38593</v>
      </c>
      <c r="B857" s="257">
        <v>25.25</v>
      </c>
      <c r="C857" s="257">
        <v>24.49</v>
      </c>
      <c r="D857" s="257">
        <v>23.97</v>
      </c>
      <c r="E857" s="257">
        <v>18.62</v>
      </c>
      <c r="F857" s="257">
        <v>19.149999999999999</v>
      </c>
      <c r="G857" s="257">
        <f>+(9.58+9.18+9.53+8.65+0.38351*1.12)/4</f>
        <v>9.3423827999999993</v>
      </c>
      <c r="H857" s="257">
        <v>30.604900000000001</v>
      </c>
      <c r="I857" s="257">
        <f>+(21.47+19.41)/2</f>
        <v>20.439999999999998</v>
      </c>
      <c r="J857" s="257">
        <f>(70.53/(25/4.19))</f>
        <v>11.820828000000002</v>
      </c>
    </row>
    <row r="858" spans="1:10">
      <c r="A858" s="254" t="s">
        <v>7</v>
      </c>
      <c r="B858" s="255">
        <f t="shared" ref="B858:J858" si="66">AVERAGE(B853:B857)</f>
        <v>23.632000000000001</v>
      </c>
      <c r="C858" s="255">
        <f t="shared" si="66"/>
        <v>22.889999999999997</v>
      </c>
      <c r="D858" s="255">
        <f t="shared" si="66"/>
        <v>22.378</v>
      </c>
      <c r="E858" s="255">
        <f t="shared" si="66"/>
        <v>17.795999999999999</v>
      </c>
      <c r="F858" s="255">
        <f t="shared" si="66"/>
        <v>18.29</v>
      </c>
      <c r="G858" s="255">
        <f t="shared" si="66"/>
        <v>9.2598827999999997</v>
      </c>
      <c r="H858" s="255">
        <f t="shared" si="66"/>
        <v>29.449959999999997</v>
      </c>
      <c r="I858" s="255">
        <f t="shared" si="66"/>
        <v>19.770999999999997</v>
      </c>
      <c r="J858" s="255">
        <f t="shared" si="66"/>
        <v>10.904056000000002</v>
      </c>
    </row>
    <row r="860" spans="1:10">
      <c r="A860" s="1681" t="s">
        <v>1</v>
      </c>
      <c r="B860" s="248" t="s">
        <v>139</v>
      </c>
      <c r="C860" s="248" t="s">
        <v>140</v>
      </c>
      <c r="D860" s="248" t="s">
        <v>5</v>
      </c>
      <c r="E860" s="248" t="s">
        <v>6</v>
      </c>
      <c r="F860" s="249" t="s">
        <v>57</v>
      </c>
      <c r="G860" s="249" t="s">
        <v>58</v>
      </c>
      <c r="H860" s="249" t="s">
        <v>149</v>
      </c>
      <c r="I860" s="249" t="s">
        <v>145</v>
      </c>
      <c r="J860" s="249" t="s">
        <v>61</v>
      </c>
    </row>
    <row r="861" spans="1:10">
      <c r="A861" s="1681"/>
      <c r="B861" s="250" t="s">
        <v>146</v>
      </c>
      <c r="C861" s="250" t="s">
        <v>146</v>
      </c>
      <c r="D861" s="250" t="s">
        <v>146</v>
      </c>
      <c r="E861" s="250" t="s">
        <v>146</v>
      </c>
      <c r="F861" s="250" t="s">
        <v>146</v>
      </c>
      <c r="G861" s="250" t="s">
        <v>146</v>
      </c>
      <c r="H861" s="250" t="s">
        <v>146</v>
      </c>
      <c r="I861" s="250" t="s">
        <v>146</v>
      </c>
      <c r="J861" s="250" t="s">
        <v>146</v>
      </c>
    </row>
    <row r="862" spans="1:10">
      <c r="A862" s="256">
        <v>38600</v>
      </c>
      <c r="B862" s="257">
        <v>25.27</v>
      </c>
      <c r="C862" s="257">
        <v>24.64</v>
      </c>
      <c r="D862" s="257">
        <v>24.1</v>
      </c>
      <c r="E862" s="258">
        <v>18.690000000000001</v>
      </c>
      <c r="F862" s="257">
        <v>19.149999999999999</v>
      </c>
      <c r="G862" s="257">
        <f>+(9.58+9.69+9.48+8.75+0.38351*1.12)/4</f>
        <v>9.4823827999999999</v>
      </c>
      <c r="H862" s="257">
        <v>32.64</v>
      </c>
      <c r="I862" s="257">
        <f>+(22.84+21.41)/2</f>
        <v>22.125</v>
      </c>
      <c r="J862" s="257">
        <f>(75.25/(25/4.19))</f>
        <v>12.611900000000002</v>
      </c>
    </row>
    <row r="863" spans="1:10">
      <c r="A863" s="256">
        <v>38607</v>
      </c>
      <c r="B863" s="257">
        <v>24.9</v>
      </c>
      <c r="C863" s="257">
        <v>24.45</v>
      </c>
      <c r="D863" s="257">
        <v>23.86</v>
      </c>
      <c r="E863" s="258">
        <v>18.54</v>
      </c>
      <c r="F863" s="257">
        <v>19.149999999999999</v>
      </c>
      <c r="G863" s="257">
        <f>+(10.3+9.69+10.2+8.9+0.38351*1.12)/4</f>
        <v>9.8798828000000007</v>
      </c>
      <c r="H863" s="257">
        <v>32.64</v>
      </c>
      <c r="I863" s="257">
        <f>+(22.84+21.41)/2</f>
        <v>22.125</v>
      </c>
      <c r="J863" s="257">
        <f>(85.6/(25/4.19))</f>
        <v>14.346560000000002</v>
      </c>
    </row>
    <row r="864" spans="1:10">
      <c r="A864" s="256">
        <v>38614</v>
      </c>
      <c r="B864" s="257">
        <v>26.51</v>
      </c>
      <c r="C864" s="257">
        <v>26</v>
      </c>
      <c r="D864" s="257">
        <v>25.49</v>
      </c>
      <c r="E864" s="257">
        <v>19.5</v>
      </c>
      <c r="F864" s="257">
        <v>20.149999999999999</v>
      </c>
      <c r="G864" s="257">
        <f>+(10.26+9.69+10.16+9.15+0.38351*1.12)/4</f>
        <v>9.9223827999999994</v>
      </c>
      <c r="H864" s="257">
        <v>33.76</v>
      </c>
      <c r="I864" s="257">
        <f>+(23.69+21.41)/2</f>
        <v>22.55</v>
      </c>
      <c r="J864" s="257">
        <f>(85.64/(25/4.19))</f>
        <v>14.353264000000003</v>
      </c>
    </row>
    <row r="865" spans="1:10">
      <c r="A865" s="256">
        <v>38621</v>
      </c>
      <c r="B865" s="257">
        <v>26.51</v>
      </c>
      <c r="C865" s="257">
        <v>26</v>
      </c>
      <c r="D865" s="257">
        <v>25.51</v>
      </c>
      <c r="E865" s="257">
        <v>19.489999999999998</v>
      </c>
      <c r="F865" s="257">
        <v>20.149999999999999</v>
      </c>
      <c r="G865" s="257">
        <f>+(10.26+9.69+10.16+9.15+0.38351*1.12)/4</f>
        <v>9.9223827999999994</v>
      </c>
      <c r="H865" s="257">
        <v>33.76</v>
      </c>
      <c r="I865" s="257">
        <f>+(23.69+21.41)/2</f>
        <v>22.55</v>
      </c>
      <c r="J865" s="257">
        <f>(88.25/(25/4.19))</f>
        <v>14.790700000000003</v>
      </c>
    </row>
    <row r="866" spans="1:10">
      <c r="A866" s="254" t="s">
        <v>7</v>
      </c>
      <c r="B866" s="255">
        <f t="shared" ref="B866:J866" si="67">AVERAGE(B862:B865)</f>
        <v>25.797500000000003</v>
      </c>
      <c r="C866" s="255">
        <f t="shared" si="67"/>
        <v>25.272500000000001</v>
      </c>
      <c r="D866" s="255">
        <f t="shared" si="67"/>
        <v>24.740000000000002</v>
      </c>
      <c r="E866" s="255">
        <f t="shared" si="67"/>
        <v>19.055</v>
      </c>
      <c r="F866" s="255">
        <f t="shared" si="67"/>
        <v>19.649999999999999</v>
      </c>
      <c r="G866" s="255">
        <f t="shared" si="67"/>
        <v>9.8017578000000007</v>
      </c>
      <c r="H866" s="255">
        <f t="shared" si="67"/>
        <v>33.199999999999996</v>
      </c>
      <c r="I866" s="255">
        <f t="shared" si="67"/>
        <v>22.337499999999999</v>
      </c>
      <c r="J866" s="255">
        <f t="shared" si="67"/>
        <v>14.025606000000002</v>
      </c>
    </row>
    <row r="868" spans="1:10">
      <c r="A868" s="1681" t="s">
        <v>1</v>
      </c>
      <c r="B868" s="248" t="s">
        <v>139</v>
      </c>
      <c r="C868" s="248" t="s">
        <v>140</v>
      </c>
      <c r="D868" s="248" t="s">
        <v>5</v>
      </c>
      <c r="E868" s="248" t="s">
        <v>6</v>
      </c>
      <c r="F868" s="249" t="s">
        <v>57</v>
      </c>
      <c r="G868" s="249" t="s">
        <v>58</v>
      </c>
      <c r="H868" s="249" t="s">
        <v>149</v>
      </c>
      <c r="I868" s="249" t="s">
        <v>145</v>
      </c>
      <c r="J868" s="249" t="s">
        <v>61</v>
      </c>
    </row>
    <row r="869" spans="1:10">
      <c r="A869" s="1681"/>
      <c r="B869" s="250" t="s">
        <v>146</v>
      </c>
      <c r="C869" s="250" t="s">
        <v>146</v>
      </c>
      <c r="D869" s="250" t="s">
        <v>146</v>
      </c>
      <c r="E869" s="250" t="s">
        <v>146</v>
      </c>
      <c r="F869" s="250" t="s">
        <v>146</v>
      </c>
      <c r="G869" s="250" t="s">
        <v>146</v>
      </c>
      <c r="H869" s="250" t="s">
        <v>146</v>
      </c>
      <c r="I869" s="250" t="s">
        <v>146</v>
      </c>
      <c r="J869" s="250" t="s">
        <v>146</v>
      </c>
    </row>
    <row r="870" spans="1:10">
      <c r="A870" s="256">
        <v>38628</v>
      </c>
      <c r="B870" s="257">
        <v>28.52</v>
      </c>
      <c r="C870" s="257">
        <v>27.75</v>
      </c>
      <c r="D870" s="257">
        <v>27.24</v>
      </c>
      <c r="E870" s="258">
        <v>20.6</v>
      </c>
      <c r="F870" s="257">
        <v>20.85</v>
      </c>
      <c r="G870" s="257">
        <f>+(10.45+10.2+10.35+9.25+0.38351*1.12)/4</f>
        <v>10.1698828</v>
      </c>
      <c r="H870" s="257">
        <v>36.93</v>
      </c>
      <c r="I870" s="257">
        <f>+(26.85+27.62)/2</f>
        <v>27.234999999999999</v>
      </c>
      <c r="J870" s="257">
        <f>(90.54/(25/4.19))</f>
        <v>15.174504000000004</v>
      </c>
    </row>
    <row r="871" spans="1:10">
      <c r="A871" s="256">
        <v>38635</v>
      </c>
      <c r="B871" s="257">
        <v>27.84</v>
      </c>
      <c r="C871" s="257">
        <v>27.6</v>
      </c>
      <c r="D871" s="257">
        <v>27.12</v>
      </c>
      <c r="E871" s="258">
        <v>20.63</v>
      </c>
      <c r="F871" s="257">
        <f>+(23+20.19)/2</f>
        <v>21.594999999999999</v>
      </c>
      <c r="G871" s="257">
        <f>+(10.26+10.2+10.16+9.55+0.38351*1.12)/4</f>
        <v>10.1498828</v>
      </c>
      <c r="H871" s="257">
        <v>36.93</v>
      </c>
      <c r="I871" s="257">
        <f>+(26.85+27.62)/2</f>
        <v>27.234999999999999</v>
      </c>
      <c r="J871" s="257">
        <f>(90.62/(25/4.19))</f>
        <v>15.187912000000003</v>
      </c>
    </row>
    <row r="872" spans="1:10">
      <c r="A872" s="256">
        <v>38642</v>
      </c>
      <c r="B872" s="257">
        <v>27.65</v>
      </c>
      <c r="C872" s="257">
        <v>26.99</v>
      </c>
      <c r="D872" s="257">
        <v>26.47</v>
      </c>
      <c r="E872" s="257">
        <v>20.2</v>
      </c>
      <c r="F872" s="257">
        <f>+(23+20.19)/2</f>
        <v>21.594999999999999</v>
      </c>
      <c r="G872" s="257">
        <f>+(10.26+10.2+10.16+9.55+0.38351*1.12)/4</f>
        <v>10.1498828</v>
      </c>
      <c r="H872" s="257">
        <v>35.76</v>
      </c>
      <c r="I872" s="257">
        <f>+(26.85+27.62)/2</f>
        <v>27.234999999999999</v>
      </c>
      <c r="J872" s="257">
        <f>(90.77/(25/4.19))</f>
        <v>15.213052000000001</v>
      </c>
    </row>
    <row r="873" spans="1:10">
      <c r="A873" s="256">
        <v>38649</v>
      </c>
      <c r="B873" s="257">
        <v>27.59</v>
      </c>
      <c r="C873" s="257">
        <v>26.9</v>
      </c>
      <c r="D873" s="257">
        <v>26.4</v>
      </c>
      <c r="E873" s="257">
        <v>20.41</v>
      </c>
      <c r="F873" s="257">
        <v>21.65</v>
      </c>
      <c r="G873" s="257">
        <f>+(10.45+10.2+10.35+9.6+0.38351*1.12)/4</f>
        <v>10.2573828</v>
      </c>
      <c r="H873" s="257">
        <v>35.76</v>
      </c>
      <c r="I873" s="257">
        <f>+(30.16+27.62)/2</f>
        <v>28.89</v>
      </c>
      <c r="J873" s="257">
        <f>(90.39/(25/4.19))</f>
        <v>15.149364000000002</v>
      </c>
    </row>
    <row r="874" spans="1:10">
      <c r="A874" s="256">
        <v>38656</v>
      </c>
      <c r="B874" s="257">
        <v>27.56</v>
      </c>
      <c r="C874" s="257">
        <v>26.85</v>
      </c>
      <c r="D874" s="257">
        <v>26.36</v>
      </c>
      <c r="E874" s="257">
        <v>20.67</v>
      </c>
      <c r="F874" s="257">
        <v>21.6</v>
      </c>
      <c r="G874" s="257">
        <f>+(10.45+10.2+10.35+9.6+0.38351*1.12)/4</f>
        <v>10.2573828</v>
      </c>
      <c r="H874" s="257">
        <v>35.76</v>
      </c>
      <c r="I874" s="257">
        <f>+(30.16+27.62)/2</f>
        <v>28.89</v>
      </c>
      <c r="J874" s="257">
        <f>(90.62/(25/4.19))</f>
        <v>15.187912000000003</v>
      </c>
    </row>
    <row r="875" spans="1:10">
      <c r="A875" s="254" t="s">
        <v>7</v>
      </c>
      <c r="B875" s="255">
        <f t="shared" ref="B875:J875" si="68">AVERAGE(B870:B874)</f>
        <v>27.832000000000001</v>
      </c>
      <c r="C875" s="255">
        <f t="shared" si="68"/>
        <v>27.218</v>
      </c>
      <c r="D875" s="255">
        <f t="shared" si="68"/>
        <v>26.717999999999996</v>
      </c>
      <c r="E875" s="255">
        <f t="shared" si="68"/>
        <v>20.502000000000002</v>
      </c>
      <c r="F875" s="255">
        <f t="shared" si="68"/>
        <v>21.457999999999998</v>
      </c>
      <c r="G875" s="255">
        <f t="shared" si="68"/>
        <v>10.196882800000001</v>
      </c>
      <c r="H875" s="255">
        <f t="shared" si="68"/>
        <v>36.227999999999994</v>
      </c>
      <c r="I875" s="255">
        <f t="shared" si="68"/>
        <v>27.897000000000002</v>
      </c>
      <c r="J875" s="255">
        <f t="shared" si="68"/>
        <v>15.182548800000001</v>
      </c>
    </row>
    <row r="877" spans="1:10">
      <c r="A877" s="1681" t="s">
        <v>1</v>
      </c>
      <c r="B877" s="248" t="s">
        <v>139</v>
      </c>
      <c r="C877" s="248" t="s">
        <v>140</v>
      </c>
      <c r="D877" s="248" t="s">
        <v>5</v>
      </c>
      <c r="E877" s="248" t="s">
        <v>6</v>
      </c>
      <c r="F877" s="249" t="s">
        <v>57</v>
      </c>
      <c r="G877" s="249" t="s">
        <v>58</v>
      </c>
      <c r="H877" s="249" t="s">
        <v>149</v>
      </c>
      <c r="I877" s="249" t="s">
        <v>145</v>
      </c>
      <c r="J877" s="249" t="s">
        <v>61</v>
      </c>
    </row>
    <row r="878" spans="1:10">
      <c r="A878" s="1681"/>
      <c r="B878" s="250" t="s">
        <v>146</v>
      </c>
      <c r="C878" s="250" t="s">
        <v>146</v>
      </c>
      <c r="D878" s="250" t="s">
        <v>146</v>
      </c>
      <c r="E878" s="250" t="s">
        <v>146</v>
      </c>
      <c r="F878" s="250" t="s">
        <v>146</v>
      </c>
      <c r="G878" s="250" t="s">
        <v>146</v>
      </c>
      <c r="H878" s="250" t="s">
        <v>146</v>
      </c>
      <c r="I878" s="250" t="s">
        <v>146</v>
      </c>
      <c r="J878" s="250" t="s">
        <v>146</v>
      </c>
    </row>
    <row r="879" spans="1:10">
      <c r="A879" s="256">
        <v>38663</v>
      </c>
      <c r="B879" s="257">
        <v>27.57</v>
      </c>
      <c r="C879" s="257">
        <v>26.81</v>
      </c>
      <c r="D879" s="257">
        <v>26.33</v>
      </c>
      <c r="E879" s="258">
        <v>21.13</v>
      </c>
      <c r="F879" s="257">
        <v>23.65</v>
      </c>
      <c r="G879" s="257">
        <f>+(10.65+9.23+10.5+9.79+0.38351*1.12)/4</f>
        <v>10.1498828</v>
      </c>
      <c r="H879" s="257">
        <v>33.44</v>
      </c>
      <c r="I879" s="257">
        <f>+(23.55+28.8)/2</f>
        <v>26.175000000000001</v>
      </c>
      <c r="J879" s="257">
        <f>(90.85/(25/4.19))</f>
        <v>15.226460000000001</v>
      </c>
    </row>
    <row r="880" spans="1:10">
      <c r="A880" s="256">
        <v>38670</v>
      </c>
      <c r="B880" s="257">
        <v>27.54</v>
      </c>
      <c r="C880" s="257">
        <v>26.74</v>
      </c>
      <c r="D880" s="257">
        <v>26.26</v>
      </c>
      <c r="E880" s="258">
        <v>21.16</v>
      </c>
      <c r="F880" s="257">
        <v>25.76</v>
      </c>
      <c r="G880" s="257">
        <f>+(10.65+9.23+10.5+9.75+0.38351*1.12)/4</f>
        <v>10.139882800000001</v>
      </c>
      <c r="H880" s="257">
        <v>33.44</v>
      </c>
      <c r="I880" s="257">
        <f>+(21.25+28.8)/2</f>
        <v>25.024999999999999</v>
      </c>
      <c r="J880" s="257">
        <f>(90.78/(25/4.19))</f>
        <v>15.214728000000003</v>
      </c>
    </row>
    <row r="881" spans="1:11">
      <c r="A881" s="256">
        <v>38677</v>
      </c>
      <c r="B881" s="257">
        <v>26.35</v>
      </c>
      <c r="C881" s="257">
        <v>25.76</v>
      </c>
      <c r="D881" s="257">
        <v>25.27</v>
      </c>
      <c r="E881" s="257">
        <v>21.12</v>
      </c>
      <c r="F881" s="257">
        <v>25.76</v>
      </c>
      <c r="G881" s="257">
        <f>+(10.65+9.23+10.5+9.2+0.38351*1.12)/4</f>
        <v>10.002382799999999</v>
      </c>
      <c r="H881" s="257">
        <v>32.47</v>
      </c>
      <c r="I881" s="257">
        <f>+(21.25+28.8)/2</f>
        <v>25.024999999999999</v>
      </c>
      <c r="J881" s="257">
        <f>(95.3/(25/4.19))</f>
        <v>15.972280000000001</v>
      </c>
    </row>
    <row r="882" spans="1:11">
      <c r="A882" s="256">
        <v>38684</v>
      </c>
      <c r="B882" s="257">
        <v>24.92</v>
      </c>
      <c r="C882" s="257">
        <v>24.5</v>
      </c>
      <c r="D882" s="257">
        <v>24.02</v>
      </c>
      <c r="E882" s="257">
        <v>20.89</v>
      </c>
      <c r="F882" s="257">
        <v>25.76</v>
      </c>
      <c r="G882" s="257">
        <f>+(10.65+9.23+10.5+9.22+0.38351*1.12)/4</f>
        <v>10.0073828</v>
      </c>
      <c r="H882" s="257">
        <v>32.47</v>
      </c>
      <c r="I882" s="257">
        <f>+(21.25+28.8)/2</f>
        <v>25.024999999999999</v>
      </c>
      <c r="J882" s="257">
        <f>(95.46/(25/4.19))</f>
        <v>15.999096000000002</v>
      </c>
    </row>
    <row r="883" spans="1:11">
      <c r="A883" s="254" t="s">
        <v>7</v>
      </c>
      <c r="B883" s="255">
        <f t="shared" ref="B883:J883" si="69">AVERAGE(B879:B882)</f>
        <v>26.595000000000002</v>
      </c>
      <c r="C883" s="255">
        <f t="shared" si="69"/>
        <v>25.952500000000001</v>
      </c>
      <c r="D883" s="255">
        <f t="shared" si="69"/>
        <v>25.47</v>
      </c>
      <c r="E883" s="255">
        <f t="shared" si="69"/>
        <v>21.074999999999999</v>
      </c>
      <c r="F883" s="255">
        <f t="shared" si="69"/>
        <v>25.232500000000002</v>
      </c>
      <c r="G883" s="255">
        <f t="shared" si="69"/>
        <v>10.074882800000001</v>
      </c>
      <c r="H883" s="255">
        <f t="shared" si="69"/>
        <v>32.954999999999998</v>
      </c>
      <c r="I883" s="255">
        <f t="shared" si="69"/>
        <v>25.3125</v>
      </c>
      <c r="J883" s="255">
        <f t="shared" si="69"/>
        <v>15.603141000000003</v>
      </c>
    </row>
    <row r="885" spans="1:11">
      <c r="A885" s="1681" t="s">
        <v>1</v>
      </c>
      <c r="B885" s="248" t="s">
        <v>139</v>
      </c>
      <c r="C885" s="248" t="s">
        <v>140</v>
      </c>
      <c r="D885" s="248" t="s">
        <v>5</v>
      </c>
      <c r="E885" s="248" t="s">
        <v>6</v>
      </c>
      <c r="F885" s="249" t="s">
        <v>57</v>
      </c>
      <c r="G885" s="249" t="s">
        <v>58</v>
      </c>
      <c r="H885" s="249" t="s">
        <v>149</v>
      </c>
      <c r="I885" s="249" t="s">
        <v>145</v>
      </c>
      <c r="J885" s="249" t="s">
        <v>61</v>
      </c>
    </row>
    <row r="886" spans="1:11">
      <c r="A886" s="1681"/>
      <c r="B886" s="250" t="s">
        <v>146</v>
      </c>
      <c r="C886" s="250" t="s">
        <v>146</v>
      </c>
      <c r="D886" s="250" t="s">
        <v>146</v>
      </c>
      <c r="E886" s="250" t="s">
        <v>146</v>
      </c>
      <c r="F886" s="250" t="s">
        <v>146</v>
      </c>
      <c r="G886" s="250" t="s">
        <v>146</v>
      </c>
      <c r="H886" s="250" t="s">
        <v>146</v>
      </c>
      <c r="I886" s="250" t="s">
        <v>146</v>
      </c>
      <c r="J886" s="250" t="s">
        <v>146</v>
      </c>
    </row>
    <row r="887" spans="1:11">
      <c r="A887" s="256">
        <v>38691</v>
      </c>
      <c r="B887" s="257">
        <v>24.32</v>
      </c>
      <c r="C887" s="257">
        <v>23.79</v>
      </c>
      <c r="D887" s="257">
        <v>23.27</v>
      </c>
      <c r="E887" s="258">
        <v>20.73</v>
      </c>
      <c r="F887" s="257">
        <v>26.55</v>
      </c>
      <c r="G887" s="257">
        <f>+(11.18+9.23+11.03+9.32+0.38351*1.12)/4</f>
        <v>10.297382799999999</v>
      </c>
      <c r="H887" s="257">
        <v>33.549999999999997</v>
      </c>
      <c r="I887" s="257">
        <f>+(20.25+23.7)/2</f>
        <v>21.975000000000001</v>
      </c>
      <c r="J887" s="257">
        <f>(95.46/(25/4.19))</f>
        <v>15.999096000000002</v>
      </c>
    </row>
    <row r="888" spans="1:11">
      <c r="A888" s="256">
        <v>38698</v>
      </c>
      <c r="B888" s="257">
        <v>24.08</v>
      </c>
      <c r="C888" s="257">
        <v>23.38</v>
      </c>
      <c r="D888" s="257">
        <v>22.88</v>
      </c>
      <c r="E888" s="258">
        <v>20.64</v>
      </c>
      <c r="F888" s="257">
        <v>26.55</v>
      </c>
      <c r="G888" s="257">
        <f>+(11.18+9.23+11.03+9.3+0.38351*1.12)/4</f>
        <v>10.292382799999999</v>
      </c>
      <c r="H888" s="257">
        <v>33.549999999999997</v>
      </c>
      <c r="I888" s="257">
        <f>+(20.25+23.7)/2</f>
        <v>21.975000000000001</v>
      </c>
      <c r="J888" s="257">
        <f>(95.42/(25/4.19))</f>
        <v>15.992392000000002</v>
      </c>
    </row>
    <row r="889" spans="1:11">
      <c r="A889" s="256">
        <v>38705</v>
      </c>
      <c r="B889" s="257">
        <v>23.69</v>
      </c>
      <c r="C889" s="257">
        <v>23.13</v>
      </c>
      <c r="D889" s="257">
        <v>22.65</v>
      </c>
      <c r="E889" s="257">
        <v>20.57</v>
      </c>
      <c r="F889" s="257">
        <v>25.55</v>
      </c>
      <c r="G889" s="257">
        <f>+(11.18+9.23+11.03+9.45+0.38351*1.12)/4</f>
        <v>10.3298828</v>
      </c>
      <c r="H889" s="257">
        <v>34.973219999999998</v>
      </c>
      <c r="I889" s="257">
        <f>+(21.3+23.7)/2</f>
        <v>22.5</v>
      </c>
      <c r="J889" s="257">
        <f>(95.42/(25/4.19))</f>
        <v>15.992392000000002</v>
      </c>
      <c r="K889" s="583"/>
    </row>
    <row r="890" spans="1:11">
      <c r="A890" s="256">
        <v>38712</v>
      </c>
      <c r="B890" s="257">
        <v>23.61</v>
      </c>
      <c r="C890" s="257">
        <v>22.87</v>
      </c>
      <c r="D890" s="257">
        <v>22.38</v>
      </c>
      <c r="E890" s="257">
        <v>20.51</v>
      </c>
      <c r="F890" s="257">
        <v>24.55</v>
      </c>
      <c r="G890" s="257">
        <f>+(11.18+9.23+11.03+9.37+0.38351*1.12)/4</f>
        <v>10.309882799999999</v>
      </c>
      <c r="H890" s="257">
        <v>34.973219999999998</v>
      </c>
      <c r="I890" s="257">
        <f>+(21.3+23.7)/2</f>
        <v>22.5</v>
      </c>
      <c r="J890" s="257">
        <f>(95.42/(25/4.19))</f>
        <v>15.992392000000002</v>
      </c>
    </row>
    <row r="891" spans="1:11">
      <c r="A891" s="254" t="s">
        <v>7</v>
      </c>
      <c r="B891" s="255">
        <f t="shared" ref="B891:J891" si="70">AVERAGE(B887:B890)</f>
        <v>23.925000000000001</v>
      </c>
      <c r="C891" s="255">
        <f t="shared" si="70"/>
        <v>23.2925</v>
      </c>
      <c r="D891" s="255">
        <f t="shared" si="70"/>
        <v>22.794999999999998</v>
      </c>
      <c r="E891" s="255">
        <f t="shared" si="70"/>
        <v>20.612500000000001</v>
      </c>
      <c r="F891" s="255">
        <f t="shared" si="70"/>
        <v>25.8</v>
      </c>
      <c r="G891" s="255">
        <f t="shared" si="70"/>
        <v>10.307382799999999</v>
      </c>
      <c r="H891" s="255">
        <f t="shared" si="70"/>
        <v>34.261609999999997</v>
      </c>
      <c r="I891" s="255">
        <f t="shared" si="70"/>
        <v>22.237500000000001</v>
      </c>
      <c r="J891" s="255">
        <f t="shared" si="70"/>
        <v>15.994068000000002</v>
      </c>
    </row>
    <row r="893" spans="1:11">
      <c r="A893" s="1671" t="s">
        <v>1</v>
      </c>
      <c r="B893" s="259" t="s">
        <v>139</v>
      </c>
      <c r="C893" s="259" t="s">
        <v>140</v>
      </c>
      <c r="D893" s="259" t="s">
        <v>5</v>
      </c>
      <c r="E893" s="259" t="s">
        <v>6</v>
      </c>
      <c r="F893" s="260" t="s">
        <v>57</v>
      </c>
      <c r="G893" s="260" t="s">
        <v>58</v>
      </c>
      <c r="H893" s="260" t="s">
        <v>149</v>
      </c>
      <c r="I893" s="260" t="s">
        <v>145</v>
      </c>
      <c r="J893" s="260" t="s">
        <v>61</v>
      </c>
    </row>
    <row r="894" spans="1:11">
      <c r="A894" s="1671"/>
      <c r="B894" s="261" t="s">
        <v>146</v>
      </c>
      <c r="C894" s="261" t="s">
        <v>146</v>
      </c>
      <c r="D894" s="261" t="s">
        <v>146</v>
      </c>
      <c r="E894" s="261" t="s">
        <v>146</v>
      </c>
      <c r="F894" s="261" t="s">
        <v>146</v>
      </c>
      <c r="G894" s="261" t="s">
        <v>146</v>
      </c>
      <c r="H894" s="261" t="s">
        <v>146</v>
      </c>
      <c r="I894" s="261" t="s">
        <v>146</v>
      </c>
      <c r="J894" s="261" t="s">
        <v>146</v>
      </c>
    </row>
    <row r="895" spans="1:11">
      <c r="A895" s="256">
        <v>38719</v>
      </c>
      <c r="B895" s="257">
        <v>23.53</v>
      </c>
      <c r="C895" s="257">
        <v>22.82</v>
      </c>
      <c r="D895" s="257">
        <v>22.31</v>
      </c>
      <c r="E895" s="258">
        <v>20.309999999999999</v>
      </c>
      <c r="F895" s="257">
        <v>23.05</v>
      </c>
      <c r="G895" s="257">
        <f>+(10.3+11.62+9.38+0.38351*1.12)/3</f>
        <v>10.576510400000002</v>
      </c>
      <c r="H895" s="257">
        <v>35.46161</v>
      </c>
      <c r="I895" s="257">
        <f>+(21.2+23.7)/2</f>
        <v>22.45</v>
      </c>
      <c r="J895" s="257">
        <f>(95.44/(25/4.19))</f>
        <v>15.995744000000002</v>
      </c>
    </row>
    <row r="896" spans="1:11">
      <c r="A896" s="256">
        <v>38726</v>
      </c>
      <c r="B896" s="257">
        <v>23.41</v>
      </c>
      <c r="C896" s="257">
        <v>22.74</v>
      </c>
      <c r="D896" s="257">
        <v>22.24</v>
      </c>
      <c r="E896" s="258">
        <v>19.89</v>
      </c>
      <c r="F896" s="257">
        <v>23.05</v>
      </c>
      <c r="G896" s="257">
        <f>+(10.3+11.62+9.96+0.38351*1.12)/3</f>
        <v>10.769843733333333</v>
      </c>
      <c r="H896" s="257">
        <v>35.46161</v>
      </c>
      <c r="I896" s="257">
        <f>+(21.2+24.05)/2</f>
        <v>22.625</v>
      </c>
      <c r="J896" s="257">
        <f>(95.42/(25/4.19))</f>
        <v>15.992392000000002</v>
      </c>
    </row>
    <row r="897" spans="1:10">
      <c r="A897" s="256">
        <v>38733</v>
      </c>
      <c r="B897" s="257">
        <v>23.34</v>
      </c>
      <c r="C897" s="257">
        <v>22.67</v>
      </c>
      <c r="D897" s="257">
        <v>22.17</v>
      </c>
      <c r="E897" s="257">
        <v>19.739999999999998</v>
      </c>
      <c r="F897" s="257">
        <v>23.05</v>
      </c>
      <c r="G897" s="257">
        <f>+(10.3+12.17+9.96+0.38351*1.12)/3</f>
        <v>10.953177066666667</v>
      </c>
      <c r="H897" s="257">
        <v>36.24</v>
      </c>
      <c r="I897" s="257">
        <f>+(21.65+24.05)/2</f>
        <v>22.85</v>
      </c>
      <c r="J897" s="257">
        <f>(95.41/(25/4.19))</f>
        <v>15.990716000000003</v>
      </c>
    </row>
    <row r="898" spans="1:10">
      <c r="A898" s="256">
        <v>38740</v>
      </c>
      <c r="B898" s="257">
        <v>23.24</v>
      </c>
      <c r="C898" s="257">
        <v>22.58</v>
      </c>
      <c r="D898" s="257">
        <v>22.08</v>
      </c>
      <c r="E898" s="257">
        <v>19.62</v>
      </c>
      <c r="F898" s="257">
        <v>23.55</v>
      </c>
      <c r="G898" s="257">
        <f>+(10.3+12.17+10.68+0.38351*1.12)/3</f>
        <v>11.193177066666665</v>
      </c>
      <c r="H898" s="257">
        <v>36.24</v>
      </c>
      <c r="I898" s="257">
        <f>+(21.65+24.05)/2</f>
        <v>22.85</v>
      </c>
      <c r="J898" s="257">
        <f>(95.41/(25/4.19))</f>
        <v>15.990716000000003</v>
      </c>
    </row>
    <row r="899" spans="1:10">
      <c r="A899" s="256">
        <v>38747</v>
      </c>
      <c r="B899" s="257">
        <v>23.03</v>
      </c>
      <c r="C899" s="257">
        <v>22.45</v>
      </c>
      <c r="D899" s="257">
        <v>21.95</v>
      </c>
      <c r="E899" s="257">
        <v>19.54</v>
      </c>
      <c r="F899" s="257">
        <v>22.25</v>
      </c>
      <c r="G899" s="257">
        <f>+(10.3+12.17+10.68+0.38351*1.12)/3</f>
        <v>11.193177066666665</v>
      </c>
      <c r="H899" s="257">
        <v>36.24</v>
      </c>
      <c r="I899" s="257">
        <f>+(21.65+24.05)/2</f>
        <v>22.85</v>
      </c>
      <c r="J899" s="257">
        <f>(95.37/(25/4.19))</f>
        <v>15.984012000000003</v>
      </c>
    </row>
    <row r="900" spans="1:10">
      <c r="A900" s="262" t="s">
        <v>7</v>
      </c>
      <c r="B900" s="263">
        <f t="shared" ref="B900:J900" si="71">AVERAGE(B895:B899)</f>
        <v>23.31</v>
      </c>
      <c r="C900" s="263">
        <f t="shared" si="71"/>
        <v>22.652000000000001</v>
      </c>
      <c r="D900" s="263">
        <f t="shared" si="71"/>
        <v>22.15</v>
      </c>
      <c r="E900" s="263">
        <f t="shared" si="71"/>
        <v>19.82</v>
      </c>
      <c r="F900" s="263">
        <f t="shared" si="71"/>
        <v>22.990000000000002</v>
      </c>
      <c r="G900" s="263">
        <f t="shared" si="71"/>
        <v>10.937177066666667</v>
      </c>
      <c r="H900" s="263">
        <f t="shared" si="71"/>
        <v>35.928644000000006</v>
      </c>
      <c r="I900" s="263">
        <f t="shared" si="71"/>
        <v>22.725000000000001</v>
      </c>
      <c r="J900" s="263">
        <f t="shared" si="71"/>
        <v>15.990716000000003</v>
      </c>
    </row>
    <row r="902" spans="1:10">
      <c r="A902" s="1671" t="s">
        <v>1</v>
      </c>
      <c r="B902" s="259" t="s">
        <v>139</v>
      </c>
      <c r="C902" s="259" t="s">
        <v>140</v>
      </c>
      <c r="D902" s="259" t="s">
        <v>5</v>
      </c>
      <c r="E902" s="259" t="s">
        <v>6</v>
      </c>
      <c r="F902" s="260" t="s">
        <v>57</v>
      </c>
      <c r="G902" s="260" t="s">
        <v>58</v>
      </c>
      <c r="H902" s="260" t="s">
        <v>149</v>
      </c>
      <c r="I902" s="260" t="s">
        <v>145</v>
      </c>
      <c r="J902" s="260" t="s">
        <v>61</v>
      </c>
    </row>
    <row r="903" spans="1:10">
      <c r="A903" s="1671"/>
      <c r="B903" s="261" t="s">
        <v>146</v>
      </c>
      <c r="C903" s="261" t="s">
        <v>146</v>
      </c>
      <c r="D903" s="261" t="s">
        <v>146</v>
      </c>
      <c r="E903" s="261" t="s">
        <v>146</v>
      </c>
      <c r="F903" s="261" t="s">
        <v>146</v>
      </c>
      <c r="G903" s="261" t="s">
        <v>146</v>
      </c>
      <c r="H903" s="261" t="s">
        <v>146</v>
      </c>
      <c r="I903" s="261" t="s">
        <v>146</v>
      </c>
      <c r="J903" s="261" t="s">
        <v>146</v>
      </c>
    </row>
    <row r="904" spans="1:10">
      <c r="A904" s="256">
        <v>38754</v>
      </c>
      <c r="B904" s="264">
        <v>23.05</v>
      </c>
      <c r="C904" s="264">
        <v>22.44</v>
      </c>
      <c r="D904" s="264">
        <v>21.96</v>
      </c>
      <c r="E904" s="264">
        <v>19.489999999999998</v>
      </c>
      <c r="F904" s="257">
        <v>21.13</v>
      </c>
      <c r="G904" s="257">
        <f>+(10.98+10.9+0.38351*1.12)/2</f>
        <v>11.154765600000001</v>
      </c>
      <c r="H904" s="257">
        <v>36.04</v>
      </c>
      <c r="I904" s="257">
        <f>+(22.26+24.72)/2</f>
        <v>23.490000000000002</v>
      </c>
      <c r="J904" s="257">
        <f>(95.4/(25/4.19))</f>
        <v>15.989040000000003</v>
      </c>
    </row>
    <row r="905" spans="1:10">
      <c r="A905" s="256">
        <v>38761</v>
      </c>
      <c r="B905" s="264">
        <v>23</v>
      </c>
      <c r="C905" s="264">
        <v>22.39</v>
      </c>
      <c r="D905" s="264">
        <v>21.91</v>
      </c>
      <c r="E905" s="264">
        <v>19.37</v>
      </c>
      <c r="F905" s="257">
        <v>20.75</v>
      </c>
      <c r="G905" s="257">
        <f>+(10.98+10.9+0.38351*1.12)/2</f>
        <v>11.154765600000001</v>
      </c>
      <c r="H905" s="257">
        <v>36.04</v>
      </c>
      <c r="I905" s="257">
        <f>+(22.26+24.72)/2</f>
        <v>23.490000000000002</v>
      </c>
      <c r="J905" s="257">
        <f>(95.39/(25/4.19))</f>
        <v>15.987364000000003</v>
      </c>
    </row>
    <row r="906" spans="1:10">
      <c r="A906" s="256">
        <v>38768</v>
      </c>
      <c r="B906" s="264">
        <v>22.97</v>
      </c>
      <c r="C906" s="264">
        <v>22.32</v>
      </c>
      <c r="D906" s="264">
        <v>21.82</v>
      </c>
      <c r="E906" s="264">
        <v>19.21</v>
      </c>
      <c r="F906" s="257">
        <v>20.75</v>
      </c>
      <c r="G906" s="257">
        <f>+(10.98+10.6+0.38351*1.12)/2</f>
        <v>11.004765599999999</v>
      </c>
      <c r="H906" s="257">
        <v>34.54</v>
      </c>
      <c r="I906" s="257">
        <f>+(21.41+24.72)/2</f>
        <v>23.064999999999998</v>
      </c>
      <c r="J906" s="257">
        <f>(95.39/(25/4.19))</f>
        <v>15.987364000000003</v>
      </c>
    </row>
    <row r="907" spans="1:10">
      <c r="A907" s="256">
        <v>38775</v>
      </c>
      <c r="B907" s="264">
        <v>22.88</v>
      </c>
      <c r="C907" s="264">
        <v>22.25</v>
      </c>
      <c r="D907" s="264">
        <v>21.77</v>
      </c>
      <c r="E907" s="264">
        <v>19.05</v>
      </c>
      <c r="F907" s="257">
        <v>20.75</v>
      </c>
      <c r="G907" s="257">
        <f>+(10.98+10.9+0.38351*1.12)/2</f>
        <v>11.154765600000001</v>
      </c>
      <c r="H907" s="257">
        <v>34.54</v>
      </c>
      <c r="I907" s="257">
        <f>+(21.41+24.72)/2</f>
        <v>23.064999999999998</v>
      </c>
      <c r="J907" s="257">
        <f>(95.36/(25/4.19))</f>
        <v>15.982336000000002</v>
      </c>
    </row>
    <row r="908" spans="1:10">
      <c r="A908" s="262" t="s">
        <v>7</v>
      </c>
      <c r="B908" s="263">
        <f t="shared" ref="B908:J908" si="72">AVERAGE(B904:B907)</f>
        <v>22.974999999999998</v>
      </c>
      <c r="C908" s="263">
        <f t="shared" si="72"/>
        <v>22.35</v>
      </c>
      <c r="D908" s="263">
        <f t="shared" si="72"/>
        <v>21.864999999999998</v>
      </c>
      <c r="E908" s="263">
        <f t="shared" si="72"/>
        <v>19.28</v>
      </c>
      <c r="F908" s="263">
        <f t="shared" si="72"/>
        <v>20.844999999999999</v>
      </c>
      <c r="G908" s="263">
        <f t="shared" si="72"/>
        <v>11.1172656</v>
      </c>
      <c r="H908" s="263">
        <f t="shared" si="72"/>
        <v>35.29</v>
      </c>
      <c r="I908" s="263">
        <f t="shared" si="72"/>
        <v>23.2775</v>
      </c>
      <c r="J908" s="263">
        <f t="shared" si="72"/>
        <v>15.986526000000003</v>
      </c>
    </row>
    <row r="910" spans="1:10">
      <c r="A910" s="1671" t="s">
        <v>1</v>
      </c>
      <c r="B910" s="259" t="s">
        <v>139</v>
      </c>
      <c r="C910" s="259" t="s">
        <v>140</v>
      </c>
      <c r="D910" s="259" t="s">
        <v>5</v>
      </c>
      <c r="E910" s="259" t="s">
        <v>6</v>
      </c>
      <c r="F910" s="260" t="s">
        <v>57</v>
      </c>
      <c r="G910" s="260" t="s">
        <v>58</v>
      </c>
      <c r="H910" s="260" t="s">
        <v>149</v>
      </c>
      <c r="I910" s="260" t="s">
        <v>145</v>
      </c>
      <c r="J910" s="260" t="s">
        <v>61</v>
      </c>
    </row>
    <row r="911" spans="1:10">
      <c r="A911" s="1671"/>
      <c r="B911" s="261" t="s">
        <v>146</v>
      </c>
      <c r="C911" s="261" t="s">
        <v>146</v>
      </c>
      <c r="D911" s="261" t="s">
        <v>146</v>
      </c>
      <c r="E911" s="261" t="s">
        <v>146</v>
      </c>
      <c r="F911" s="261" t="s">
        <v>146</v>
      </c>
      <c r="G911" s="261" t="s">
        <v>146</v>
      </c>
      <c r="H911" s="261" t="s">
        <v>146</v>
      </c>
      <c r="I911" s="261" t="s">
        <v>146</v>
      </c>
      <c r="J911" s="261" t="s">
        <v>146</v>
      </c>
    </row>
    <row r="912" spans="1:10">
      <c r="A912" s="256">
        <v>38782</v>
      </c>
      <c r="B912" s="264">
        <v>22.6</v>
      </c>
      <c r="C912" s="264">
        <v>22.01</v>
      </c>
      <c r="D912" s="264">
        <v>21.53</v>
      </c>
      <c r="E912" s="264">
        <v>18.7</v>
      </c>
      <c r="F912" s="257">
        <v>20.6</v>
      </c>
      <c r="G912" s="257">
        <f>+(10.88+10.5+0.38351*1.12)/2</f>
        <v>10.904765600000001</v>
      </c>
      <c r="H912" s="257">
        <v>34.81</v>
      </c>
      <c r="I912" s="257">
        <f>+(21.5+24.41)/2</f>
        <v>22.954999999999998</v>
      </c>
      <c r="J912" s="257">
        <f>(95.36/(25/4.19))</f>
        <v>15.982336000000002</v>
      </c>
    </row>
    <row r="913" spans="1:10">
      <c r="A913" s="256">
        <v>38789</v>
      </c>
      <c r="B913" s="264">
        <v>22.55</v>
      </c>
      <c r="C913" s="264">
        <v>21.92</v>
      </c>
      <c r="D913" s="264">
        <v>21.44</v>
      </c>
      <c r="E913" s="264">
        <v>18.559999999999999</v>
      </c>
      <c r="F913" s="257">
        <v>20.6</v>
      </c>
      <c r="G913" s="257">
        <f>+(10.88+10.55+0.38351*1.12)/2</f>
        <v>10.9297656</v>
      </c>
      <c r="H913" s="257">
        <v>34.81</v>
      </c>
      <c r="I913" s="257">
        <f>+(21.5+24.41)/2</f>
        <v>22.954999999999998</v>
      </c>
      <c r="J913" s="257">
        <f>(95.29/(25/4.19))</f>
        <v>15.970604000000003</v>
      </c>
    </row>
    <row r="914" spans="1:10">
      <c r="A914" s="256">
        <v>38796</v>
      </c>
      <c r="B914" s="264">
        <v>22.74</v>
      </c>
      <c r="C914" s="264">
        <v>22.02</v>
      </c>
      <c r="D914" s="264">
        <v>21.55</v>
      </c>
      <c r="E914" s="264">
        <v>18.649999999999999</v>
      </c>
      <c r="F914" s="257">
        <v>21.15</v>
      </c>
      <c r="G914" s="257">
        <f>+(10.88+10.55+0.38351*1.12)/2</f>
        <v>10.9297656</v>
      </c>
      <c r="H914" s="257">
        <v>37.75</v>
      </c>
      <c r="I914" s="257">
        <f>+(22.26+24.41)/2</f>
        <v>23.335000000000001</v>
      </c>
      <c r="J914" s="257">
        <f>(90.8/(25/4.19))</f>
        <v>15.218080000000002</v>
      </c>
    </row>
    <row r="915" spans="1:10">
      <c r="A915" s="256">
        <v>38803</v>
      </c>
      <c r="B915" s="264">
        <v>23.5</v>
      </c>
      <c r="C915" s="264">
        <v>22.69</v>
      </c>
      <c r="D915" s="264">
        <v>22.22</v>
      </c>
      <c r="E915" s="264">
        <v>18.940000000000001</v>
      </c>
      <c r="F915" s="257">
        <v>20.76</v>
      </c>
      <c r="G915" s="257">
        <f>+(10.88+10.58+0.38351*1.12)/2</f>
        <v>10.9447656</v>
      </c>
      <c r="H915" s="257">
        <v>37.75</v>
      </c>
      <c r="I915" s="257">
        <f>+(22.26+24.41)/2</f>
        <v>23.335000000000001</v>
      </c>
      <c r="J915" s="257">
        <f>(85.66/(25/4.19))</f>
        <v>14.356616000000002</v>
      </c>
    </row>
    <row r="916" spans="1:10">
      <c r="A916" s="262" t="s">
        <v>7</v>
      </c>
      <c r="B916" s="263">
        <f t="shared" ref="B916:J916" si="73">AVERAGE(B912:B915)</f>
        <v>22.8475</v>
      </c>
      <c r="C916" s="263">
        <f t="shared" si="73"/>
        <v>22.16</v>
      </c>
      <c r="D916" s="263">
        <f t="shared" si="73"/>
        <v>21.684999999999999</v>
      </c>
      <c r="E916" s="263">
        <f t="shared" si="73"/>
        <v>18.712499999999999</v>
      </c>
      <c r="F916" s="263">
        <f t="shared" si="73"/>
        <v>20.7775</v>
      </c>
      <c r="G916" s="263">
        <f t="shared" si="73"/>
        <v>10.927265599999998</v>
      </c>
      <c r="H916" s="263">
        <f t="shared" si="73"/>
        <v>36.28</v>
      </c>
      <c r="I916" s="263">
        <f t="shared" si="73"/>
        <v>23.145000000000003</v>
      </c>
      <c r="J916" s="263">
        <f t="shared" si="73"/>
        <v>15.381909000000002</v>
      </c>
    </row>
    <row r="918" spans="1:10">
      <c r="A918" s="1671" t="s">
        <v>1</v>
      </c>
      <c r="B918" s="259" t="s">
        <v>139</v>
      </c>
      <c r="C918" s="259" t="s">
        <v>140</v>
      </c>
      <c r="D918" s="259" t="s">
        <v>5</v>
      </c>
      <c r="E918" s="259" t="s">
        <v>6</v>
      </c>
      <c r="F918" s="260" t="s">
        <v>57</v>
      </c>
      <c r="G918" s="260" t="s">
        <v>58</v>
      </c>
      <c r="H918" s="260" t="s">
        <v>149</v>
      </c>
      <c r="I918" s="260" t="s">
        <v>145</v>
      </c>
      <c r="J918" s="260" t="s">
        <v>61</v>
      </c>
    </row>
    <row r="919" spans="1:10">
      <c r="A919" s="1671"/>
      <c r="B919" s="261" t="s">
        <v>146</v>
      </c>
      <c r="C919" s="261" t="s">
        <v>146</v>
      </c>
      <c r="D919" s="261" t="s">
        <v>146</v>
      </c>
      <c r="E919" s="261" t="s">
        <v>146</v>
      </c>
      <c r="F919" s="261" t="s">
        <v>146</v>
      </c>
      <c r="G919" s="261" t="s">
        <v>146</v>
      </c>
      <c r="H919" s="261" t="s">
        <v>146</v>
      </c>
      <c r="I919" s="261" t="s">
        <v>146</v>
      </c>
      <c r="J919" s="261" t="s">
        <v>146</v>
      </c>
    </row>
    <row r="920" spans="1:10">
      <c r="A920" s="256">
        <v>38810</v>
      </c>
      <c r="B920" s="264">
        <v>24.91</v>
      </c>
      <c r="C920" s="264">
        <v>23.48</v>
      </c>
      <c r="D920" s="264">
        <v>23</v>
      </c>
      <c r="E920" s="264">
        <v>19.23</v>
      </c>
      <c r="F920" s="257">
        <v>21</v>
      </c>
      <c r="G920" s="257">
        <f>+(11.13+10.85+0.38351*1.12)/2</f>
        <v>11.2047656</v>
      </c>
      <c r="H920" s="257">
        <v>37.75</v>
      </c>
      <c r="I920" s="257">
        <f>+(22.56+25.24)/2</f>
        <v>23.9</v>
      </c>
      <c r="J920" s="257">
        <f>(85.7/(25/4.19))</f>
        <v>14.363320000000003</v>
      </c>
    </row>
    <row r="921" spans="1:10">
      <c r="A921" s="256">
        <v>38817</v>
      </c>
      <c r="B921" s="264">
        <v>25.02</v>
      </c>
      <c r="C921" s="264">
        <v>24.3</v>
      </c>
      <c r="D921" s="264">
        <v>23.81</v>
      </c>
      <c r="E921" s="264">
        <v>19.579999999999998</v>
      </c>
      <c r="F921" s="257">
        <v>20.99</v>
      </c>
      <c r="G921" s="257">
        <f>+(11.13+10.85+0.38351*1.12)/2</f>
        <v>11.2047656</v>
      </c>
      <c r="H921" s="257">
        <v>40.1</v>
      </c>
      <c r="I921" s="257">
        <f>+(22.56+25.24)/2</f>
        <v>23.9</v>
      </c>
      <c r="J921" s="257">
        <f>(85.7/(25/4.19))</f>
        <v>14.363320000000003</v>
      </c>
    </row>
    <row r="922" spans="1:10">
      <c r="A922" s="256">
        <v>38824</v>
      </c>
      <c r="B922" s="264">
        <v>25.01</v>
      </c>
      <c r="C922" s="264">
        <v>24.35</v>
      </c>
      <c r="D922" s="264">
        <v>23.85</v>
      </c>
      <c r="E922" s="264">
        <v>19.600000000000001</v>
      </c>
      <c r="F922" s="257">
        <v>21.66</v>
      </c>
      <c r="G922" s="257">
        <f>+(11.13+11+0.38351*1.12)/2</f>
        <v>11.279765600000001</v>
      </c>
      <c r="H922" s="257">
        <v>40.1</v>
      </c>
      <c r="I922" s="257">
        <f>+(23.53+25.24)/2</f>
        <v>24.384999999999998</v>
      </c>
      <c r="J922" s="257">
        <f>(85.64/(25/4.19))</f>
        <v>14.353264000000003</v>
      </c>
    </row>
    <row r="923" spans="1:10">
      <c r="A923" s="256">
        <v>38831</v>
      </c>
      <c r="B923" s="264">
        <v>26.49</v>
      </c>
      <c r="C923" s="264">
        <v>25.78</v>
      </c>
      <c r="D923" s="264">
        <v>25.28</v>
      </c>
      <c r="E923" s="264">
        <v>20.09</v>
      </c>
      <c r="F923" s="257">
        <v>21.83</v>
      </c>
      <c r="G923" s="257">
        <f>+(11.13+11+0.38351*1.12)/2</f>
        <v>11.279765600000001</v>
      </c>
      <c r="H923" s="257">
        <v>40.1</v>
      </c>
      <c r="I923" s="257">
        <f>+(23.53+25.24)/2</f>
        <v>24.384999999999998</v>
      </c>
      <c r="J923" s="257">
        <f>(85.64/(25/4.19))</f>
        <v>14.353264000000003</v>
      </c>
    </row>
    <row r="924" spans="1:10">
      <c r="A924" s="262" t="s">
        <v>7</v>
      </c>
      <c r="B924" s="263">
        <f t="shared" ref="B924:J924" si="74">AVERAGE(B920:B923)</f>
        <v>25.357499999999998</v>
      </c>
      <c r="C924" s="263">
        <f t="shared" si="74"/>
        <v>24.477499999999999</v>
      </c>
      <c r="D924" s="263">
        <f t="shared" si="74"/>
        <v>23.984999999999999</v>
      </c>
      <c r="E924" s="263">
        <f t="shared" si="74"/>
        <v>19.625</v>
      </c>
      <c r="F924" s="263">
        <f t="shared" si="74"/>
        <v>21.369999999999997</v>
      </c>
      <c r="G924" s="263">
        <f t="shared" si="74"/>
        <v>11.2422656</v>
      </c>
      <c r="H924" s="263">
        <f t="shared" si="74"/>
        <v>39.512499999999996</v>
      </c>
      <c r="I924" s="263">
        <f t="shared" si="74"/>
        <v>24.142499999999998</v>
      </c>
      <c r="J924" s="263">
        <f t="shared" si="74"/>
        <v>14.358292000000004</v>
      </c>
    </row>
    <row r="926" spans="1:10">
      <c r="A926" s="1671" t="s">
        <v>1</v>
      </c>
      <c r="B926" s="259" t="s">
        <v>139</v>
      </c>
      <c r="C926" s="259" t="s">
        <v>140</v>
      </c>
      <c r="D926" s="259" t="s">
        <v>5</v>
      </c>
      <c r="E926" s="259" t="s">
        <v>6</v>
      </c>
      <c r="F926" s="260" t="s">
        <v>57</v>
      </c>
      <c r="G926" s="260" t="s">
        <v>58</v>
      </c>
      <c r="H926" s="260" t="s">
        <v>149</v>
      </c>
      <c r="I926" s="260" t="s">
        <v>145</v>
      </c>
      <c r="J926" s="260" t="s">
        <v>61</v>
      </c>
    </row>
    <row r="927" spans="1:10">
      <c r="A927" s="1671"/>
      <c r="B927" s="261" t="s">
        <v>146</v>
      </c>
      <c r="C927" s="261" t="s">
        <v>146</v>
      </c>
      <c r="D927" s="261" t="s">
        <v>146</v>
      </c>
      <c r="E927" s="261" t="s">
        <v>146</v>
      </c>
      <c r="F927" s="261" t="s">
        <v>146</v>
      </c>
      <c r="G927" s="261" t="s">
        <v>146</v>
      </c>
      <c r="H927" s="261" t="s">
        <v>146</v>
      </c>
      <c r="I927" s="261" t="s">
        <v>146</v>
      </c>
      <c r="J927" s="261" t="s">
        <v>146</v>
      </c>
    </row>
    <row r="928" spans="1:10">
      <c r="A928" s="256">
        <v>38839</v>
      </c>
      <c r="B928" s="264">
        <v>26.5</v>
      </c>
      <c r="C928" s="264">
        <v>25.88</v>
      </c>
      <c r="D928" s="264">
        <v>25.4</v>
      </c>
      <c r="E928" s="264">
        <v>20.18</v>
      </c>
      <c r="F928" s="257">
        <v>22.16</v>
      </c>
      <c r="G928" s="257">
        <f>+(11.49+11.55+0.38351*1.12)/2</f>
        <v>11.734765599999999</v>
      </c>
      <c r="H928" s="257">
        <v>40.51</v>
      </c>
      <c r="I928" s="257">
        <f>+(24.65+25.24)/2</f>
        <v>24.945</v>
      </c>
      <c r="J928" s="257">
        <f>(85.7/(25/4.19))</f>
        <v>14.363320000000003</v>
      </c>
    </row>
    <row r="929" spans="1:10">
      <c r="A929" s="256">
        <v>38845</v>
      </c>
      <c r="B929" s="264">
        <v>26.58</v>
      </c>
      <c r="C929" s="264">
        <v>26.01</v>
      </c>
      <c r="D929" s="264">
        <v>25.54</v>
      </c>
      <c r="E929" s="264">
        <v>20.420000000000002</v>
      </c>
      <c r="F929" s="257">
        <v>22.16</v>
      </c>
      <c r="G929" s="257">
        <f>+(11.49+11.6+0.38351*1.12)/2</f>
        <v>11.7597656</v>
      </c>
      <c r="H929" s="257">
        <v>40.51</v>
      </c>
      <c r="I929" s="257">
        <f>+(24.65+26.87)/2</f>
        <v>25.759999999999998</v>
      </c>
      <c r="J929" s="257">
        <f>(85.7/(25/4.19))</f>
        <v>14.363320000000003</v>
      </c>
    </row>
    <row r="930" spans="1:10">
      <c r="A930" s="256">
        <v>38852</v>
      </c>
      <c r="B930" s="264">
        <v>28.36</v>
      </c>
      <c r="C930" s="264">
        <v>27.05</v>
      </c>
      <c r="D930" s="264">
        <v>26.56</v>
      </c>
      <c r="E930" s="264">
        <v>20.67</v>
      </c>
      <c r="F930" s="257">
        <v>22.16</v>
      </c>
      <c r="G930" s="257">
        <f>+(11.49+11.15+0.38351*1.12)/2</f>
        <v>11.5347656</v>
      </c>
      <c r="H930" s="257">
        <v>40.14</v>
      </c>
      <c r="I930" s="257">
        <f>+(24.65+26.87)/2</f>
        <v>25.759999999999998</v>
      </c>
      <c r="J930" s="257">
        <f>(85.64/(25/4.19))</f>
        <v>14.353264000000003</v>
      </c>
    </row>
    <row r="931" spans="1:10">
      <c r="A931" s="256">
        <v>38859</v>
      </c>
      <c r="B931" s="264">
        <v>28.5</v>
      </c>
      <c r="C931" s="264">
        <v>27.65</v>
      </c>
      <c r="D931" s="264">
        <v>27.17</v>
      </c>
      <c r="E931" s="264">
        <v>20.89</v>
      </c>
      <c r="F931" s="257">
        <v>22.16</v>
      </c>
      <c r="G931" s="257">
        <f>+(11.49+11.25+0.38351*1.12)/2</f>
        <v>11.584765600000001</v>
      </c>
      <c r="H931" s="257">
        <v>39.76</v>
      </c>
      <c r="I931" s="257">
        <f>+(24.28+26.87)/2</f>
        <v>25.575000000000003</v>
      </c>
      <c r="J931" s="257">
        <f>(85.64/(25/4.19))</f>
        <v>14.353264000000003</v>
      </c>
    </row>
    <row r="932" spans="1:10">
      <c r="A932" s="256">
        <v>38866</v>
      </c>
      <c r="B932" s="264">
        <v>28.47</v>
      </c>
      <c r="C932" s="264">
        <v>27.64</v>
      </c>
      <c r="D932" s="264">
        <v>27.16</v>
      </c>
      <c r="E932" s="264">
        <v>20.86</v>
      </c>
      <c r="F932" s="257">
        <v>22.16</v>
      </c>
      <c r="G932" s="257">
        <f>+(11.49+11.2+0.38351*1.12)/2</f>
        <v>11.559765599999999</v>
      </c>
      <c r="H932" s="257">
        <v>39.76</v>
      </c>
      <c r="I932" s="257">
        <f>+(24.28+26.87)/2</f>
        <v>25.575000000000003</v>
      </c>
      <c r="J932" s="257">
        <f>(85.64/(25/4.19))</f>
        <v>14.353264000000003</v>
      </c>
    </row>
    <row r="933" spans="1:10">
      <c r="A933" s="262" t="s">
        <v>7</v>
      </c>
      <c r="B933" s="263">
        <f t="shared" ref="B933:J933" si="75">AVERAGE(B928:B932)</f>
        <v>27.681999999999999</v>
      </c>
      <c r="C933" s="263">
        <f t="shared" si="75"/>
        <v>26.846000000000004</v>
      </c>
      <c r="D933" s="263">
        <f t="shared" si="75"/>
        <v>26.366000000000003</v>
      </c>
      <c r="E933" s="263">
        <f t="shared" si="75"/>
        <v>20.603999999999999</v>
      </c>
      <c r="F933" s="263">
        <f t="shared" si="75"/>
        <v>22.16</v>
      </c>
      <c r="G933" s="263">
        <f t="shared" si="75"/>
        <v>11.634765599999998</v>
      </c>
      <c r="H933" s="263">
        <f t="shared" si="75"/>
        <v>40.135999999999996</v>
      </c>
      <c r="I933" s="263">
        <f t="shared" si="75"/>
        <v>25.523000000000003</v>
      </c>
      <c r="J933" s="263">
        <f t="shared" si="75"/>
        <v>14.357286400000003</v>
      </c>
    </row>
    <row r="935" spans="1:10">
      <c r="A935" s="1671" t="s">
        <v>1</v>
      </c>
      <c r="B935" s="259" t="s">
        <v>139</v>
      </c>
      <c r="C935" s="259" t="s">
        <v>140</v>
      </c>
      <c r="D935" s="259" t="s">
        <v>5</v>
      </c>
      <c r="E935" s="259" t="s">
        <v>6</v>
      </c>
      <c r="F935" s="260" t="s">
        <v>57</v>
      </c>
      <c r="G935" s="260" t="s">
        <v>58</v>
      </c>
      <c r="H935" s="260" t="s">
        <v>149</v>
      </c>
      <c r="I935" s="260" t="s">
        <v>145</v>
      </c>
      <c r="J935" s="260" t="s">
        <v>61</v>
      </c>
    </row>
    <row r="936" spans="1:10">
      <c r="A936" s="1671"/>
      <c r="B936" s="261" t="s">
        <v>146</v>
      </c>
      <c r="C936" s="261" t="s">
        <v>146</v>
      </c>
      <c r="D936" s="261" t="s">
        <v>146</v>
      </c>
      <c r="E936" s="261" t="s">
        <v>146</v>
      </c>
      <c r="F936" s="261" t="s">
        <v>146</v>
      </c>
      <c r="G936" s="261" t="s">
        <v>146</v>
      </c>
      <c r="H936" s="261" t="s">
        <v>146</v>
      </c>
      <c r="I936" s="261" t="s">
        <v>146</v>
      </c>
      <c r="J936" s="261" t="s">
        <v>146</v>
      </c>
    </row>
    <row r="937" spans="1:10">
      <c r="A937" s="256">
        <v>38873</v>
      </c>
      <c r="B937" s="264">
        <v>28</v>
      </c>
      <c r="C937" s="264">
        <v>27.34</v>
      </c>
      <c r="D937" s="264">
        <v>26.85</v>
      </c>
      <c r="E937" s="264">
        <v>20.81</v>
      </c>
      <c r="F937" s="257">
        <v>22.16</v>
      </c>
      <c r="G937" s="257">
        <f>+(11.01+11.16+0.38351*1.12)/2</f>
        <v>11.299765600000001</v>
      </c>
      <c r="H937" s="257">
        <v>36.630000000000003</v>
      </c>
      <c r="I937" s="257">
        <f>+(23.8+26.92)/2</f>
        <v>25.36</v>
      </c>
      <c r="J937" s="257">
        <f>(85.6/(25/4.19))</f>
        <v>14.346560000000002</v>
      </c>
    </row>
    <row r="938" spans="1:10">
      <c r="A938" s="256">
        <v>38880</v>
      </c>
      <c r="B938" s="264">
        <v>27.93</v>
      </c>
      <c r="C938" s="264">
        <v>27.22</v>
      </c>
      <c r="D938" s="264">
        <v>26.73</v>
      </c>
      <c r="E938" s="264">
        <v>20.76</v>
      </c>
      <c r="F938" s="257">
        <v>22.16</v>
      </c>
      <c r="G938" s="257">
        <f>+(11.01+11.12+0.38351*1.12)/2</f>
        <v>11.279765599999999</v>
      </c>
      <c r="H938" s="257">
        <v>36.630000000000003</v>
      </c>
      <c r="I938" s="257">
        <f>+(23.8+26.92)/2</f>
        <v>25.36</v>
      </c>
      <c r="J938" s="257">
        <f>(85.61/(25/4.19))</f>
        <v>14.348236000000002</v>
      </c>
    </row>
    <row r="939" spans="1:10">
      <c r="A939" s="256">
        <v>38887</v>
      </c>
      <c r="B939" s="264">
        <v>26.95</v>
      </c>
      <c r="C939" s="264">
        <v>26.32</v>
      </c>
      <c r="D939" s="264">
        <v>25.8</v>
      </c>
      <c r="E939" s="264">
        <v>20.62</v>
      </c>
      <c r="F939" s="257">
        <v>22.33</v>
      </c>
      <c r="G939" s="257">
        <f>+(11.01+10.9+0.38351*1.12)/2</f>
        <v>11.1697656</v>
      </c>
      <c r="H939" s="257">
        <v>36.630000000000003</v>
      </c>
      <c r="I939" s="257">
        <f>+(24.49+26.92)/2</f>
        <v>25.704999999999998</v>
      </c>
      <c r="J939" s="257">
        <f>(85.6/(25/4.19))</f>
        <v>14.346560000000002</v>
      </c>
    </row>
    <row r="940" spans="1:10">
      <c r="A940" s="256">
        <v>38894</v>
      </c>
      <c r="B940" s="264">
        <v>26.88</v>
      </c>
      <c r="C940" s="264">
        <v>26.18</v>
      </c>
      <c r="D940" s="264">
        <v>25.66</v>
      </c>
      <c r="E940" s="264">
        <v>20.57</v>
      </c>
      <c r="F940" s="257">
        <v>22.6</v>
      </c>
      <c r="G940" s="257">
        <f>+(11.01+10.75+0.38351*1.12)/2</f>
        <v>11.094765599999999</v>
      </c>
      <c r="H940" s="257">
        <v>36.630000000000003</v>
      </c>
      <c r="I940" s="257">
        <f>+(24.49+26.92)/2</f>
        <v>25.704999999999998</v>
      </c>
      <c r="J940" s="257">
        <f>(85.6/(25/4.19))</f>
        <v>14.346560000000002</v>
      </c>
    </row>
    <row r="941" spans="1:10">
      <c r="A941" s="262" t="s">
        <v>7</v>
      </c>
      <c r="B941" s="263">
        <f t="shared" ref="B941:J941" si="76">AVERAGE(B937:B940)</f>
        <v>27.439999999999998</v>
      </c>
      <c r="C941" s="263">
        <f t="shared" si="76"/>
        <v>26.765000000000001</v>
      </c>
      <c r="D941" s="263">
        <f t="shared" si="76"/>
        <v>26.259999999999998</v>
      </c>
      <c r="E941" s="263">
        <f t="shared" si="76"/>
        <v>20.689999999999998</v>
      </c>
      <c r="F941" s="263">
        <f t="shared" si="76"/>
        <v>22.3125</v>
      </c>
      <c r="G941" s="263">
        <f t="shared" si="76"/>
        <v>11.2110156</v>
      </c>
      <c r="H941" s="263">
        <f t="shared" si="76"/>
        <v>36.630000000000003</v>
      </c>
      <c r="I941" s="263">
        <f t="shared" si="76"/>
        <v>25.532499999999999</v>
      </c>
      <c r="J941" s="263">
        <f t="shared" si="76"/>
        <v>14.346979000000003</v>
      </c>
    </row>
    <row r="943" spans="1:10">
      <c r="A943" s="1671" t="s">
        <v>1</v>
      </c>
      <c r="B943" s="259" t="s">
        <v>139</v>
      </c>
      <c r="C943" s="259" t="s">
        <v>140</v>
      </c>
      <c r="D943" s="259" t="s">
        <v>5</v>
      </c>
      <c r="E943" s="259" t="s">
        <v>6</v>
      </c>
      <c r="F943" s="260" t="s">
        <v>57</v>
      </c>
      <c r="G943" s="260" t="s">
        <v>58</v>
      </c>
      <c r="H943" s="260" t="s">
        <v>149</v>
      </c>
      <c r="I943" s="260" t="s">
        <v>145</v>
      </c>
      <c r="J943" s="260" t="s">
        <v>61</v>
      </c>
    </row>
    <row r="944" spans="1:10">
      <c r="A944" s="1671"/>
      <c r="B944" s="261" t="s">
        <v>146</v>
      </c>
      <c r="C944" s="261" t="s">
        <v>146</v>
      </c>
      <c r="D944" s="261" t="s">
        <v>146</v>
      </c>
      <c r="E944" s="261" t="s">
        <v>146</v>
      </c>
      <c r="F944" s="261" t="s">
        <v>146</v>
      </c>
      <c r="G944" s="261" t="s">
        <v>146</v>
      </c>
      <c r="H944" s="261" t="s">
        <v>146</v>
      </c>
      <c r="I944" s="261" t="s">
        <v>146</v>
      </c>
      <c r="J944" s="261" t="s">
        <v>146</v>
      </c>
    </row>
    <row r="945" spans="1:10">
      <c r="A945" s="256">
        <v>38901</v>
      </c>
      <c r="B945" s="264">
        <v>26.87</v>
      </c>
      <c r="C945" s="264">
        <v>26.14</v>
      </c>
      <c r="D945" s="264">
        <v>25.64</v>
      </c>
      <c r="E945" s="264">
        <v>20.52</v>
      </c>
      <c r="F945" s="257">
        <v>22.6</v>
      </c>
      <c r="G945" s="257">
        <f>+(10.95+10.8+0.38351*1.12)/2</f>
        <v>11.0897656</v>
      </c>
      <c r="H945" s="257">
        <v>36.630000000000003</v>
      </c>
      <c r="I945" s="257">
        <f>+(23.74+26.92)/2</f>
        <v>25.33</v>
      </c>
      <c r="J945" s="257">
        <f>(85.59/(25/4.19))</f>
        <v>14.344884000000002</v>
      </c>
    </row>
    <row r="946" spans="1:10">
      <c r="A946" s="256">
        <v>38908</v>
      </c>
      <c r="B946" s="264">
        <v>26.81</v>
      </c>
      <c r="C946" s="264">
        <v>26.13</v>
      </c>
      <c r="D946" s="264">
        <v>25.6</v>
      </c>
      <c r="E946" s="264">
        <v>20.51</v>
      </c>
      <c r="F946" s="257">
        <v>22.6</v>
      </c>
      <c r="G946" s="257">
        <f>+(10.95+10.85+0.38351*1.12)/2</f>
        <v>11.114765599999998</v>
      </c>
      <c r="H946" s="257">
        <v>36.630000000000003</v>
      </c>
      <c r="I946" s="257">
        <f>+(23.74+26.92)/2</f>
        <v>25.33</v>
      </c>
      <c r="J946" s="257">
        <f>(85.59/(25/4.19))</f>
        <v>14.344884000000002</v>
      </c>
    </row>
    <row r="947" spans="1:10">
      <c r="A947" s="256">
        <v>38915</v>
      </c>
      <c r="B947" s="264">
        <v>26.78</v>
      </c>
      <c r="C947" s="264">
        <v>26.11</v>
      </c>
      <c r="D947" s="264">
        <v>25.58</v>
      </c>
      <c r="E947" s="264">
        <v>20.53</v>
      </c>
      <c r="F947" s="257">
        <v>22.6</v>
      </c>
      <c r="G947" s="257">
        <f>+(10.95+10.95+0.38351*1.12)/2</f>
        <v>11.164765599999999</v>
      </c>
      <c r="H947" s="257">
        <v>36.630000000000003</v>
      </c>
      <c r="I947" s="257">
        <f>+(24.47+26.92)/2</f>
        <v>25.695</v>
      </c>
      <c r="J947" s="257">
        <f>(85.97/(25/4.19))</f>
        <v>14.408572000000001</v>
      </c>
    </row>
    <row r="948" spans="1:10">
      <c r="A948" s="256">
        <v>38922</v>
      </c>
      <c r="B948" s="264">
        <v>27.93</v>
      </c>
      <c r="C948" s="264">
        <v>27.21</v>
      </c>
      <c r="D948" s="264">
        <v>26.71</v>
      </c>
      <c r="E948" s="264">
        <v>21.1</v>
      </c>
      <c r="F948" s="257">
        <v>23.26</v>
      </c>
      <c r="G948" s="257">
        <f>+(10.95+11.15+0.38351*1.12)/2</f>
        <v>11.2647656</v>
      </c>
      <c r="H948" s="257">
        <v>36.630000000000003</v>
      </c>
      <c r="I948" s="257">
        <f>+(24.47+26.92)/2</f>
        <v>25.695</v>
      </c>
      <c r="J948" s="257">
        <f>(90.5/(25/4.19))</f>
        <v>15.167800000000002</v>
      </c>
    </row>
    <row r="949" spans="1:10">
      <c r="A949" s="256">
        <v>38929</v>
      </c>
      <c r="B949" s="264">
        <v>27.96</v>
      </c>
      <c r="C949" s="264">
        <v>27.3</v>
      </c>
      <c r="D949" s="264">
        <v>26.81</v>
      </c>
      <c r="E949" s="264">
        <v>21.14</v>
      </c>
      <c r="F949" s="257">
        <v>23.6</v>
      </c>
      <c r="G949" s="257">
        <f>+(10.95+10.95+0.38351*1.12)/2</f>
        <v>11.164765599999999</v>
      </c>
      <c r="H949" s="257">
        <v>36.630000000000003</v>
      </c>
      <c r="I949" s="257">
        <f>+(24.47+26.92)/2</f>
        <v>25.695</v>
      </c>
      <c r="J949" s="257">
        <f>(90.53/(25/4.19))</f>
        <v>15.172828000000003</v>
      </c>
    </row>
    <row r="950" spans="1:10">
      <c r="A950" s="262" t="s">
        <v>7</v>
      </c>
      <c r="B950" s="263">
        <f t="shared" ref="B950:J950" si="77">AVERAGE(B945:B949)</f>
        <v>27.270000000000003</v>
      </c>
      <c r="C950" s="263">
        <f t="shared" si="77"/>
        <v>26.578000000000003</v>
      </c>
      <c r="D950" s="263">
        <f t="shared" si="77"/>
        <v>26.068000000000001</v>
      </c>
      <c r="E950" s="263">
        <f t="shared" si="77"/>
        <v>20.759999999999998</v>
      </c>
      <c r="F950" s="263">
        <f t="shared" si="77"/>
        <v>22.932000000000006</v>
      </c>
      <c r="G950" s="263">
        <f t="shared" si="77"/>
        <v>11.1597656</v>
      </c>
      <c r="H950" s="263">
        <f t="shared" si="77"/>
        <v>36.630000000000003</v>
      </c>
      <c r="I950" s="263">
        <f t="shared" si="77"/>
        <v>25.548999999999996</v>
      </c>
      <c r="J950" s="263">
        <f t="shared" si="77"/>
        <v>14.687793600000003</v>
      </c>
    </row>
    <row r="952" spans="1:10">
      <c r="A952" s="1671" t="s">
        <v>1</v>
      </c>
      <c r="B952" s="259" t="s">
        <v>139</v>
      </c>
      <c r="C952" s="259" t="s">
        <v>140</v>
      </c>
      <c r="D952" s="259" t="s">
        <v>5</v>
      </c>
      <c r="E952" s="259" t="s">
        <v>6</v>
      </c>
      <c r="F952" s="260" t="s">
        <v>57</v>
      </c>
      <c r="G952" s="260" t="s">
        <v>58</v>
      </c>
      <c r="H952" s="260" t="s">
        <v>149</v>
      </c>
      <c r="I952" s="260" t="s">
        <v>145</v>
      </c>
      <c r="J952" s="260" t="s">
        <v>61</v>
      </c>
    </row>
    <row r="953" spans="1:10">
      <c r="A953" s="1671"/>
      <c r="B953" s="261" t="s">
        <v>146</v>
      </c>
      <c r="C953" s="261" t="s">
        <v>146</v>
      </c>
      <c r="D953" s="261" t="s">
        <v>146</v>
      </c>
      <c r="E953" s="261" t="s">
        <v>146</v>
      </c>
      <c r="F953" s="261" t="s">
        <v>146</v>
      </c>
      <c r="G953" s="261" t="s">
        <v>146</v>
      </c>
      <c r="H953" s="261" t="s">
        <v>146</v>
      </c>
      <c r="I953" s="261" t="s">
        <v>146</v>
      </c>
      <c r="J953" s="261" t="s">
        <v>146</v>
      </c>
    </row>
    <row r="954" spans="1:10">
      <c r="A954" s="114">
        <v>38936</v>
      </c>
      <c r="B954" s="264">
        <v>28.99</v>
      </c>
      <c r="C954" s="264">
        <v>28.24</v>
      </c>
      <c r="D954" s="264">
        <v>27.75</v>
      </c>
      <c r="E954" s="264">
        <v>21.65</v>
      </c>
      <c r="F954" s="257">
        <v>23.6</v>
      </c>
      <c r="G954" s="257">
        <f>+(11.47+11.15+0.38351*1.12)/2</f>
        <v>11.5247656</v>
      </c>
      <c r="H954" s="257">
        <v>36.630000000000003</v>
      </c>
      <c r="I954" s="257">
        <f>+(24.8+26.92)/2</f>
        <v>25.86</v>
      </c>
      <c r="J954" s="257">
        <f>(90.75/(25/4.19))</f>
        <v>15.209700000000002</v>
      </c>
    </row>
    <row r="955" spans="1:10">
      <c r="A955" s="114">
        <v>38943</v>
      </c>
      <c r="B955" s="264">
        <v>28.96</v>
      </c>
      <c r="C955" s="264">
        <v>28.21</v>
      </c>
      <c r="D955" s="264">
        <v>27.72</v>
      </c>
      <c r="E955" s="264">
        <v>21.61</v>
      </c>
      <c r="F955" s="257">
        <v>23.66</v>
      </c>
      <c r="G955" s="257">
        <f>+(11.47+11+0.38351*1.12)/2</f>
        <v>11.449765599999999</v>
      </c>
      <c r="H955" s="257">
        <v>36.630000000000003</v>
      </c>
      <c r="I955" s="257">
        <f>+(24.8+26.92)/2</f>
        <v>25.86</v>
      </c>
      <c r="J955" s="257">
        <f>(91.37/(25/4.19))</f>
        <v>15.313612000000003</v>
      </c>
    </row>
    <row r="956" spans="1:10">
      <c r="A956" s="114">
        <v>38950</v>
      </c>
      <c r="B956" s="264">
        <v>28.92</v>
      </c>
      <c r="C956" s="264">
        <v>28.17</v>
      </c>
      <c r="D956" s="264">
        <v>27.66</v>
      </c>
      <c r="E956" s="264">
        <v>21.55</v>
      </c>
      <c r="F956" s="257">
        <v>23.66</v>
      </c>
      <c r="G956" s="257">
        <f>+(11.47+11.05+0.38351*1.12)/2</f>
        <v>11.474765600000001</v>
      </c>
      <c r="H956" s="257">
        <v>39.94</v>
      </c>
      <c r="I956" s="257">
        <f>+(24.79+27.56)/2</f>
        <v>26.174999999999997</v>
      </c>
      <c r="J956" s="257">
        <f>(95.26/(25/4.19))</f>
        <v>15.965576000000004</v>
      </c>
    </row>
    <row r="957" spans="1:10">
      <c r="A957" s="114">
        <v>38957</v>
      </c>
      <c r="B957" s="264">
        <v>28.45</v>
      </c>
      <c r="C957" s="264">
        <v>27.86</v>
      </c>
      <c r="D957" s="264">
        <v>27.35</v>
      </c>
      <c r="E957" s="264">
        <v>21.44</v>
      </c>
      <c r="F957" s="257">
        <v>23.66</v>
      </c>
      <c r="G957" s="257">
        <f>+(11.47+11.05+0.38351*1.12)/2</f>
        <v>11.474765600000001</v>
      </c>
      <c r="H957" s="257">
        <v>39.94</v>
      </c>
      <c r="I957" s="257">
        <f>+(24.79+27.56)/2</f>
        <v>26.174999999999997</v>
      </c>
      <c r="J957" s="257">
        <f>(95.52/(25/4.19))</f>
        <v>16.009152</v>
      </c>
    </row>
    <row r="958" spans="1:10">
      <c r="A958" s="262" t="s">
        <v>7</v>
      </c>
      <c r="B958" s="263">
        <f t="shared" ref="B958:J958" si="78">AVERAGE(B954:B957)</f>
        <v>28.830000000000002</v>
      </c>
      <c r="C958" s="263">
        <f t="shared" si="78"/>
        <v>28.12</v>
      </c>
      <c r="D958" s="263">
        <f t="shared" si="78"/>
        <v>27.619999999999997</v>
      </c>
      <c r="E958" s="263">
        <f t="shared" si="78"/>
        <v>21.5625</v>
      </c>
      <c r="F958" s="263">
        <f t="shared" si="78"/>
        <v>23.645</v>
      </c>
      <c r="G958" s="263">
        <f t="shared" si="78"/>
        <v>11.481015599999999</v>
      </c>
      <c r="H958" s="263">
        <f t="shared" si="78"/>
        <v>38.284999999999997</v>
      </c>
      <c r="I958" s="263">
        <f t="shared" si="78"/>
        <v>26.017499999999998</v>
      </c>
      <c r="J958" s="263">
        <f t="shared" si="78"/>
        <v>15.624510000000003</v>
      </c>
    </row>
    <row r="960" spans="1:10">
      <c r="A960" s="1671" t="s">
        <v>1</v>
      </c>
      <c r="B960" s="259" t="s">
        <v>139</v>
      </c>
      <c r="C960" s="259" t="s">
        <v>140</v>
      </c>
      <c r="D960" s="259" t="s">
        <v>5</v>
      </c>
      <c r="E960" s="259" t="s">
        <v>6</v>
      </c>
      <c r="F960" s="260" t="s">
        <v>57</v>
      </c>
      <c r="G960" s="260" t="s">
        <v>58</v>
      </c>
      <c r="H960" s="260" t="s">
        <v>149</v>
      </c>
      <c r="I960" s="260" t="s">
        <v>145</v>
      </c>
      <c r="J960" s="260" t="s">
        <v>61</v>
      </c>
    </row>
    <row r="961" spans="1:10">
      <c r="A961" s="1671"/>
      <c r="B961" s="261" t="s">
        <v>146</v>
      </c>
      <c r="C961" s="261" t="s">
        <v>146</v>
      </c>
      <c r="D961" s="261" t="s">
        <v>146</v>
      </c>
      <c r="E961" s="261" t="s">
        <v>146</v>
      </c>
      <c r="F961" s="261" t="s">
        <v>146</v>
      </c>
      <c r="G961" s="261" t="s">
        <v>146</v>
      </c>
      <c r="H961" s="261" t="s">
        <v>146</v>
      </c>
      <c r="I961" s="261" t="s">
        <v>146</v>
      </c>
      <c r="J961" s="261" t="s">
        <v>146</v>
      </c>
    </row>
    <row r="962" spans="1:10">
      <c r="A962" s="114">
        <v>38964</v>
      </c>
      <c r="B962" s="264">
        <v>28.43</v>
      </c>
      <c r="C962" s="264">
        <v>27.75</v>
      </c>
      <c r="D962" s="264">
        <v>27.22</v>
      </c>
      <c r="E962" s="264">
        <v>21.38</v>
      </c>
      <c r="F962" s="257">
        <v>23.62</v>
      </c>
      <c r="G962" s="257">
        <f>+(10.76+11.3+0.38351*1.12)/2</f>
        <v>11.244765600000001</v>
      </c>
      <c r="H962" s="257">
        <v>39.94</v>
      </c>
      <c r="I962" s="257">
        <f>+(24.28+27.56)/2</f>
        <v>25.92</v>
      </c>
      <c r="J962" s="257">
        <f>(95.5/(25/4.19))</f>
        <v>16.005800000000001</v>
      </c>
    </row>
    <row r="963" spans="1:10">
      <c r="A963" s="114">
        <v>38971</v>
      </c>
      <c r="B963" s="264">
        <v>28.41</v>
      </c>
      <c r="C963" s="264">
        <v>27.68</v>
      </c>
      <c r="D963" s="264">
        <v>27.17</v>
      </c>
      <c r="E963" s="264">
        <v>21.33</v>
      </c>
      <c r="F963" s="257">
        <v>23.62</v>
      </c>
      <c r="G963" s="257">
        <f>+(10.76+11+0.38351*1.12)/2</f>
        <v>11.094765599999999</v>
      </c>
      <c r="H963" s="257">
        <v>39.94</v>
      </c>
      <c r="I963" s="257">
        <f>+(24.28+27.56)/2</f>
        <v>25.92</v>
      </c>
      <c r="J963" s="257">
        <f>(95.49/(25/4.19))</f>
        <v>16.004124000000001</v>
      </c>
    </row>
    <row r="964" spans="1:10">
      <c r="A964" s="114">
        <v>38978</v>
      </c>
      <c r="B964" s="264">
        <v>27.03</v>
      </c>
      <c r="C964" s="264">
        <v>27.11</v>
      </c>
      <c r="D964" s="264">
        <v>26.59</v>
      </c>
      <c r="E964" s="264">
        <v>21.04</v>
      </c>
      <c r="F964" s="257">
        <v>23.33</v>
      </c>
      <c r="G964" s="257">
        <f>+(10.76+10.9+0.38351*1.12)/2</f>
        <v>11.0447656</v>
      </c>
      <c r="H964" s="257">
        <v>40.119999999999997</v>
      </c>
      <c r="I964" s="257">
        <f>+(22.43+27.56)/2</f>
        <v>24.994999999999997</v>
      </c>
      <c r="J964" s="257">
        <f>(95.49/(25/4.19))</f>
        <v>16.004124000000001</v>
      </c>
    </row>
    <row r="965" spans="1:10">
      <c r="A965" s="114">
        <v>38985</v>
      </c>
      <c r="B965" s="264">
        <v>27.02</v>
      </c>
      <c r="C965" s="264">
        <v>26.6</v>
      </c>
      <c r="D965" s="264">
        <v>26.09</v>
      </c>
      <c r="E965" s="264">
        <v>20.87</v>
      </c>
      <c r="F965" s="257">
        <v>23.33</v>
      </c>
      <c r="G965" s="257">
        <f>+(10.76+10.8+0.38351*1.12)/2</f>
        <v>10.994765600000001</v>
      </c>
      <c r="H965" s="257">
        <v>40.119999999999997</v>
      </c>
      <c r="I965" s="257">
        <f>+(22.43+27.56)/2</f>
        <v>24.994999999999997</v>
      </c>
      <c r="J965" s="257">
        <f>(95.52/(25/4.19))</f>
        <v>16.009152</v>
      </c>
    </row>
    <row r="966" spans="1:10">
      <c r="A966" s="262" t="s">
        <v>7</v>
      </c>
      <c r="B966" s="263">
        <f t="shared" ref="B966:J966" si="79">AVERAGE(B962:B965)</f>
        <v>27.7225</v>
      </c>
      <c r="C966" s="263">
        <f t="shared" si="79"/>
        <v>27.284999999999997</v>
      </c>
      <c r="D966" s="263">
        <f t="shared" si="79"/>
        <v>26.767500000000002</v>
      </c>
      <c r="E966" s="263">
        <f t="shared" si="79"/>
        <v>21.154999999999998</v>
      </c>
      <c r="F966" s="263">
        <f t="shared" si="79"/>
        <v>23.474999999999998</v>
      </c>
      <c r="G966" s="263">
        <f t="shared" si="79"/>
        <v>11.094765600000001</v>
      </c>
      <c r="H966" s="263">
        <f t="shared" si="79"/>
        <v>40.03</v>
      </c>
      <c r="I966" s="263">
        <f t="shared" si="79"/>
        <v>25.457500000000003</v>
      </c>
      <c r="J966" s="263">
        <f t="shared" si="79"/>
        <v>16.005800000000001</v>
      </c>
    </row>
    <row r="968" spans="1:10">
      <c r="A968" s="1671" t="s">
        <v>1</v>
      </c>
      <c r="B968" s="259" t="s">
        <v>139</v>
      </c>
      <c r="C968" s="259" t="s">
        <v>140</v>
      </c>
      <c r="D968" s="259" t="s">
        <v>5</v>
      </c>
      <c r="E968" s="259" t="s">
        <v>6</v>
      </c>
      <c r="F968" s="260" t="s">
        <v>57</v>
      </c>
      <c r="G968" s="260" t="s">
        <v>58</v>
      </c>
      <c r="H968" s="260" t="s">
        <v>149</v>
      </c>
      <c r="I968" s="260" t="s">
        <v>145</v>
      </c>
      <c r="J968" s="260" t="s">
        <v>61</v>
      </c>
    </row>
    <row r="969" spans="1:10">
      <c r="A969" s="1671"/>
      <c r="B969" s="261" t="s">
        <v>146</v>
      </c>
      <c r="C969" s="261" t="s">
        <v>146</v>
      </c>
      <c r="D969" s="261" t="s">
        <v>146</v>
      </c>
      <c r="E969" s="261" t="s">
        <v>146</v>
      </c>
      <c r="F969" s="261" t="s">
        <v>146</v>
      </c>
      <c r="G969" s="261" t="s">
        <v>146</v>
      </c>
      <c r="H969" s="261" t="s">
        <v>146</v>
      </c>
      <c r="I969" s="261" t="s">
        <v>146</v>
      </c>
      <c r="J969" s="261" t="s">
        <v>146</v>
      </c>
    </row>
    <row r="970" spans="1:10">
      <c r="A970" s="114">
        <v>38992</v>
      </c>
      <c r="B970" s="264">
        <v>26.87</v>
      </c>
      <c r="C970" s="264">
        <v>26.16</v>
      </c>
      <c r="D970" s="264">
        <v>25.69</v>
      </c>
      <c r="E970" s="264">
        <v>20.67</v>
      </c>
      <c r="F970" s="257">
        <v>22</v>
      </c>
      <c r="G970" s="257">
        <f>+(10.76+10.5+0.38351*1.12)/2</f>
        <v>10.844765599999999</v>
      </c>
      <c r="H970" s="257">
        <v>40.130000000000003</v>
      </c>
      <c r="I970" s="257">
        <f>+(22.43+27.56)/2</f>
        <v>24.994999999999997</v>
      </c>
      <c r="J970" s="257">
        <f>(95.6/(25/4.19))</f>
        <v>16.022560000000002</v>
      </c>
    </row>
    <row r="971" spans="1:10">
      <c r="A971" s="114">
        <v>38999</v>
      </c>
      <c r="B971" s="264">
        <v>26.21</v>
      </c>
      <c r="C971" s="264">
        <v>25.54</v>
      </c>
      <c r="D971" s="264">
        <v>25.05</v>
      </c>
      <c r="E971" s="264">
        <v>20.36</v>
      </c>
      <c r="F971" s="257">
        <v>22.67</v>
      </c>
      <c r="G971" s="257">
        <f>+(9.48+10.3+0.38351*1.12)/2</f>
        <v>10.1047656</v>
      </c>
      <c r="H971" s="257">
        <v>40.130000000000003</v>
      </c>
      <c r="I971" s="257">
        <f>+(22.43+27.56)/2</f>
        <v>24.994999999999997</v>
      </c>
      <c r="J971" s="257">
        <f>(95.58/(25/4.19))</f>
        <v>16.019208000000003</v>
      </c>
    </row>
    <row r="972" spans="1:10">
      <c r="A972" s="114">
        <v>39006</v>
      </c>
      <c r="B972" s="264">
        <v>26.08</v>
      </c>
      <c r="C972" s="264">
        <v>25.27</v>
      </c>
      <c r="D972" s="264">
        <v>24.79</v>
      </c>
      <c r="E972" s="264">
        <v>20.13</v>
      </c>
      <c r="F972" s="257">
        <v>22</v>
      </c>
      <c r="G972" s="257">
        <f>+(9.48+10+0.38351*1.12)/2</f>
        <v>9.9547656</v>
      </c>
      <c r="H972" s="257">
        <v>36.97</v>
      </c>
      <c r="I972" s="257">
        <v>24.5</v>
      </c>
      <c r="J972" s="257">
        <f>(95.58/(25/4.19))</f>
        <v>16.019208000000003</v>
      </c>
    </row>
    <row r="973" spans="1:10">
      <c r="A973" s="114">
        <v>39013</v>
      </c>
      <c r="B973" s="264">
        <v>24.02</v>
      </c>
      <c r="C973" s="264">
        <v>23.42</v>
      </c>
      <c r="D973" s="264">
        <v>22.93</v>
      </c>
      <c r="E973" s="264">
        <v>19.27</v>
      </c>
      <c r="F973" s="257">
        <v>21</v>
      </c>
      <c r="G973" s="257">
        <f>+(9.48+9.9+0.38351*1.12)/2</f>
        <v>9.9047656000000011</v>
      </c>
      <c r="H973" s="257">
        <v>36.97</v>
      </c>
      <c r="I973" s="257">
        <v>24.5</v>
      </c>
      <c r="J973" s="257">
        <f>(95.59/(25/4.19))</f>
        <v>16.020884000000002</v>
      </c>
    </row>
    <row r="974" spans="1:10">
      <c r="A974" s="114">
        <v>39020</v>
      </c>
      <c r="B974" s="264">
        <v>23.95</v>
      </c>
      <c r="C974" s="264">
        <v>23.25</v>
      </c>
      <c r="D974" s="264">
        <v>22.78</v>
      </c>
      <c r="E974" s="264">
        <v>19.12</v>
      </c>
      <c r="F974" s="257">
        <v>21.33</v>
      </c>
      <c r="G974" s="257">
        <f>+(9.48+9.9+0.38351*1.12)/2</f>
        <v>9.9047656000000011</v>
      </c>
      <c r="H974" s="257">
        <v>36.97</v>
      </c>
      <c r="I974" s="257">
        <v>23.25</v>
      </c>
      <c r="J974" s="257">
        <f>(95.59/(25/4.19))</f>
        <v>16.020884000000002</v>
      </c>
    </row>
    <row r="975" spans="1:10">
      <c r="A975" s="262" t="s">
        <v>7</v>
      </c>
      <c r="B975" s="263">
        <f t="shared" ref="B975:J975" si="80">AVERAGE(B970:B974)</f>
        <v>25.425999999999998</v>
      </c>
      <c r="C975" s="263">
        <f t="shared" si="80"/>
        <v>24.728000000000002</v>
      </c>
      <c r="D975" s="263">
        <f t="shared" si="80"/>
        <v>24.248000000000001</v>
      </c>
      <c r="E975" s="263">
        <f t="shared" si="80"/>
        <v>19.91</v>
      </c>
      <c r="F975" s="263">
        <f t="shared" si="80"/>
        <v>21.8</v>
      </c>
      <c r="G975" s="263">
        <f t="shared" si="80"/>
        <v>10.142765600000001</v>
      </c>
      <c r="H975" s="263">
        <f t="shared" si="80"/>
        <v>38.233999999999995</v>
      </c>
      <c r="I975" s="263">
        <f t="shared" si="80"/>
        <v>24.448</v>
      </c>
      <c r="J975" s="263">
        <f t="shared" si="80"/>
        <v>16.0205488</v>
      </c>
    </row>
    <row r="977" spans="1:10">
      <c r="A977" s="1671" t="s">
        <v>1</v>
      </c>
      <c r="B977" s="259" t="s">
        <v>139</v>
      </c>
      <c r="C977" s="259" t="s">
        <v>140</v>
      </c>
      <c r="D977" s="259" t="s">
        <v>5</v>
      </c>
      <c r="E977" s="259" t="s">
        <v>6</v>
      </c>
      <c r="F977" s="260" t="s">
        <v>57</v>
      </c>
      <c r="G977" s="260" t="s">
        <v>58</v>
      </c>
      <c r="H977" s="260" t="s">
        <v>149</v>
      </c>
      <c r="I977" s="260" t="s">
        <v>145</v>
      </c>
      <c r="J977" s="260" t="s">
        <v>61</v>
      </c>
    </row>
    <row r="978" spans="1:10">
      <c r="A978" s="1671"/>
      <c r="B978" s="261" t="s">
        <v>146</v>
      </c>
      <c r="C978" s="261" t="s">
        <v>146</v>
      </c>
      <c r="D978" s="261" t="s">
        <v>146</v>
      </c>
      <c r="E978" s="261" t="s">
        <v>146</v>
      </c>
      <c r="F978" s="261" t="s">
        <v>146</v>
      </c>
      <c r="G978" s="261" t="s">
        <v>146</v>
      </c>
      <c r="H978" s="261" t="s">
        <v>146</v>
      </c>
      <c r="I978" s="261" t="s">
        <v>146</v>
      </c>
      <c r="J978" s="261" t="s">
        <v>146</v>
      </c>
    </row>
    <row r="979" spans="1:10">
      <c r="A979" s="114">
        <v>39027</v>
      </c>
      <c r="B979" s="264">
        <v>23.91</v>
      </c>
      <c r="C979" s="264">
        <v>23.24</v>
      </c>
      <c r="D979" s="264">
        <v>22.76</v>
      </c>
      <c r="E979" s="264">
        <v>19.059999999999999</v>
      </c>
      <c r="F979" s="257">
        <v>22</v>
      </c>
      <c r="G979" s="257">
        <f>+(9.32+9.9+0.38351*1.12)/2</f>
        <v>9.8247655999999992</v>
      </c>
      <c r="H979" s="257">
        <v>36.97</v>
      </c>
      <c r="I979" s="257">
        <f>+(21.46+24.52)/2</f>
        <v>22.990000000000002</v>
      </c>
      <c r="J979" s="257">
        <f>(95.6/(25/4.19))</f>
        <v>16.022560000000002</v>
      </c>
    </row>
    <row r="980" spans="1:10">
      <c r="A980" s="114">
        <v>39034</v>
      </c>
      <c r="B980" s="264">
        <v>23.81</v>
      </c>
      <c r="C980" s="264">
        <v>23.19</v>
      </c>
      <c r="D980" s="264">
        <v>22.72</v>
      </c>
      <c r="E980" s="264">
        <v>19</v>
      </c>
      <c r="F980" s="257">
        <v>21.83</v>
      </c>
      <c r="G980" s="257">
        <f>+(9.32+9.9+0.38351*1.12)/2</f>
        <v>9.8247655999999992</v>
      </c>
      <c r="H980" s="257">
        <v>36.97</v>
      </c>
      <c r="I980" s="257">
        <f>+(21.46+24.52)/2</f>
        <v>22.990000000000002</v>
      </c>
      <c r="J980" s="257">
        <f>(95.62/(25/4.19))</f>
        <v>16.025912000000002</v>
      </c>
    </row>
    <row r="981" spans="1:10">
      <c r="A981" s="114">
        <v>39041</v>
      </c>
      <c r="B981" s="264">
        <v>23.8</v>
      </c>
      <c r="C981" s="264">
        <v>23.14</v>
      </c>
      <c r="D981" s="264">
        <v>22.69</v>
      </c>
      <c r="E981" s="264">
        <v>18.95</v>
      </c>
      <c r="F981" s="257">
        <v>21.62</v>
      </c>
      <c r="G981" s="257">
        <f>+(9.32+9.6+0.38351*1.12)/2</f>
        <v>9.6747656000000006</v>
      </c>
      <c r="H981" s="257">
        <v>36.97</v>
      </c>
      <c r="I981" s="257">
        <f>+(21.15+24.52)/2</f>
        <v>22.835000000000001</v>
      </c>
      <c r="J981" s="257">
        <f>(95.61/(25/4.19))</f>
        <v>16.024236000000002</v>
      </c>
    </row>
    <row r="982" spans="1:10">
      <c r="A982" s="114">
        <v>39048</v>
      </c>
      <c r="B982" s="264">
        <v>23.8</v>
      </c>
      <c r="C982" s="264">
        <v>23.14</v>
      </c>
      <c r="D982" s="264">
        <v>22.68</v>
      </c>
      <c r="E982" s="264">
        <v>18.670000000000002</v>
      </c>
      <c r="F982" s="257">
        <v>21.62</v>
      </c>
      <c r="G982" s="257">
        <f>+(9.32+9.6+0.38351*1.12)/2</f>
        <v>9.6747656000000006</v>
      </c>
      <c r="H982" s="257">
        <v>36.97</v>
      </c>
      <c r="I982" s="257">
        <f>+(21.15+24.52)/2</f>
        <v>22.835000000000001</v>
      </c>
      <c r="J982" s="257">
        <f>(95.57/(25/4.19))</f>
        <v>16.017532000000003</v>
      </c>
    </row>
    <row r="983" spans="1:10">
      <c r="A983" s="262" t="s">
        <v>7</v>
      </c>
      <c r="B983" s="263">
        <f t="shared" ref="B983:J983" si="81">AVERAGE(B979:B982)</f>
        <v>23.83</v>
      </c>
      <c r="C983" s="263">
        <f t="shared" si="81"/>
        <v>23.177499999999998</v>
      </c>
      <c r="D983" s="263">
        <f t="shared" si="81"/>
        <v>22.712499999999999</v>
      </c>
      <c r="E983" s="263">
        <f t="shared" si="81"/>
        <v>18.920000000000002</v>
      </c>
      <c r="F983" s="263">
        <f t="shared" si="81"/>
        <v>21.767500000000002</v>
      </c>
      <c r="G983" s="263">
        <f t="shared" si="81"/>
        <v>9.7497655999999999</v>
      </c>
      <c r="H983" s="263">
        <f t="shared" si="81"/>
        <v>36.97</v>
      </c>
      <c r="I983" s="263">
        <f t="shared" si="81"/>
        <v>22.912500000000001</v>
      </c>
      <c r="J983" s="263">
        <f t="shared" si="81"/>
        <v>16.022560000000002</v>
      </c>
    </row>
    <row r="985" spans="1:10">
      <c r="A985" s="1671" t="s">
        <v>1</v>
      </c>
      <c r="B985" s="259" t="s">
        <v>139</v>
      </c>
      <c r="C985" s="259" t="s">
        <v>140</v>
      </c>
      <c r="D985" s="259" t="s">
        <v>5</v>
      </c>
      <c r="E985" s="259" t="s">
        <v>6</v>
      </c>
      <c r="F985" s="260" t="s">
        <v>57</v>
      </c>
      <c r="G985" s="260" t="s">
        <v>58</v>
      </c>
      <c r="H985" s="260" t="s">
        <v>149</v>
      </c>
      <c r="I985" s="260" t="s">
        <v>145</v>
      </c>
      <c r="J985" s="260" t="s">
        <v>61</v>
      </c>
    </row>
    <row r="986" spans="1:10">
      <c r="A986" s="1671"/>
      <c r="B986" s="261" t="s">
        <v>146</v>
      </c>
      <c r="C986" s="261" t="s">
        <v>146</v>
      </c>
      <c r="D986" s="261" t="s">
        <v>146</v>
      </c>
      <c r="E986" s="261" t="s">
        <v>146</v>
      </c>
      <c r="F986" s="261" t="s">
        <v>146</v>
      </c>
      <c r="G986" s="261" t="s">
        <v>146</v>
      </c>
      <c r="H986" s="261" t="s">
        <v>146</v>
      </c>
      <c r="I986" s="261" t="s">
        <v>146</v>
      </c>
      <c r="J986" s="261" t="s">
        <v>146</v>
      </c>
    </row>
    <row r="987" spans="1:10">
      <c r="A987" s="114">
        <v>39055</v>
      </c>
      <c r="B987" s="264">
        <v>23.76</v>
      </c>
      <c r="C987" s="264">
        <v>23.08</v>
      </c>
      <c r="D987" s="264">
        <v>22.57</v>
      </c>
      <c r="E987" s="264">
        <v>18.47</v>
      </c>
      <c r="F987" s="257">
        <v>21.37</v>
      </c>
      <c r="G987" s="257">
        <f>+(9.38+9.6+0.38351*1.12)/2</f>
        <v>9.7047656</v>
      </c>
      <c r="H987" s="257">
        <v>36.97</v>
      </c>
      <c r="I987" s="257">
        <f>+(21.94+24.52)/2</f>
        <v>23.23</v>
      </c>
      <c r="J987" s="257">
        <f>(95.6/(25/4.19))</f>
        <v>16.022560000000002</v>
      </c>
    </row>
    <row r="988" spans="1:10">
      <c r="A988" s="114">
        <v>39062</v>
      </c>
      <c r="B988" s="264">
        <v>23.73</v>
      </c>
      <c r="C988" s="264">
        <v>23.07</v>
      </c>
      <c r="D988" s="264">
        <v>22.56</v>
      </c>
      <c r="E988" s="264">
        <v>18.55</v>
      </c>
      <c r="F988" s="257">
        <v>21.37</v>
      </c>
      <c r="G988" s="257">
        <f>+(9.38+9.6+0.38351*1.12)/2</f>
        <v>9.7047656</v>
      </c>
      <c r="H988" s="257">
        <v>36.97</v>
      </c>
      <c r="I988" s="257">
        <f>+(21.94+24.5)/2</f>
        <v>23.22</v>
      </c>
      <c r="J988" s="257">
        <f>(95.62/(25/4.19))</f>
        <v>16.025912000000002</v>
      </c>
    </row>
    <row r="989" spans="1:10">
      <c r="A989" s="114">
        <v>39069</v>
      </c>
      <c r="B989" s="264">
        <v>24.01</v>
      </c>
      <c r="C989" s="264">
        <v>23.22</v>
      </c>
      <c r="D989" s="264">
        <v>22.71</v>
      </c>
      <c r="E989" s="264">
        <v>19.059999999999999</v>
      </c>
      <c r="F989" s="257">
        <v>21.37</v>
      </c>
      <c r="G989" s="257">
        <f>+(9.38+10+0.38351*1.12)/2</f>
        <v>9.9047656000000011</v>
      </c>
      <c r="H989" s="257">
        <v>36.97</v>
      </c>
      <c r="I989" s="257">
        <f>+(22.51+24.5)/2</f>
        <v>23.505000000000003</v>
      </c>
      <c r="J989" s="257">
        <f>(95.61/(25/4.19))</f>
        <v>16.024236000000002</v>
      </c>
    </row>
    <row r="990" spans="1:10">
      <c r="A990" s="114">
        <v>39077</v>
      </c>
      <c r="B990" s="264">
        <v>23.97</v>
      </c>
      <c r="C990" s="264">
        <v>23.23</v>
      </c>
      <c r="D990" s="264">
        <v>22.71</v>
      </c>
      <c r="E990" s="264">
        <v>19.14</v>
      </c>
      <c r="F990" s="257">
        <v>21.62</v>
      </c>
      <c r="G990" s="257">
        <f>+(9.38+10+0.38351*1.12)/2</f>
        <v>9.9047656000000011</v>
      </c>
      <c r="H990" s="257">
        <v>36.97</v>
      </c>
      <c r="I990" s="257">
        <f>+(22.51+24.5)/2</f>
        <v>23.505000000000003</v>
      </c>
      <c r="J990" s="257">
        <f>(95.57/(25/4.19))</f>
        <v>16.017532000000003</v>
      </c>
    </row>
    <row r="991" spans="1:10">
      <c r="A991" s="262" t="s">
        <v>7</v>
      </c>
      <c r="B991" s="263">
        <f t="shared" ref="B991:J991" si="82">AVERAGE(B987:B990)</f>
        <v>23.8675</v>
      </c>
      <c r="C991" s="263">
        <f t="shared" si="82"/>
        <v>23.150000000000002</v>
      </c>
      <c r="D991" s="263">
        <f t="shared" si="82"/>
        <v>22.637500000000003</v>
      </c>
      <c r="E991" s="263">
        <f t="shared" si="82"/>
        <v>18.805</v>
      </c>
      <c r="F991" s="263">
        <f t="shared" si="82"/>
        <v>21.432500000000001</v>
      </c>
      <c r="G991" s="263">
        <f t="shared" si="82"/>
        <v>9.8047655999999996</v>
      </c>
      <c r="H991" s="263">
        <f t="shared" si="82"/>
        <v>36.97</v>
      </c>
      <c r="I991" s="263">
        <f t="shared" si="82"/>
        <v>23.365000000000002</v>
      </c>
      <c r="J991" s="263">
        <f t="shared" si="82"/>
        <v>16.022560000000002</v>
      </c>
    </row>
    <row r="993" spans="1:10">
      <c r="A993" s="1672" t="s">
        <v>1</v>
      </c>
      <c r="B993" s="265" t="s">
        <v>139</v>
      </c>
      <c r="C993" s="265" t="s">
        <v>140</v>
      </c>
      <c r="D993" s="265" t="s">
        <v>5</v>
      </c>
      <c r="E993" s="265" t="s">
        <v>6</v>
      </c>
      <c r="F993" s="266" t="s">
        <v>57</v>
      </c>
      <c r="G993" s="266" t="s">
        <v>58</v>
      </c>
      <c r="H993" s="266" t="s">
        <v>149</v>
      </c>
      <c r="I993" s="266" t="s">
        <v>145</v>
      </c>
      <c r="J993" s="266" t="s">
        <v>61</v>
      </c>
    </row>
    <row r="994" spans="1:10">
      <c r="A994" s="1672"/>
      <c r="B994" s="267" t="s">
        <v>146</v>
      </c>
      <c r="C994" s="267" t="s">
        <v>146</v>
      </c>
      <c r="D994" s="267" t="s">
        <v>146</v>
      </c>
      <c r="E994" s="267" t="s">
        <v>146</v>
      </c>
      <c r="F994" s="267" t="s">
        <v>146</v>
      </c>
      <c r="G994" s="267" t="s">
        <v>146</v>
      </c>
      <c r="H994" s="267" t="s">
        <v>146</v>
      </c>
      <c r="I994" s="267" t="s">
        <v>146</v>
      </c>
      <c r="J994" s="267" t="s">
        <v>146</v>
      </c>
    </row>
    <row r="995" spans="1:10">
      <c r="A995" s="114">
        <v>39084</v>
      </c>
      <c r="B995" s="264">
        <v>23.96</v>
      </c>
      <c r="C995" s="264">
        <v>23.25</v>
      </c>
      <c r="D995" s="264">
        <v>22.74</v>
      </c>
      <c r="E995" s="264">
        <v>19.190000000000001</v>
      </c>
      <c r="F995" s="257">
        <v>21.62</v>
      </c>
      <c r="G995" s="257">
        <f>+(9.08+9+0.38351*1.12)/2</f>
        <v>9.2547655999999989</v>
      </c>
      <c r="H995" s="257">
        <v>36.97</v>
      </c>
      <c r="I995" s="257">
        <f>+(21.64+24.5)/2</f>
        <v>23.07</v>
      </c>
      <c r="J995" s="257">
        <f>(95.57/(25/4.19))</f>
        <v>16.017532000000003</v>
      </c>
    </row>
    <row r="996" spans="1:10">
      <c r="A996" s="114">
        <v>39092</v>
      </c>
      <c r="B996" s="264">
        <v>23.95</v>
      </c>
      <c r="C996" s="264">
        <v>23.24</v>
      </c>
      <c r="D996" s="264">
        <v>22.73</v>
      </c>
      <c r="E996" s="264">
        <v>19.309999999999999</v>
      </c>
      <c r="F996" s="257">
        <v>21.62</v>
      </c>
      <c r="G996" s="257">
        <f>+(9.08+9+0.38351*1.12)/2</f>
        <v>9.2547655999999989</v>
      </c>
      <c r="H996" s="257">
        <v>36.97</v>
      </c>
      <c r="I996" s="257">
        <f>+(21.87+25.34)/2</f>
        <v>23.605</v>
      </c>
      <c r="J996" s="257">
        <f>(95.58/(25/4.19))</f>
        <v>16.019208000000003</v>
      </c>
    </row>
    <row r="997" spans="1:10">
      <c r="A997" s="114">
        <v>39099</v>
      </c>
      <c r="B997" s="264">
        <v>23.57</v>
      </c>
      <c r="C997" s="264">
        <v>23.05</v>
      </c>
      <c r="D997" s="264">
        <v>22.55</v>
      </c>
      <c r="E997" s="264">
        <v>19.05</v>
      </c>
      <c r="F997" s="257">
        <v>21.62</v>
      </c>
      <c r="G997" s="257">
        <f>+(9.08+9+0.38351*1.12)/2</f>
        <v>9.2547655999999989</v>
      </c>
      <c r="H997" s="257">
        <v>36.97</v>
      </c>
      <c r="I997" s="257">
        <v>21.87</v>
      </c>
      <c r="J997" s="257">
        <f>(95.57/(25/4.19))</f>
        <v>16.017532000000003</v>
      </c>
    </row>
    <row r="998" spans="1:10">
      <c r="A998" s="114">
        <v>39106</v>
      </c>
      <c r="B998" s="264">
        <v>23.52</v>
      </c>
      <c r="C998" s="264">
        <v>22.86</v>
      </c>
      <c r="D998" s="264">
        <v>22.34</v>
      </c>
      <c r="E998" s="264">
        <v>18.73</v>
      </c>
      <c r="F998" s="257">
        <v>21.5</v>
      </c>
      <c r="G998" s="257">
        <f>+(9.08+9+0.38351*1.12)/2</f>
        <v>9.2547655999999989</v>
      </c>
      <c r="H998" s="257">
        <v>37.35</v>
      </c>
      <c r="I998" s="257">
        <v>20.75</v>
      </c>
      <c r="J998" s="257">
        <f>(95.58/(25/4.19))</f>
        <v>16.019208000000003</v>
      </c>
    </row>
    <row r="999" spans="1:10">
      <c r="A999" s="114">
        <v>39113</v>
      </c>
      <c r="B999" s="264">
        <v>23.11</v>
      </c>
      <c r="C999" s="264">
        <v>22.57</v>
      </c>
      <c r="D999" s="264">
        <v>22.06</v>
      </c>
      <c r="E999" s="264">
        <v>18.149999999999999</v>
      </c>
      <c r="F999" s="257">
        <v>21.5</v>
      </c>
      <c r="G999" s="257">
        <f>+(9.34+9+0.38351*1.12)/2</f>
        <v>9.3847655999999997</v>
      </c>
      <c r="H999" s="257">
        <v>37.53</v>
      </c>
      <c r="I999" s="257">
        <v>20.75</v>
      </c>
      <c r="J999" s="257">
        <f>(95.59/(25/4.19))</f>
        <v>16.020884000000002</v>
      </c>
    </row>
    <row r="1000" spans="1:10">
      <c r="A1000" s="268" t="s">
        <v>7</v>
      </c>
      <c r="B1000" s="269">
        <f t="shared" ref="B1000:J1000" si="83">AVERAGE(B995:B999)</f>
        <v>23.621999999999996</v>
      </c>
      <c r="C1000" s="269">
        <f t="shared" si="83"/>
        <v>22.994</v>
      </c>
      <c r="D1000" s="269">
        <f t="shared" si="83"/>
        <v>22.484000000000002</v>
      </c>
      <c r="E1000" s="269">
        <f t="shared" si="83"/>
        <v>18.886000000000003</v>
      </c>
      <c r="F1000" s="269">
        <f t="shared" si="83"/>
        <v>21.571999999999999</v>
      </c>
      <c r="G1000" s="269">
        <f t="shared" si="83"/>
        <v>9.2807655999999987</v>
      </c>
      <c r="H1000" s="269">
        <f t="shared" si="83"/>
        <v>37.158000000000001</v>
      </c>
      <c r="I1000" s="269">
        <f t="shared" si="83"/>
        <v>22.009</v>
      </c>
      <c r="J1000" s="269">
        <f t="shared" si="83"/>
        <v>16.018872800000004</v>
      </c>
    </row>
    <row r="1002" spans="1:10">
      <c r="A1002" s="1672" t="s">
        <v>1</v>
      </c>
      <c r="B1002" s="265" t="s">
        <v>139</v>
      </c>
      <c r="C1002" s="265" t="s">
        <v>140</v>
      </c>
      <c r="D1002" s="265" t="s">
        <v>5</v>
      </c>
      <c r="E1002" s="265" t="s">
        <v>6</v>
      </c>
      <c r="F1002" s="266" t="s">
        <v>57</v>
      </c>
      <c r="G1002" s="266" t="s">
        <v>58</v>
      </c>
      <c r="H1002" s="266" t="s">
        <v>149</v>
      </c>
      <c r="I1002" s="266" t="s">
        <v>145</v>
      </c>
      <c r="J1002" s="266" t="s">
        <v>61</v>
      </c>
    </row>
    <row r="1003" spans="1:10">
      <c r="A1003" s="1672"/>
      <c r="B1003" s="267" t="s">
        <v>146</v>
      </c>
      <c r="C1003" s="267" t="s">
        <v>146</v>
      </c>
      <c r="D1003" s="267" t="s">
        <v>146</v>
      </c>
      <c r="E1003" s="267" t="s">
        <v>146</v>
      </c>
      <c r="F1003" s="267" t="s">
        <v>146</v>
      </c>
      <c r="G1003" s="267" t="s">
        <v>146</v>
      </c>
      <c r="H1003" s="267" t="s">
        <v>146</v>
      </c>
      <c r="I1003" s="267" t="s">
        <v>146</v>
      </c>
      <c r="J1003" s="267" t="s">
        <v>146</v>
      </c>
    </row>
    <row r="1004" spans="1:10">
      <c r="A1004" s="114">
        <v>39120</v>
      </c>
      <c r="B1004" s="264">
        <v>22.59</v>
      </c>
      <c r="C1004" s="264">
        <v>22.15</v>
      </c>
      <c r="D1004" s="264">
        <v>21.63</v>
      </c>
      <c r="E1004" s="264">
        <v>17.84</v>
      </c>
      <c r="F1004" s="257">
        <v>21</v>
      </c>
      <c r="G1004" s="257">
        <f>+(9.34+9+0.38351*1.12)/2</f>
        <v>9.3847655999999997</v>
      </c>
      <c r="H1004" s="257">
        <v>37.53</v>
      </c>
      <c r="I1004" s="257">
        <v>21.3</v>
      </c>
      <c r="J1004" s="257">
        <f>(95.58/(25/4.19))</f>
        <v>16.019208000000003</v>
      </c>
    </row>
    <row r="1005" spans="1:10">
      <c r="A1005" s="114">
        <v>39127</v>
      </c>
      <c r="B1005" s="264">
        <v>22.99</v>
      </c>
      <c r="C1005" s="264">
        <v>22.16</v>
      </c>
      <c r="D1005" s="264">
        <v>21.65</v>
      </c>
      <c r="E1005" s="264">
        <v>17.989999999999998</v>
      </c>
      <c r="F1005" s="257">
        <v>21</v>
      </c>
      <c r="G1005" s="257">
        <f>+(9.34+9.5+0.38351*1.12)/2</f>
        <v>9.6347655999999997</v>
      </c>
      <c r="H1005" s="257">
        <v>37.53</v>
      </c>
      <c r="I1005" s="257">
        <v>21.3</v>
      </c>
      <c r="J1005" s="257">
        <f>(95.55/(25/4.19))</f>
        <v>16.014180000000003</v>
      </c>
    </row>
    <row r="1006" spans="1:10">
      <c r="A1006" s="114">
        <v>39134</v>
      </c>
      <c r="B1006" s="264">
        <v>22.56</v>
      </c>
      <c r="C1006" s="264">
        <v>21.96</v>
      </c>
      <c r="D1006" s="264">
        <v>21.44</v>
      </c>
      <c r="E1006" s="264">
        <v>17.89</v>
      </c>
      <c r="F1006" s="257">
        <v>20.75</v>
      </c>
      <c r="G1006" s="257">
        <f>+(9.34+9.5+0.38351*1.12)/2</f>
        <v>9.6347655999999997</v>
      </c>
      <c r="H1006" s="257">
        <v>37.53</v>
      </c>
      <c r="I1006" s="257">
        <v>21.76</v>
      </c>
      <c r="J1006" s="257">
        <f>(95.56/(25/4.19))</f>
        <v>16.015856000000003</v>
      </c>
    </row>
    <row r="1007" spans="1:10">
      <c r="A1007" s="114">
        <v>39141</v>
      </c>
      <c r="B1007" s="264">
        <v>22.46</v>
      </c>
      <c r="C1007" s="264">
        <v>21.88</v>
      </c>
      <c r="D1007" s="264">
        <v>21.37</v>
      </c>
      <c r="E1007" s="264">
        <v>17.82</v>
      </c>
      <c r="F1007" s="257">
        <v>20.75</v>
      </c>
      <c r="G1007" s="257">
        <f>+(9.34+9.5+0.38351*1.12)/2</f>
        <v>9.6347655999999997</v>
      </c>
      <c r="H1007" s="257">
        <v>37.53</v>
      </c>
      <c r="I1007" s="257">
        <v>21.76</v>
      </c>
      <c r="J1007" s="257">
        <f>(95.55/(25/4.19))</f>
        <v>16.014180000000003</v>
      </c>
    </row>
    <row r="1008" spans="1:10">
      <c r="A1008" s="268" t="s">
        <v>7</v>
      </c>
      <c r="B1008" s="269">
        <f t="shared" ref="B1008:J1008" si="84">AVERAGE(B1004:B1007)</f>
        <v>22.65</v>
      </c>
      <c r="C1008" s="269">
        <f t="shared" si="84"/>
        <v>22.037500000000001</v>
      </c>
      <c r="D1008" s="269">
        <f t="shared" si="84"/>
        <v>21.522500000000001</v>
      </c>
      <c r="E1008" s="269">
        <f t="shared" si="84"/>
        <v>17.884999999999998</v>
      </c>
      <c r="F1008" s="269">
        <f t="shared" si="84"/>
        <v>20.875</v>
      </c>
      <c r="G1008" s="269">
        <f t="shared" si="84"/>
        <v>9.5722655999999997</v>
      </c>
      <c r="H1008" s="269">
        <f t="shared" si="84"/>
        <v>37.53</v>
      </c>
      <c r="I1008" s="269">
        <f t="shared" si="84"/>
        <v>21.53</v>
      </c>
      <c r="J1008" s="269">
        <f t="shared" si="84"/>
        <v>16.015855999999999</v>
      </c>
    </row>
    <row r="1010" spans="1:10">
      <c r="A1010" s="1672" t="s">
        <v>1</v>
      </c>
      <c r="B1010" s="265" t="s">
        <v>139</v>
      </c>
      <c r="C1010" s="265" t="s">
        <v>140</v>
      </c>
      <c r="D1010" s="265" t="s">
        <v>5</v>
      </c>
      <c r="E1010" s="265" t="s">
        <v>6</v>
      </c>
      <c r="F1010" s="266" t="s">
        <v>57</v>
      </c>
      <c r="G1010" s="266" t="s">
        <v>58</v>
      </c>
      <c r="H1010" s="266" t="s">
        <v>149</v>
      </c>
      <c r="I1010" s="266" t="s">
        <v>145</v>
      </c>
      <c r="J1010" s="266" t="s">
        <v>61</v>
      </c>
    </row>
    <row r="1011" spans="1:10">
      <c r="A1011" s="1672"/>
      <c r="B1011" s="267" t="s">
        <v>146</v>
      </c>
      <c r="C1011" s="267" t="s">
        <v>146</v>
      </c>
      <c r="D1011" s="267" t="s">
        <v>146</v>
      </c>
      <c r="E1011" s="267" t="s">
        <v>146</v>
      </c>
      <c r="F1011" s="267" t="s">
        <v>146</v>
      </c>
      <c r="G1011" s="267" t="s">
        <v>146</v>
      </c>
      <c r="H1011" s="267" t="s">
        <v>146</v>
      </c>
      <c r="I1011" s="267" t="s">
        <v>146</v>
      </c>
      <c r="J1011" s="267" t="s">
        <v>146</v>
      </c>
    </row>
    <row r="1012" spans="1:10">
      <c r="A1012" s="114">
        <v>39148</v>
      </c>
      <c r="B1012" s="264">
        <v>23.49</v>
      </c>
      <c r="C1012" s="264">
        <v>22.55</v>
      </c>
      <c r="D1012" s="264">
        <v>22.05</v>
      </c>
      <c r="E1012" s="264">
        <v>18.47</v>
      </c>
      <c r="F1012" s="257">
        <v>20.25</v>
      </c>
      <c r="G1012" s="257">
        <f>+(9.88+9.75+0.38351*1.12)/2</f>
        <v>10.029765600000001</v>
      </c>
      <c r="H1012" s="257">
        <v>37.75</v>
      </c>
      <c r="I1012" s="257">
        <v>22.21</v>
      </c>
      <c r="J1012" s="257">
        <f>(95.53/(25/4.19))</f>
        <v>16.010828000000004</v>
      </c>
    </row>
    <row r="1013" spans="1:10">
      <c r="A1013" s="114">
        <v>39155</v>
      </c>
      <c r="B1013" s="264">
        <v>23.51</v>
      </c>
      <c r="C1013" s="264">
        <v>22.8</v>
      </c>
      <c r="D1013" s="264">
        <v>22.27</v>
      </c>
      <c r="E1013" s="264">
        <v>18.690000000000001</v>
      </c>
      <c r="F1013" s="257">
        <v>20.25</v>
      </c>
      <c r="G1013" s="257">
        <f>+(9.88+9.75+0.38351*1.12)/2</f>
        <v>10.029765600000001</v>
      </c>
      <c r="H1013" s="257">
        <v>37.75</v>
      </c>
      <c r="I1013" s="257">
        <v>22.21</v>
      </c>
      <c r="J1013" s="257">
        <f>(95.54/(25/4.19))</f>
        <v>16.012504000000003</v>
      </c>
    </row>
    <row r="1014" spans="1:10">
      <c r="A1014" s="114">
        <v>39162</v>
      </c>
      <c r="B1014" s="264">
        <v>24.48</v>
      </c>
      <c r="C1014" s="264">
        <v>23.35</v>
      </c>
      <c r="D1014" s="264">
        <v>22.82</v>
      </c>
      <c r="E1014" s="264">
        <v>19.11</v>
      </c>
      <c r="F1014" s="257">
        <v>20.87</v>
      </c>
      <c r="G1014" s="257">
        <f>+(9.88+9.75+0.38351*1.12)/2</f>
        <v>10.029765600000001</v>
      </c>
      <c r="H1014" s="257">
        <v>37.56</v>
      </c>
      <c r="I1014" s="257">
        <v>22.53</v>
      </c>
      <c r="J1014" s="257">
        <f>(95.55/(25/4.19))</f>
        <v>16.014180000000003</v>
      </c>
    </row>
    <row r="1015" spans="1:10">
      <c r="A1015" s="114">
        <v>39169</v>
      </c>
      <c r="B1015" s="264">
        <v>24.51</v>
      </c>
      <c r="C1015" s="264">
        <v>23.81</v>
      </c>
      <c r="D1015" s="264">
        <v>23.29</v>
      </c>
      <c r="E1015" s="264">
        <v>19.48</v>
      </c>
      <c r="F1015" s="257">
        <v>20.87</v>
      </c>
      <c r="G1015" s="257">
        <f>+(9.88+9.75+0.38351*1.12)/2</f>
        <v>10.029765600000001</v>
      </c>
      <c r="H1015" s="257">
        <v>37.56</v>
      </c>
      <c r="I1015" s="257">
        <v>22.53</v>
      </c>
      <c r="J1015" s="257">
        <f>(95.49/(25/4.19))</f>
        <v>16.004124000000001</v>
      </c>
    </row>
    <row r="1016" spans="1:10">
      <c r="A1016" s="268" t="s">
        <v>7</v>
      </c>
      <c r="B1016" s="269">
        <f t="shared" ref="B1016:J1016" si="85">AVERAGE(B1012:B1015)</f>
        <v>23.997500000000002</v>
      </c>
      <c r="C1016" s="269">
        <f t="shared" si="85"/>
        <v>23.127500000000001</v>
      </c>
      <c r="D1016" s="269">
        <f t="shared" si="85"/>
        <v>22.607500000000002</v>
      </c>
      <c r="E1016" s="269">
        <f t="shared" si="85"/>
        <v>18.9375</v>
      </c>
      <c r="F1016" s="269">
        <f t="shared" si="85"/>
        <v>20.560000000000002</v>
      </c>
      <c r="G1016" s="269">
        <f t="shared" si="85"/>
        <v>10.029765600000001</v>
      </c>
      <c r="H1016" s="269">
        <f t="shared" si="85"/>
        <v>37.655000000000001</v>
      </c>
      <c r="I1016" s="269">
        <f t="shared" si="85"/>
        <v>22.37</v>
      </c>
      <c r="J1016" s="269">
        <f t="shared" si="85"/>
        <v>16.010409000000003</v>
      </c>
    </row>
    <row r="1018" spans="1:10">
      <c r="A1018" s="1672" t="s">
        <v>1</v>
      </c>
      <c r="B1018" s="265" t="s">
        <v>139</v>
      </c>
      <c r="C1018" s="265" t="s">
        <v>140</v>
      </c>
      <c r="D1018" s="265" t="s">
        <v>5</v>
      </c>
      <c r="E1018" s="265" t="s">
        <v>6</v>
      </c>
      <c r="F1018" s="266" t="s">
        <v>57</v>
      </c>
      <c r="G1018" s="266" t="s">
        <v>58</v>
      </c>
      <c r="H1018" s="266" t="s">
        <v>149</v>
      </c>
      <c r="I1018" s="266" t="s">
        <v>145</v>
      </c>
      <c r="J1018" s="266" t="s">
        <v>61</v>
      </c>
    </row>
    <row r="1019" spans="1:10">
      <c r="A1019" s="1672"/>
      <c r="B1019" s="267" t="s">
        <v>146</v>
      </c>
      <c r="C1019" s="267" t="s">
        <v>146</v>
      </c>
      <c r="D1019" s="267" t="s">
        <v>146</v>
      </c>
      <c r="E1019" s="267" t="s">
        <v>146</v>
      </c>
      <c r="F1019" s="267" t="s">
        <v>146</v>
      </c>
      <c r="G1019" s="267" t="s">
        <v>146</v>
      </c>
      <c r="H1019" s="267" t="s">
        <v>146</v>
      </c>
      <c r="I1019" s="267" t="s">
        <v>146</v>
      </c>
      <c r="J1019" s="267" t="s">
        <v>146</v>
      </c>
    </row>
    <row r="1020" spans="1:10">
      <c r="A1020" s="114">
        <v>39176</v>
      </c>
      <c r="B1020" s="264">
        <v>24.97</v>
      </c>
      <c r="C1020" s="264">
        <v>24.2</v>
      </c>
      <c r="D1020" s="264">
        <v>23.69</v>
      </c>
      <c r="E1020" s="264">
        <v>19.829999999999998</v>
      </c>
      <c r="F1020" s="257">
        <v>21.12</v>
      </c>
      <c r="G1020" s="257">
        <f>+(10.4+10.25+0.38351*1.12)/2</f>
        <v>10.539765599999999</v>
      </c>
      <c r="H1020" s="257">
        <v>37.619999999999997</v>
      </c>
      <c r="I1020" s="257">
        <v>23.01</v>
      </c>
      <c r="J1020" s="257">
        <f>(95.5/(25/4.19))</f>
        <v>16.005800000000001</v>
      </c>
    </row>
    <row r="1021" spans="1:10">
      <c r="A1021" s="114">
        <v>39183</v>
      </c>
      <c r="B1021" s="264">
        <v>26.46</v>
      </c>
      <c r="C1021" s="264">
        <v>25.44</v>
      </c>
      <c r="D1021" s="264">
        <v>24.95</v>
      </c>
      <c r="E1021" s="264">
        <v>20.53</v>
      </c>
      <c r="F1021" s="257">
        <v>21.25</v>
      </c>
      <c r="G1021" s="257">
        <f>+(10.4+10.65+0.38351*1.12)/2</f>
        <v>10.7397656</v>
      </c>
      <c r="H1021" s="257">
        <v>37.619999999999997</v>
      </c>
      <c r="I1021" s="257">
        <v>23.01</v>
      </c>
      <c r="J1021" s="257">
        <f>(95.51/(25/4.19))</f>
        <v>16.007476000000004</v>
      </c>
    </row>
    <row r="1022" spans="1:10">
      <c r="A1022" s="114">
        <v>39190</v>
      </c>
      <c r="B1022" s="264">
        <v>26.45</v>
      </c>
      <c r="C1022" s="264">
        <v>25.8</v>
      </c>
      <c r="D1022" s="264">
        <v>25.3</v>
      </c>
      <c r="E1022" s="264">
        <v>20.59</v>
      </c>
      <c r="F1022" s="257">
        <v>21.87</v>
      </c>
      <c r="G1022" s="257">
        <f>+(10.4+10.95+0.38351*1.12)/2</f>
        <v>10.8897656</v>
      </c>
      <c r="H1022" s="257">
        <v>38.793399999999998</v>
      </c>
      <c r="I1022" s="257">
        <v>24.35</v>
      </c>
      <c r="J1022" s="257">
        <f>(95.49/(25/4.19))</f>
        <v>16.004124000000001</v>
      </c>
    </row>
    <row r="1023" spans="1:10">
      <c r="A1023" s="114">
        <v>39197</v>
      </c>
      <c r="B1023" s="264">
        <v>27.51</v>
      </c>
      <c r="C1023" s="264">
        <v>26.66</v>
      </c>
      <c r="D1023" s="264">
        <v>26.1</v>
      </c>
      <c r="E1023" s="264">
        <v>20.96</v>
      </c>
      <c r="F1023" s="257">
        <v>21.75</v>
      </c>
      <c r="G1023" s="257">
        <f>+(10.4+11.05+0.38351*1.12)/2</f>
        <v>10.939765600000001</v>
      </c>
      <c r="H1023" s="257">
        <v>38.793399999999998</v>
      </c>
      <c r="I1023" s="257">
        <v>24.35</v>
      </c>
      <c r="J1023" s="257">
        <f>(95.49/(25/4.19))</f>
        <v>16.004124000000001</v>
      </c>
    </row>
    <row r="1024" spans="1:10">
      <c r="A1024" s="268" t="s">
        <v>7</v>
      </c>
      <c r="B1024" s="269">
        <f t="shared" ref="B1024:J1024" si="86">AVERAGE(B1020:B1023)</f>
        <v>26.3475</v>
      </c>
      <c r="C1024" s="269">
        <f t="shared" si="86"/>
        <v>25.524999999999999</v>
      </c>
      <c r="D1024" s="269">
        <f t="shared" si="86"/>
        <v>25.009999999999998</v>
      </c>
      <c r="E1024" s="269">
        <f t="shared" si="86"/>
        <v>20.477499999999999</v>
      </c>
      <c r="F1024" s="269">
        <f t="shared" si="86"/>
        <v>21.497500000000002</v>
      </c>
      <c r="G1024" s="269">
        <f t="shared" si="86"/>
        <v>10.7772656</v>
      </c>
      <c r="H1024" s="269">
        <f t="shared" si="86"/>
        <v>38.206699999999998</v>
      </c>
      <c r="I1024" s="269">
        <f t="shared" si="86"/>
        <v>23.68</v>
      </c>
      <c r="J1024" s="269">
        <f t="shared" si="86"/>
        <v>16.005381000000003</v>
      </c>
    </row>
    <row r="1026" spans="1:10">
      <c r="A1026" s="1672" t="s">
        <v>1</v>
      </c>
      <c r="B1026" s="265" t="s">
        <v>139</v>
      </c>
      <c r="C1026" s="265" t="s">
        <v>140</v>
      </c>
      <c r="D1026" s="265" t="s">
        <v>5</v>
      </c>
      <c r="E1026" s="265" t="s">
        <v>6</v>
      </c>
      <c r="F1026" s="266" t="s">
        <v>57</v>
      </c>
      <c r="G1026" s="266" t="s">
        <v>58</v>
      </c>
      <c r="H1026" s="266" t="s">
        <v>149</v>
      </c>
      <c r="I1026" s="266" t="s">
        <v>145</v>
      </c>
      <c r="J1026" s="266" t="s">
        <v>61</v>
      </c>
    </row>
    <row r="1027" spans="1:10">
      <c r="A1027" s="1672"/>
      <c r="B1027" s="267" t="s">
        <v>146</v>
      </c>
      <c r="C1027" s="267" t="s">
        <v>146</v>
      </c>
      <c r="D1027" s="267" t="s">
        <v>146</v>
      </c>
      <c r="E1027" s="267" t="s">
        <v>146</v>
      </c>
      <c r="F1027" s="267" t="s">
        <v>146</v>
      </c>
      <c r="G1027" s="267" t="s">
        <v>146</v>
      </c>
      <c r="H1027" s="267" t="s">
        <v>146</v>
      </c>
      <c r="I1027" s="267" t="s">
        <v>146</v>
      </c>
      <c r="J1027" s="267" t="s">
        <v>146</v>
      </c>
    </row>
    <row r="1028" spans="1:10">
      <c r="A1028" s="114">
        <v>39204</v>
      </c>
      <c r="B1028" s="264">
        <v>27.88</v>
      </c>
      <c r="C1028" s="264">
        <v>26.99</v>
      </c>
      <c r="D1028" s="264">
        <v>26.4</v>
      </c>
      <c r="E1028" s="264">
        <v>21.03</v>
      </c>
      <c r="F1028" s="257">
        <v>22</v>
      </c>
      <c r="G1028" s="257">
        <f>+(10.4+11.05+0.38351*1.12)/2</f>
        <v>10.939765600000001</v>
      </c>
      <c r="H1028" s="257">
        <v>38.793399999999998</v>
      </c>
      <c r="I1028" s="257">
        <f>(24.35+25.65)/2</f>
        <v>25</v>
      </c>
      <c r="J1028" s="257">
        <f>(95.5/(25/4.19))</f>
        <v>16.005800000000001</v>
      </c>
    </row>
    <row r="1029" spans="1:10">
      <c r="A1029" s="114">
        <v>39211</v>
      </c>
      <c r="B1029" s="264">
        <v>28</v>
      </c>
      <c r="C1029" s="264">
        <v>27.35</v>
      </c>
      <c r="D1029" s="264">
        <v>26.76</v>
      </c>
      <c r="E1029" s="264">
        <v>21.04</v>
      </c>
      <c r="F1029" s="257">
        <v>22.16</v>
      </c>
      <c r="G1029" s="257">
        <f>+(10.4+11.25+0.38351*1.12)/2</f>
        <v>11.039765599999999</v>
      </c>
      <c r="H1029" s="257">
        <v>38.83</v>
      </c>
      <c r="I1029" s="257">
        <f>(24.2+27.14)/2</f>
        <v>25.67</v>
      </c>
      <c r="J1029" s="257">
        <f>(95.5/(25/4.19))</f>
        <v>16.005800000000001</v>
      </c>
    </row>
    <row r="1030" spans="1:10">
      <c r="A1030" s="114">
        <v>39218</v>
      </c>
      <c r="B1030" s="264">
        <v>28.05</v>
      </c>
      <c r="C1030" s="264">
        <v>27.35</v>
      </c>
      <c r="D1030" s="264">
        <v>26.76</v>
      </c>
      <c r="E1030" s="264">
        <v>21.07</v>
      </c>
      <c r="F1030" s="257">
        <v>22.16</v>
      </c>
      <c r="G1030" s="257">
        <f>+(10.4+11.25+0.38351*1.12)/2</f>
        <v>11.039765599999999</v>
      </c>
      <c r="H1030" s="257">
        <v>38.83</v>
      </c>
      <c r="I1030" s="257">
        <f>(24.2+27.14)/2</f>
        <v>25.67</v>
      </c>
      <c r="J1030" s="257">
        <f>(95.5/(25/4.19))</f>
        <v>16.005800000000001</v>
      </c>
    </row>
    <row r="1031" spans="1:10">
      <c r="A1031" s="114">
        <v>39225</v>
      </c>
      <c r="B1031" s="264">
        <v>29.02</v>
      </c>
      <c r="C1031" s="264">
        <v>27.98</v>
      </c>
      <c r="D1031" s="264">
        <v>27.38</v>
      </c>
      <c r="E1031" s="264">
        <v>21.12</v>
      </c>
      <c r="F1031" s="257">
        <v>22.16</v>
      </c>
      <c r="G1031" s="257">
        <f>+(11.58+11.25+0.38351*1.12)/2</f>
        <v>11.629765599999999</v>
      </c>
      <c r="H1031" s="257">
        <v>38.6374</v>
      </c>
      <c r="I1031" s="257">
        <f>(24.2+27.14)/2</f>
        <v>25.67</v>
      </c>
      <c r="J1031" s="257">
        <f>(95.5/(25/4.19))</f>
        <v>16.005800000000001</v>
      </c>
    </row>
    <row r="1032" spans="1:10">
      <c r="A1032" s="114">
        <v>39232</v>
      </c>
      <c r="B1032" s="264">
        <v>29.03</v>
      </c>
      <c r="C1032" s="264">
        <v>28.28</v>
      </c>
      <c r="D1032" s="264">
        <v>27.66</v>
      </c>
      <c r="E1032" s="264">
        <v>21.15</v>
      </c>
      <c r="F1032" s="257">
        <v>22.16</v>
      </c>
      <c r="G1032" s="257">
        <f>+(11.58+11.25+0.38351*1.12)/2</f>
        <v>11.629765599999999</v>
      </c>
      <c r="H1032" s="257">
        <v>38.819299999999998</v>
      </c>
      <c r="I1032" s="257">
        <v>24.2</v>
      </c>
      <c r="J1032" s="257">
        <f>(97.84/(25/4.19))</f>
        <v>16.397984000000005</v>
      </c>
    </row>
    <row r="1033" spans="1:10">
      <c r="A1033" s="268" t="s">
        <v>7</v>
      </c>
      <c r="B1033" s="269">
        <f t="shared" ref="B1033:J1033" si="87">AVERAGE(B1028:B1032)</f>
        <v>28.395999999999997</v>
      </c>
      <c r="C1033" s="269">
        <f t="shared" si="87"/>
        <v>27.589999999999996</v>
      </c>
      <c r="D1033" s="269">
        <f t="shared" si="87"/>
        <v>26.992000000000001</v>
      </c>
      <c r="E1033" s="269">
        <f t="shared" si="87"/>
        <v>21.082000000000001</v>
      </c>
      <c r="F1033" s="269">
        <f t="shared" si="87"/>
        <v>22.127999999999997</v>
      </c>
      <c r="G1033" s="269">
        <f t="shared" si="87"/>
        <v>11.2557656</v>
      </c>
      <c r="H1033" s="269">
        <f t="shared" si="87"/>
        <v>38.782020000000003</v>
      </c>
      <c r="I1033" s="269">
        <f t="shared" si="87"/>
        <v>25.242000000000001</v>
      </c>
      <c r="J1033" s="269">
        <f t="shared" si="87"/>
        <v>16.084236800000003</v>
      </c>
    </row>
    <row r="1035" spans="1:10">
      <c r="A1035" s="1672" t="s">
        <v>1</v>
      </c>
      <c r="B1035" s="265" t="s">
        <v>139</v>
      </c>
      <c r="C1035" s="265" t="s">
        <v>140</v>
      </c>
      <c r="D1035" s="265" t="s">
        <v>5</v>
      </c>
      <c r="E1035" s="265" t="s">
        <v>6</v>
      </c>
      <c r="F1035" s="266" t="s">
        <v>57</v>
      </c>
      <c r="G1035" s="266" t="s">
        <v>58</v>
      </c>
      <c r="H1035" s="266" t="s">
        <v>149</v>
      </c>
      <c r="I1035" s="266" t="s">
        <v>145</v>
      </c>
      <c r="J1035" s="266" t="s">
        <v>61</v>
      </c>
    </row>
    <row r="1036" spans="1:10">
      <c r="A1036" s="1672"/>
      <c r="B1036" s="267" t="s">
        <v>146</v>
      </c>
      <c r="C1036" s="267" t="s">
        <v>146</v>
      </c>
      <c r="D1036" s="267" t="s">
        <v>146</v>
      </c>
      <c r="E1036" s="267" t="s">
        <v>146</v>
      </c>
      <c r="F1036" s="267" t="s">
        <v>146</v>
      </c>
      <c r="G1036" s="267" t="s">
        <v>146</v>
      </c>
      <c r="H1036" s="267" t="s">
        <v>146</v>
      </c>
      <c r="I1036" s="267" t="s">
        <v>146</v>
      </c>
      <c r="J1036" s="267" t="s">
        <v>146</v>
      </c>
    </row>
    <row r="1037" spans="1:10">
      <c r="A1037" s="114">
        <v>39239</v>
      </c>
      <c r="B1037" s="264">
        <v>29.78</v>
      </c>
      <c r="C1037" s="264">
        <v>28.74</v>
      </c>
      <c r="D1037" s="264">
        <v>28.12</v>
      </c>
      <c r="E1037" s="264">
        <v>21.43</v>
      </c>
      <c r="F1037" s="257">
        <v>22.73</v>
      </c>
      <c r="G1037" s="257">
        <f>+(11.8+14.5+0.38351*1.12)/2</f>
        <v>13.3647656</v>
      </c>
      <c r="H1037" s="257">
        <v>38.819299999999998</v>
      </c>
      <c r="I1037" s="257">
        <v>24.62</v>
      </c>
      <c r="J1037" s="257">
        <f>(100.25/(25/4.19))</f>
        <v>16.801900000000003</v>
      </c>
    </row>
    <row r="1038" spans="1:10">
      <c r="A1038" s="114">
        <v>39246</v>
      </c>
      <c r="B1038" s="264">
        <v>29.87</v>
      </c>
      <c r="C1038" s="264">
        <v>29.01</v>
      </c>
      <c r="D1038" s="264">
        <v>28.31</v>
      </c>
      <c r="E1038" s="264">
        <v>21.6</v>
      </c>
      <c r="F1038" s="257">
        <v>22.73</v>
      </c>
      <c r="G1038" s="257">
        <f>+(11.8+14.5+0.38351*1.12)/2</f>
        <v>13.3647656</v>
      </c>
      <c r="H1038" s="257">
        <v>38.819299999999998</v>
      </c>
      <c r="I1038" s="257">
        <v>24.62</v>
      </c>
      <c r="J1038" s="257">
        <f>(100.43/(25/4.19))</f>
        <v>16.832068000000003</v>
      </c>
    </row>
    <row r="1039" spans="1:10">
      <c r="A1039" s="114">
        <v>39253</v>
      </c>
      <c r="B1039" s="264">
        <v>29.21</v>
      </c>
      <c r="C1039" s="264">
        <v>28.62</v>
      </c>
      <c r="D1039" s="264">
        <v>27.94</v>
      </c>
      <c r="E1039" s="264">
        <v>21.57</v>
      </c>
      <c r="F1039" s="257">
        <v>21.87</v>
      </c>
      <c r="G1039" s="257">
        <f>+(11.8+14.5+0.38351*1.12)/2</f>
        <v>13.3647656</v>
      </c>
      <c r="H1039" s="257">
        <v>38.819299999999998</v>
      </c>
      <c r="I1039" s="257">
        <v>24.79</v>
      </c>
      <c r="J1039" s="257">
        <f>(100.42/(25/4.19))</f>
        <v>16.830392000000003</v>
      </c>
    </row>
    <row r="1040" spans="1:10">
      <c r="A1040" s="114">
        <v>39260</v>
      </c>
      <c r="B1040" s="264">
        <v>29.13</v>
      </c>
      <c r="C1040" s="264">
        <v>28.38</v>
      </c>
      <c r="D1040" s="264">
        <v>27.73</v>
      </c>
      <c r="E1040" s="264">
        <v>21.52</v>
      </c>
      <c r="F1040" s="257">
        <v>22.75</v>
      </c>
      <c r="G1040" s="257">
        <f>+(11.8+14.5+0.38351*1.12)/2</f>
        <v>13.3647656</v>
      </c>
      <c r="H1040" s="257">
        <v>38.819299999999998</v>
      </c>
      <c r="I1040" s="257">
        <v>24.79</v>
      </c>
      <c r="J1040" s="257">
        <f>(100.42/(25/4.19))</f>
        <v>16.830392000000003</v>
      </c>
    </row>
    <row r="1041" spans="1:10">
      <c r="A1041" s="268" t="s">
        <v>7</v>
      </c>
      <c r="B1041" s="269">
        <f t="shared" ref="B1041:J1041" si="88">AVERAGE(B1037:B1040)</f>
        <v>29.497500000000002</v>
      </c>
      <c r="C1041" s="269">
        <f t="shared" si="88"/>
        <v>28.6875</v>
      </c>
      <c r="D1041" s="269">
        <f t="shared" si="88"/>
        <v>28.025000000000002</v>
      </c>
      <c r="E1041" s="269">
        <f t="shared" si="88"/>
        <v>21.529999999999998</v>
      </c>
      <c r="F1041" s="269">
        <f t="shared" si="88"/>
        <v>22.52</v>
      </c>
      <c r="G1041" s="269">
        <f t="shared" si="88"/>
        <v>13.3647656</v>
      </c>
      <c r="H1041" s="269">
        <f t="shared" si="88"/>
        <v>38.819299999999998</v>
      </c>
      <c r="I1041" s="269">
        <f t="shared" si="88"/>
        <v>24.704999999999998</v>
      </c>
      <c r="J1041" s="269">
        <f t="shared" si="88"/>
        <v>16.823688000000004</v>
      </c>
    </row>
    <row r="1043" spans="1:10">
      <c r="A1043" s="1672" t="s">
        <v>1</v>
      </c>
      <c r="B1043" s="265" t="s">
        <v>139</v>
      </c>
      <c r="C1043" s="265" t="s">
        <v>140</v>
      </c>
      <c r="D1043" s="265" t="s">
        <v>5</v>
      </c>
      <c r="E1043" s="265" t="s">
        <v>6</v>
      </c>
      <c r="F1043" s="266" t="s">
        <v>57</v>
      </c>
      <c r="G1043" s="266" t="s">
        <v>58</v>
      </c>
      <c r="H1043" s="266" t="s">
        <v>149</v>
      </c>
      <c r="I1043" s="266" t="s">
        <v>145</v>
      </c>
      <c r="J1043" s="266" t="s">
        <v>61</v>
      </c>
    </row>
    <row r="1044" spans="1:10">
      <c r="A1044" s="1672"/>
      <c r="B1044" s="267" t="s">
        <v>146</v>
      </c>
      <c r="C1044" s="267" t="s">
        <v>146</v>
      </c>
      <c r="D1044" s="267" t="s">
        <v>146</v>
      </c>
      <c r="E1044" s="267" t="s">
        <v>146</v>
      </c>
      <c r="F1044" s="267" t="s">
        <v>146</v>
      </c>
      <c r="G1044" s="267" t="s">
        <v>146</v>
      </c>
      <c r="H1044" s="267" t="s">
        <v>146</v>
      </c>
      <c r="I1044" s="267" t="s">
        <v>146</v>
      </c>
      <c r="J1044" s="267" t="s">
        <v>146</v>
      </c>
    </row>
    <row r="1045" spans="1:10">
      <c r="A1045" s="114">
        <v>39267</v>
      </c>
      <c r="B1045" s="264">
        <v>29.05</v>
      </c>
      <c r="C1045" s="264">
        <v>28.32</v>
      </c>
      <c r="D1045" s="264">
        <v>27.66</v>
      </c>
      <c r="E1045" s="264">
        <v>21.48</v>
      </c>
      <c r="F1045" s="257">
        <v>22.75</v>
      </c>
      <c r="G1045" s="257">
        <f>+(12.24+14.97+0.38351*1.12)/2</f>
        <v>13.8197656</v>
      </c>
      <c r="H1045" s="257">
        <v>39.1434</v>
      </c>
      <c r="I1045" s="257">
        <v>25.02</v>
      </c>
      <c r="J1045" s="257">
        <f>(100.42/(25/4.19))</f>
        <v>16.830392000000003</v>
      </c>
    </row>
    <row r="1046" spans="1:10">
      <c r="A1046" s="114">
        <v>39274</v>
      </c>
      <c r="B1046" s="264">
        <v>29.06</v>
      </c>
      <c r="C1046" s="264">
        <v>28.32</v>
      </c>
      <c r="D1046" s="264">
        <v>27.66</v>
      </c>
      <c r="E1046" s="264">
        <v>21.52</v>
      </c>
      <c r="F1046" s="257">
        <v>22.75</v>
      </c>
      <c r="G1046" s="257">
        <f>+(12.24+14.97+0.38351*1.12)/2</f>
        <v>13.8197656</v>
      </c>
      <c r="H1046" s="257">
        <v>39.1434</v>
      </c>
      <c r="I1046" s="257">
        <v>25.02</v>
      </c>
      <c r="J1046" s="257">
        <f>(100.42/(25/4.19))</f>
        <v>16.830392000000003</v>
      </c>
    </row>
    <row r="1047" spans="1:10">
      <c r="A1047" s="114">
        <v>39281</v>
      </c>
      <c r="B1047" s="264">
        <v>29.08</v>
      </c>
      <c r="C1047" s="264">
        <v>28.31</v>
      </c>
      <c r="D1047" s="264">
        <v>27.65</v>
      </c>
      <c r="E1047" s="264">
        <v>21.53</v>
      </c>
      <c r="F1047" s="257">
        <v>22.75</v>
      </c>
      <c r="G1047" s="257">
        <f>+(12.24+14.97+0.38351*1.12)/2</f>
        <v>13.8197656</v>
      </c>
      <c r="H1047" s="257">
        <v>41.5426</v>
      </c>
      <c r="I1047" s="257">
        <v>25.48</v>
      </c>
      <c r="J1047" s="257">
        <f>(100.44/(25/4.19))</f>
        <v>16.833744000000003</v>
      </c>
    </row>
    <row r="1048" spans="1:10">
      <c r="A1048" s="114">
        <v>39288</v>
      </c>
      <c r="B1048" s="264">
        <v>29.58</v>
      </c>
      <c r="C1048" s="264">
        <v>28.67</v>
      </c>
      <c r="D1048" s="264">
        <v>28.1</v>
      </c>
      <c r="E1048" s="264">
        <v>21.96</v>
      </c>
      <c r="F1048" s="257">
        <v>22.88</v>
      </c>
      <c r="G1048" s="257">
        <f>+(12.24+14.97+0.38351*1.12)/2</f>
        <v>13.8197656</v>
      </c>
      <c r="H1048" s="257">
        <v>41.5426</v>
      </c>
      <c r="I1048" s="257">
        <v>25.48</v>
      </c>
      <c r="J1048" s="257">
        <f>(100.44/(25/4.19))</f>
        <v>16.833744000000003</v>
      </c>
    </row>
    <row r="1049" spans="1:10">
      <c r="A1049" s="268" t="s">
        <v>7</v>
      </c>
      <c r="B1049" s="269">
        <f t="shared" ref="B1049:J1049" si="89">AVERAGE(B1045:B1048)</f>
        <v>29.192499999999999</v>
      </c>
      <c r="C1049" s="269">
        <f t="shared" si="89"/>
        <v>28.405000000000001</v>
      </c>
      <c r="D1049" s="269">
        <f t="shared" si="89"/>
        <v>27.767499999999998</v>
      </c>
      <c r="E1049" s="269">
        <f t="shared" si="89"/>
        <v>21.622500000000002</v>
      </c>
      <c r="F1049" s="269">
        <f t="shared" si="89"/>
        <v>22.782499999999999</v>
      </c>
      <c r="G1049" s="269">
        <f t="shared" si="89"/>
        <v>13.8197656</v>
      </c>
      <c r="H1049" s="269">
        <f t="shared" si="89"/>
        <v>40.342999999999996</v>
      </c>
      <c r="I1049" s="269">
        <f t="shared" si="89"/>
        <v>25.25</v>
      </c>
      <c r="J1049" s="269">
        <f t="shared" si="89"/>
        <v>16.832068000000003</v>
      </c>
    </row>
    <row r="1051" spans="1:10">
      <c r="A1051" s="1672" t="s">
        <v>1</v>
      </c>
      <c r="B1051" s="265" t="s">
        <v>139</v>
      </c>
      <c r="C1051" s="265" t="s">
        <v>140</v>
      </c>
      <c r="D1051" s="265" t="s">
        <v>5</v>
      </c>
      <c r="E1051" s="265" t="s">
        <v>6</v>
      </c>
      <c r="F1051" s="266" t="s">
        <v>57</v>
      </c>
      <c r="G1051" s="266" t="s">
        <v>58</v>
      </c>
      <c r="H1051" s="266" t="s">
        <v>149</v>
      </c>
      <c r="I1051" s="266" t="s">
        <v>145</v>
      </c>
      <c r="J1051" s="266" t="s">
        <v>61</v>
      </c>
    </row>
    <row r="1052" spans="1:10">
      <c r="A1052" s="1672"/>
      <c r="B1052" s="267" t="s">
        <v>146</v>
      </c>
      <c r="C1052" s="267" t="s">
        <v>146</v>
      </c>
      <c r="D1052" s="267" t="s">
        <v>146</v>
      </c>
      <c r="E1052" s="267" t="s">
        <v>146</v>
      </c>
      <c r="F1052" s="267" t="s">
        <v>146</v>
      </c>
      <c r="G1052" s="267" t="s">
        <v>146</v>
      </c>
      <c r="H1052" s="267" t="s">
        <v>146</v>
      </c>
      <c r="I1052" s="267" t="s">
        <v>146</v>
      </c>
      <c r="J1052" s="267" t="s">
        <v>146</v>
      </c>
    </row>
    <row r="1053" spans="1:10">
      <c r="A1053" s="114">
        <v>39295</v>
      </c>
      <c r="B1053" s="264">
        <v>29.1</v>
      </c>
      <c r="C1053" s="264">
        <v>28.45</v>
      </c>
      <c r="D1053" s="264">
        <v>27.84</v>
      </c>
      <c r="E1053" s="264">
        <v>22.02</v>
      </c>
      <c r="F1053" s="257">
        <v>22.88</v>
      </c>
      <c r="G1053" s="257">
        <f>+(12.83+13.3+0.38351*1.12)/2</f>
        <v>13.279765600000001</v>
      </c>
      <c r="H1053" s="257">
        <v>41.5563</v>
      </c>
      <c r="I1053" s="257">
        <v>25.39</v>
      </c>
      <c r="J1053" s="257">
        <f>(100.42/(25/4.19))</f>
        <v>16.830392000000003</v>
      </c>
    </row>
    <row r="1054" spans="1:10">
      <c r="A1054" s="114">
        <v>39302</v>
      </c>
      <c r="B1054" s="264">
        <v>28.39</v>
      </c>
      <c r="C1054" s="264">
        <v>27.92</v>
      </c>
      <c r="D1054" s="264">
        <v>27.24</v>
      </c>
      <c r="E1054" s="264">
        <v>21.86</v>
      </c>
      <c r="F1054" s="257">
        <v>22.88</v>
      </c>
      <c r="G1054" s="257">
        <f>+(12.83+13.3+0.38351*1.12)/2</f>
        <v>13.279765600000001</v>
      </c>
      <c r="H1054" s="257">
        <v>41.5563</v>
      </c>
      <c r="I1054" s="257">
        <v>25.39</v>
      </c>
      <c r="J1054" s="257">
        <f>(100.44/(25/4.19))</f>
        <v>16.833744000000003</v>
      </c>
    </row>
    <row r="1055" spans="1:10">
      <c r="A1055" s="114">
        <v>39309</v>
      </c>
      <c r="B1055" s="264">
        <v>28.38</v>
      </c>
      <c r="C1055" s="264">
        <v>27.8</v>
      </c>
      <c r="D1055" s="264">
        <v>27.1</v>
      </c>
      <c r="E1055" s="264">
        <v>21.83</v>
      </c>
      <c r="F1055" s="257">
        <v>22.88</v>
      </c>
      <c r="G1055" s="257">
        <f>+(12.83+13.3+0.38351*1.12)/2</f>
        <v>13.279765600000001</v>
      </c>
      <c r="H1055" s="257">
        <v>41.407800000000002</v>
      </c>
      <c r="I1055" s="257">
        <v>25.03</v>
      </c>
      <c r="J1055" s="257">
        <f>(100.44/(25/4.19))</f>
        <v>16.833744000000003</v>
      </c>
    </row>
    <row r="1056" spans="1:10">
      <c r="A1056" s="114">
        <v>39316</v>
      </c>
      <c r="B1056" s="264">
        <v>28.37</v>
      </c>
      <c r="C1056" s="264">
        <v>27.77</v>
      </c>
      <c r="D1056" s="264">
        <v>27.05</v>
      </c>
      <c r="E1056" s="264">
        <v>21.79</v>
      </c>
      <c r="F1056" s="257">
        <v>23</v>
      </c>
      <c r="G1056" s="257">
        <f>+(12.83+13.3+0.38351*1.12)/2</f>
        <v>13.279765600000001</v>
      </c>
      <c r="H1056" s="257">
        <v>41.407800000000002</v>
      </c>
      <c r="I1056" s="257">
        <v>25.03</v>
      </c>
      <c r="J1056" s="257">
        <f>(100.44/(25/4.19))</f>
        <v>16.833744000000003</v>
      </c>
    </row>
    <row r="1057" spans="1:10">
      <c r="A1057" s="114">
        <v>39323</v>
      </c>
      <c r="B1057" s="264">
        <v>28.12</v>
      </c>
      <c r="C1057" s="264">
        <v>27.59</v>
      </c>
      <c r="D1057" s="264">
        <v>26.81</v>
      </c>
      <c r="E1057" s="264">
        <v>21.67</v>
      </c>
      <c r="F1057" s="257">
        <v>23</v>
      </c>
      <c r="G1057" s="257">
        <f>+(12.83+13.3+0.38351*1.12)/2</f>
        <v>13.279765600000001</v>
      </c>
      <c r="H1057" s="257">
        <v>41.407800000000002</v>
      </c>
      <c r="I1057" s="257">
        <v>25.03</v>
      </c>
      <c r="J1057" s="257">
        <f>(100.44/(25/4.19))</f>
        <v>16.833744000000003</v>
      </c>
    </row>
    <row r="1058" spans="1:10">
      <c r="A1058" s="268" t="s">
        <v>7</v>
      </c>
      <c r="B1058" s="269">
        <f t="shared" ref="B1058:J1058" si="90">AVERAGE(B1053:B1057)</f>
        <v>28.472000000000001</v>
      </c>
      <c r="C1058" s="269">
        <f t="shared" si="90"/>
        <v>27.905999999999999</v>
      </c>
      <c r="D1058" s="269">
        <f t="shared" si="90"/>
        <v>27.207999999999998</v>
      </c>
      <c r="E1058" s="269">
        <f t="shared" si="90"/>
        <v>21.834</v>
      </c>
      <c r="F1058" s="269">
        <f t="shared" si="90"/>
        <v>22.928000000000001</v>
      </c>
      <c r="G1058" s="269">
        <f t="shared" si="90"/>
        <v>13.279765600000001</v>
      </c>
      <c r="H1058" s="269">
        <f t="shared" si="90"/>
        <v>41.467200000000005</v>
      </c>
      <c r="I1058" s="269">
        <f t="shared" si="90"/>
        <v>25.173999999999999</v>
      </c>
      <c r="J1058" s="269">
        <f t="shared" si="90"/>
        <v>16.833073599999999</v>
      </c>
    </row>
    <row r="1060" spans="1:10">
      <c r="A1060" s="1672" t="s">
        <v>1</v>
      </c>
      <c r="B1060" s="265" t="s">
        <v>139</v>
      </c>
      <c r="C1060" s="265" t="s">
        <v>140</v>
      </c>
      <c r="D1060" s="265" t="s">
        <v>5</v>
      </c>
      <c r="E1060" s="265" t="s">
        <v>6</v>
      </c>
      <c r="F1060" s="266" t="s">
        <v>57</v>
      </c>
      <c r="G1060" s="266" t="s">
        <v>58</v>
      </c>
      <c r="H1060" s="266" t="s">
        <v>149</v>
      </c>
      <c r="I1060" s="266" t="s">
        <v>145</v>
      </c>
      <c r="J1060" s="266" t="s">
        <v>61</v>
      </c>
    </row>
    <row r="1061" spans="1:10">
      <c r="A1061" s="1672"/>
      <c r="B1061" s="267" t="s">
        <v>146</v>
      </c>
      <c r="C1061" s="267" t="s">
        <v>146</v>
      </c>
      <c r="D1061" s="267" t="s">
        <v>146</v>
      </c>
      <c r="E1061" s="267" t="s">
        <v>146</v>
      </c>
      <c r="F1061" s="267" t="s">
        <v>146</v>
      </c>
      <c r="G1061" s="267" t="s">
        <v>146</v>
      </c>
      <c r="H1061" s="267" t="s">
        <v>146</v>
      </c>
      <c r="I1061" s="267" t="s">
        <v>146</v>
      </c>
      <c r="J1061" s="267" t="s">
        <v>146</v>
      </c>
    </row>
    <row r="1062" spans="1:10">
      <c r="A1062" s="114">
        <v>39330</v>
      </c>
      <c r="B1062" s="264">
        <v>27.86</v>
      </c>
      <c r="C1062" s="264">
        <v>27.3</v>
      </c>
      <c r="D1062" s="264">
        <v>26.38</v>
      </c>
      <c r="E1062" s="264">
        <v>21.5</v>
      </c>
      <c r="F1062" s="257">
        <v>23</v>
      </c>
      <c r="G1062" s="257">
        <f>+(12.83+13.7+0.38351*1.12)/2</f>
        <v>13.4797656</v>
      </c>
      <c r="H1062" s="257">
        <v>41.407800000000002</v>
      </c>
      <c r="I1062" s="257">
        <v>25.03</v>
      </c>
      <c r="J1062" s="257">
        <f>(100.44/(25/4.19))</f>
        <v>16.833744000000003</v>
      </c>
    </row>
    <row r="1063" spans="1:10">
      <c r="A1063" s="114">
        <v>39337</v>
      </c>
      <c r="B1063" s="264">
        <v>27.8</v>
      </c>
      <c r="C1063" s="264">
        <v>27.15</v>
      </c>
      <c r="D1063" s="264">
        <v>26.19</v>
      </c>
      <c r="E1063" s="264">
        <v>21.37</v>
      </c>
      <c r="F1063" s="257">
        <v>23</v>
      </c>
      <c r="G1063" s="257">
        <f>+(12.83+13.7+0.38351*1.12)/2</f>
        <v>13.4797656</v>
      </c>
      <c r="H1063" s="257">
        <v>41.568399999999997</v>
      </c>
      <c r="I1063" s="257">
        <v>25.29</v>
      </c>
      <c r="J1063" s="257">
        <f>(100.44/(25/4.19))</f>
        <v>16.833744000000003</v>
      </c>
    </row>
    <row r="1064" spans="1:10">
      <c r="A1064" s="114">
        <v>39344</v>
      </c>
      <c r="B1064" s="264">
        <v>27.79</v>
      </c>
      <c r="C1064" s="264">
        <v>27.09</v>
      </c>
      <c r="D1064" s="264">
        <v>26.13</v>
      </c>
      <c r="E1064" s="264">
        <v>21.48</v>
      </c>
      <c r="F1064" s="257">
        <v>23</v>
      </c>
      <c r="G1064" s="257">
        <f>+(12.83+13.7+0.38351*1.12)/2</f>
        <v>13.4797656</v>
      </c>
      <c r="H1064" s="257">
        <v>41.568399999999997</v>
      </c>
      <c r="I1064" s="257">
        <v>26.45</v>
      </c>
      <c r="J1064" s="257">
        <f>(100.44/(25/4.19))</f>
        <v>16.833744000000003</v>
      </c>
    </row>
    <row r="1065" spans="1:10">
      <c r="A1065" s="114">
        <v>39351</v>
      </c>
      <c r="B1065" s="264">
        <v>27.79</v>
      </c>
      <c r="C1065" s="264">
        <v>27.08</v>
      </c>
      <c r="D1065" s="264">
        <v>26.12</v>
      </c>
      <c r="E1065" s="264">
        <v>21.79</v>
      </c>
      <c r="F1065" s="257">
        <v>23</v>
      </c>
      <c r="G1065" s="257">
        <f>+(12.83+13.7+0.38351*1.12)/2</f>
        <v>13.4797656</v>
      </c>
      <c r="H1065" s="257">
        <v>41.578899999999997</v>
      </c>
      <c r="I1065" s="257">
        <v>26.45</v>
      </c>
      <c r="J1065" s="257">
        <f>(100.44/(25/4.19))</f>
        <v>16.833744000000003</v>
      </c>
    </row>
    <row r="1066" spans="1:10">
      <c r="A1066" s="268" t="s">
        <v>7</v>
      </c>
      <c r="B1066" s="269">
        <f t="shared" ref="B1066:J1066" si="91">AVERAGE(B1062:B1065)</f>
        <v>27.809999999999995</v>
      </c>
      <c r="C1066" s="269">
        <f t="shared" si="91"/>
        <v>27.155000000000001</v>
      </c>
      <c r="D1066" s="269">
        <f t="shared" si="91"/>
        <v>26.205000000000002</v>
      </c>
      <c r="E1066" s="269">
        <f t="shared" si="91"/>
        <v>21.535000000000004</v>
      </c>
      <c r="F1066" s="269">
        <f t="shared" si="91"/>
        <v>23</v>
      </c>
      <c r="G1066" s="269">
        <f t="shared" si="91"/>
        <v>13.4797656</v>
      </c>
      <c r="H1066" s="269">
        <f t="shared" si="91"/>
        <v>41.530875000000002</v>
      </c>
      <c r="I1066" s="269">
        <f t="shared" si="91"/>
        <v>25.805</v>
      </c>
      <c r="J1066" s="269">
        <f t="shared" si="91"/>
        <v>16.833744000000003</v>
      </c>
    </row>
    <row r="1068" spans="1:10">
      <c r="A1068" s="1672" t="s">
        <v>1</v>
      </c>
      <c r="B1068" s="265" t="s">
        <v>139</v>
      </c>
      <c r="C1068" s="265" t="s">
        <v>140</v>
      </c>
      <c r="D1068" s="265" t="s">
        <v>5</v>
      </c>
      <c r="E1068" s="265" t="s">
        <v>6</v>
      </c>
      <c r="F1068" s="266" t="s">
        <v>57</v>
      </c>
      <c r="G1068" s="266" t="s">
        <v>58</v>
      </c>
      <c r="H1068" s="266" t="s">
        <v>149</v>
      </c>
      <c r="I1068" s="266" t="s">
        <v>145</v>
      </c>
      <c r="J1068" s="266" t="s">
        <v>61</v>
      </c>
    </row>
    <row r="1069" spans="1:10">
      <c r="A1069" s="1672"/>
      <c r="B1069" s="267" t="s">
        <v>146</v>
      </c>
      <c r="C1069" s="267" t="s">
        <v>146</v>
      </c>
      <c r="D1069" s="267" t="s">
        <v>146</v>
      </c>
      <c r="E1069" s="267" t="s">
        <v>146</v>
      </c>
      <c r="F1069" s="267" t="s">
        <v>146</v>
      </c>
      <c r="G1069" s="267" t="s">
        <v>146</v>
      </c>
      <c r="H1069" s="267" t="s">
        <v>146</v>
      </c>
      <c r="I1069" s="267" t="s">
        <v>146</v>
      </c>
      <c r="J1069" s="267" t="s">
        <v>146</v>
      </c>
    </row>
    <row r="1070" spans="1:10">
      <c r="A1070" s="114">
        <v>39358</v>
      </c>
      <c r="B1070" s="264">
        <v>28.29</v>
      </c>
      <c r="C1070" s="264">
        <v>27.34</v>
      </c>
      <c r="D1070" s="264">
        <v>26.4</v>
      </c>
      <c r="E1070" s="264">
        <v>22.18</v>
      </c>
      <c r="F1070" s="257">
        <v>23</v>
      </c>
      <c r="G1070" s="257">
        <f>+(13.9+14.25+0.38351*1.12)/2</f>
        <v>14.289765599999999</v>
      </c>
      <c r="H1070" s="257">
        <v>41.916200000000003</v>
      </c>
      <c r="I1070" s="257">
        <f>3.5341*7.75285</f>
        <v>27.399347185</v>
      </c>
      <c r="J1070" s="257">
        <f>(100.44/(25/4.19))</f>
        <v>16.833744000000003</v>
      </c>
    </row>
    <row r="1071" spans="1:10">
      <c r="A1071" s="114">
        <v>39365</v>
      </c>
      <c r="B1071" s="264">
        <v>28.1</v>
      </c>
      <c r="C1071" s="264">
        <v>27.44</v>
      </c>
      <c r="D1071" s="264">
        <v>26.5</v>
      </c>
      <c r="E1071" s="264">
        <v>22.6</v>
      </c>
      <c r="F1071" s="257">
        <v>23</v>
      </c>
      <c r="G1071" s="257">
        <f>+(13.9+14.25+0.38351*1.12)/2</f>
        <v>14.289765599999999</v>
      </c>
      <c r="H1071" s="257">
        <v>41.926200000000001</v>
      </c>
      <c r="I1071" s="257">
        <f>3.5341*7.75285</f>
        <v>27.399347185</v>
      </c>
      <c r="J1071" s="257">
        <f>(100.44/(25/4.19))</f>
        <v>16.833744000000003</v>
      </c>
    </row>
    <row r="1072" spans="1:10">
      <c r="A1072" s="114">
        <v>39372</v>
      </c>
      <c r="B1072" s="264">
        <v>28.07</v>
      </c>
      <c r="C1072" s="264">
        <v>27.33</v>
      </c>
      <c r="D1072" s="264">
        <v>26.39</v>
      </c>
      <c r="E1072" s="264">
        <v>22.73</v>
      </c>
      <c r="F1072" s="257">
        <v>23</v>
      </c>
      <c r="G1072" s="257">
        <f>+(13.9+14.25+0.38351*1.12)/2</f>
        <v>14.289765599999999</v>
      </c>
      <c r="H1072" s="257">
        <v>41.846699999999998</v>
      </c>
      <c r="I1072" s="257">
        <f>3.492*7.72496</f>
        <v>26.97556032</v>
      </c>
      <c r="J1072" s="257">
        <f>(100.44/(25/4.19))</f>
        <v>16.833744000000003</v>
      </c>
    </row>
    <row r="1073" spans="1:13">
      <c r="A1073" s="114">
        <v>39379</v>
      </c>
      <c r="B1073" s="264">
        <v>28.06</v>
      </c>
      <c r="C1073" s="264">
        <v>27.32</v>
      </c>
      <c r="D1073" s="264">
        <v>26.38</v>
      </c>
      <c r="E1073" s="264">
        <v>23.06</v>
      </c>
      <c r="F1073" s="257">
        <v>22.97</v>
      </c>
      <c r="G1073" s="257">
        <f>+(13.9+14.25+0.38351*1.12)/2</f>
        <v>14.289765599999999</v>
      </c>
      <c r="H1073" s="257">
        <v>41.846699999999998</v>
      </c>
      <c r="I1073" s="257">
        <f>3.492*7.72496</f>
        <v>26.97556032</v>
      </c>
      <c r="J1073" s="257">
        <f>(105.09/(25/4.19))</f>
        <v>17.613084000000004</v>
      </c>
    </row>
    <row r="1074" spans="1:13">
      <c r="A1074" s="114">
        <v>39386</v>
      </c>
      <c r="B1074" s="264">
        <v>28.07</v>
      </c>
      <c r="C1074" s="264">
        <v>27.29</v>
      </c>
      <c r="D1074" s="264">
        <v>26.36</v>
      </c>
      <c r="E1074" s="264">
        <v>23.74</v>
      </c>
      <c r="F1074" s="257">
        <v>23.3</v>
      </c>
      <c r="G1074" s="257">
        <f>+(13.9+14.25+0.38351*1.12)/2</f>
        <v>14.289765599999999</v>
      </c>
      <c r="H1074" s="257">
        <v>41.846699999999998</v>
      </c>
      <c r="I1074" s="257">
        <f>3.492*7.72496</f>
        <v>26.97556032</v>
      </c>
      <c r="J1074" s="257">
        <f>(110.24/(25/4.19))</f>
        <v>18.476224000000002</v>
      </c>
    </row>
    <row r="1075" spans="1:13">
      <c r="A1075" s="268" t="s">
        <v>7</v>
      </c>
      <c r="B1075" s="269">
        <f t="shared" ref="B1075:J1075" si="92">AVERAGE(B1070:B1074)</f>
        <v>28.118000000000002</v>
      </c>
      <c r="C1075" s="269">
        <f t="shared" si="92"/>
        <v>27.344000000000001</v>
      </c>
      <c r="D1075" s="269">
        <f t="shared" si="92"/>
        <v>26.405999999999995</v>
      </c>
      <c r="E1075" s="269">
        <f t="shared" si="92"/>
        <v>22.862000000000002</v>
      </c>
      <c r="F1075" s="269">
        <f t="shared" si="92"/>
        <v>23.053999999999998</v>
      </c>
      <c r="G1075" s="269">
        <f t="shared" si="92"/>
        <v>14.289765599999999</v>
      </c>
      <c r="H1075" s="269">
        <f t="shared" si="92"/>
        <v>41.8765</v>
      </c>
      <c r="I1075" s="269">
        <f t="shared" si="92"/>
        <v>27.145075065999997</v>
      </c>
      <c r="J1075" s="269">
        <f t="shared" si="92"/>
        <v>17.318108000000002</v>
      </c>
    </row>
    <row r="1077" spans="1:13">
      <c r="A1077" s="1672" t="s">
        <v>1</v>
      </c>
      <c r="B1077" s="265" t="s">
        <v>139</v>
      </c>
      <c r="C1077" s="265" t="s">
        <v>140</v>
      </c>
      <c r="D1077" s="265" t="s">
        <v>5</v>
      </c>
      <c r="E1077" s="265" t="s">
        <v>6</v>
      </c>
      <c r="F1077" s="266" t="s">
        <v>57</v>
      </c>
      <c r="G1077" s="266" t="s">
        <v>58</v>
      </c>
      <c r="H1077" s="266" t="s">
        <v>149</v>
      </c>
      <c r="I1077" s="266" t="s">
        <v>145</v>
      </c>
      <c r="J1077" s="266" t="s">
        <v>61</v>
      </c>
    </row>
    <row r="1078" spans="1:13">
      <c r="A1078" s="1672"/>
      <c r="B1078" s="267" t="s">
        <v>146</v>
      </c>
      <c r="C1078" s="267" t="s">
        <v>146</v>
      </c>
      <c r="D1078" s="267" t="s">
        <v>146</v>
      </c>
      <c r="E1078" s="267" t="s">
        <v>146</v>
      </c>
      <c r="F1078" s="267" t="s">
        <v>146</v>
      </c>
      <c r="G1078" s="267" t="s">
        <v>146</v>
      </c>
      <c r="H1078" s="267" t="s">
        <v>146</v>
      </c>
      <c r="I1078" s="267" t="s">
        <v>146</v>
      </c>
      <c r="J1078" s="267" t="s">
        <v>146</v>
      </c>
    </row>
    <row r="1079" spans="1:13">
      <c r="A1079" s="114">
        <v>39393</v>
      </c>
      <c r="B1079" s="264">
        <v>28.3</v>
      </c>
      <c r="C1079" s="264">
        <v>27.46</v>
      </c>
      <c r="D1079" s="264">
        <v>26.52</v>
      </c>
      <c r="E1079" s="264">
        <v>24.48</v>
      </c>
      <c r="F1079" s="257">
        <v>25.25</v>
      </c>
      <c r="G1079" s="257">
        <f>+(16.01+16.4+0.38351*1.12)/2</f>
        <v>16.419765599999998</v>
      </c>
      <c r="H1079" s="257">
        <v>41.206600000000002</v>
      </c>
      <c r="I1079" s="257">
        <f>3.6817*7.65615</f>
        <v>28.187647455000004</v>
      </c>
      <c r="J1079" s="257">
        <f>(100.24/(25/4.19))</f>
        <v>16.800224</v>
      </c>
    </row>
    <row r="1080" spans="1:13">
      <c r="A1080" s="114">
        <v>39400</v>
      </c>
      <c r="B1080" s="264">
        <v>29.1</v>
      </c>
      <c r="C1080" s="264">
        <v>28.24</v>
      </c>
      <c r="D1080" s="264">
        <v>27.32</v>
      </c>
      <c r="E1080" s="264">
        <v>25.15</v>
      </c>
      <c r="F1080" s="257">
        <v>25.88</v>
      </c>
      <c r="G1080" s="257">
        <f>+(16.01+16.75+0.38351*1.12)/2</f>
        <v>16.594765600000002</v>
      </c>
      <c r="H1080" s="257">
        <v>41.21</v>
      </c>
      <c r="I1080" s="257">
        <f>3.6817*7.61514</f>
        <v>28.036660938000001</v>
      </c>
      <c r="J1080" s="257">
        <f>(120.26/(25/4.19))</f>
        <v>20.155576000000003</v>
      </c>
    </row>
    <row r="1081" spans="1:13">
      <c r="A1081" s="114">
        <v>39407</v>
      </c>
      <c r="B1081" s="264">
        <v>29.6</v>
      </c>
      <c r="C1081" s="264">
        <v>28.52</v>
      </c>
      <c r="D1081" s="264">
        <v>27.58</v>
      </c>
      <c r="E1081" s="264">
        <v>25.38</v>
      </c>
      <c r="F1081" s="257">
        <v>25.88</v>
      </c>
      <c r="G1081" s="257">
        <f>+(16.01+17+0.38351*1.12)/2</f>
        <v>16.719765600000002</v>
      </c>
      <c r="H1081" s="257">
        <v>40.917700000000004</v>
      </c>
      <c r="I1081" s="257">
        <f>3.9114*7.60997</f>
        <v>29.765636657999998</v>
      </c>
      <c r="J1081" s="257">
        <f>(120.37/(25/4.19))</f>
        <v>20.174012000000005</v>
      </c>
    </row>
    <row r="1082" spans="1:13">
      <c r="A1082" s="114">
        <v>39414</v>
      </c>
      <c r="B1082" s="264">
        <v>29.6</v>
      </c>
      <c r="C1082" s="264">
        <v>28.73</v>
      </c>
      <c r="D1082" s="264">
        <v>27.78</v>
      </c>
      <c r="E1082" s="264">
        <v>25.62</v>
      </c>
      <c r="F1082" s="257">
        <v>25.88</v>
      </c>
      <c r="G1082" s="257">
        <f>+(16.01+16.35+0.38351*1.12)/2</f>
        <v>16.394765599999999</v>
      </c>
      <c r="H1082" s="257">
        <v>40.917700000000004</v>
      </c>
      <c r="I1082" s="257">
        <f>3.9114*7.66769</f>
        <v>29.991402666000003</v>
      </c>
      <c r="J1082" s="257">
        <f>(120.37/(25/4.19))</f>
        <v>20.174012000000005</v>
      </c>
    </row>
    <row r="1083" spans="1:13">
      <c r="A1083" s="268" t="s">
        <v>7</v>
      </c>
      <c r="B1083" s="269">
        <f t="shared" ref="B1083:J1083" si="93">AVERAGE(B1079:B1082)</f>
        <v>29.15</v>
      </c>
      <c r="C1083" s="269">
        <f t="shared" si="93"/>
        <v>28.237500000000001</v>
      </c>
      <c r="D1083" s="269">
        <f t="shared" si="93"/>
        <v>27.3</v>
      </c>
      <c r="E1083" s="269">
        <f t="shared" si="93"/>
        <v>25.157499999999999</v>
      </c>
      <c r="F1083" s="269">
        <f t="shared" si="93"/>
        <v>25.722499999999997</v>
      </c>
      <c r="G1083" s="269">
        <f t="shared" si="93"/>
        <v>16.532265600000002</v>
      </c>
      <c r="H1083" s="269">
        <f t="shared" si="93"/>
        <v>41.063000000000002</v>
      </c>
      <c r="I1083" s="269">
        <f t="shared" si="93"/>
        <v>28.995336929250001</v>
      </c>
      <c r="J1083" s="269">
        <f t="shared" si="93"/>
        <v>19.325956000000005</v>
      </c>
    </row>
    <row r="1085" spans="1:13">
      <c r="A1085" s="1672" t="s">
        <v>1</v>
      </c>
      <c r="B1085" s="265" t="s">
        <v>139</v>
      </c>
      <c r="C1085" s="265" t="s">
        <v>140</v>
      </c>
      <c r="D1085" s="265" t="s">
        <v>5</v>
      </c>
      <c r="E1085" s="265" t="s">
        <v>6</v>
      </c>
      <c r="F1085" s="266" t="s">
        <v>57</v>
      </c>
      <c r="G1085" s="266" t="s">
        <v>58</v>
      </c>
      <c r="H1085" s="266" t="s">
        <v>149</v>
      </c>
      <c r="I1085" s="266" t="s">
        <v>145</v>
      </c>
      <c r="J1085" s="266" t="s">
        <v>61</v>
      </c>
    </row>
    <row r="1086" spans="1:13">
      <c r="A1086" s="1672"/>
      <c r="B1086" s="267" t="s">
        <v>146</v>
      </c>
      <c r="C1086" s="267" t="s">
        <v>146</v>
      </c>
      <c r="D1086" s="267" t="s">
        <v>146</v>
      </c>
      <c r="E1086" s="267" t="s">
        <v>146</v>
      </c>
      <c r="F1086" s="267" t="s">
        <v>146</v>
      </c>
      <c r="G1086" s="267" t="s">
        <v>146</v>
      </c>
      <c r="H1086" s="267" t="s">
        <v>146</v>
      </c>
      <c r="I1086" s="267" t="s">
        <v>146</v>
      </c>
      <c r="J1086" s="267" t="s">
        <v>146</v>
      </c>
      <c r="L1086" s="270" t="s">
        <v>151</v>
      </c>
      <c r="M1086" s="270" t="s">
        <v>152</v>
      </c>
    </row>
    <row r="1087" spans="1:13">
      <c r="A1087" s="114">
        <v>39421</v>
      </c>
      <c r="B1087" s="264">
        <v>30.1</v>
      </c>
      <c r="C1087" s="264">
        <v>29.23</v>
      </c>
      <c r="D1087" s="264">
        <v>28.26</v>
      </c>
      <c r="E1087" s="264">
        <v>26.12</v>
      </c>
      <c r="F1087" s="257">
        <v>27.75</v>
      </c>
      <c r="G1087" s="257">
        <f>+(15.78+16.4+0.38351*1.12)/2</f>
        <v>16.3047656</v>
      </c>
      <c r="H1087" s="257">
        <v>40.917700000000004</v>
      </c>
      <c r="I1087" s="257">
        <f>3.9443*7.66814</f>
        <v>30.245444602000003</v>
      </c>
      <c r="J1087" s="257">
        <f>(120.37/(25/4.19))</f>
        <v>20.174012000000005</v>
      </c>
    </row>
    <row r="1088" spans="1:13">
      <c r="A1088" s="114">
        <v>39428</v>
      </c>
      <c r="B1088" s="264">
        <v>29.74</v>
      </c>
      <c r="C1088" s="264">
        <v>29.1</v>
      </c>
      <c r="D1088" s="264">
        <v>28.26</v>
      </c>
      <c r="E1088" s="264">
        <v>26.12</v>
      </c>
      <c r="F1088" s="257">
        <v>27.75</v>
      </c>
      <c r="G1088" s="257">
        <f>+(15.78+16.35+0.38351*1.12)/2</f>
        <v>16.279765600000001</v>
      </c>
      <c r="H1088" s="257">
        <v>40.917700000000004</v>
      </c>
      <c r="I1088" s="257">
        <f>3.9443*7.61764</f>
        <v>30.046257451999999</v>
      </c>
      <c r="J1088" s="257">
        <f>(120.37/(25/4.19))</f>
        <v>20.174012000000005</v>
      </c>
    </row>
    <row r="1089" spans="1:13">
      <c r="A1089" s="114">
        <v>39435</v>
      </c>
      <c r="B1089" s="264">
        <v>29.67</v>
      </c>
      <c r="C1089" s="264">
        <v>28.94</v>
      </c>
      <c r="D1089" s="264">
        <v>28.25</v>
      </c>
      <c r="E1089" s="264">
        <v>26.12</v>
      </c>
      <c r="F1089" s="257">
        <v>27.75</v>
      </c>
      <c r="G1089" s="257">
        <f>+(15.78+16.4+0.38351*1.12)/2</f>
        <v>16.3047656</v>
      </c>
      <c r="H1089" s="257">
        <v>40.776899999999998</v>
      </c>
      <c r="I1089" s="257">
        <f>3.8543*7.61023</f>
        <v>29.332109488999997</v>
      </c>
      <c r="J1089" s="257">
        <f>(120.37/(25/4.19))</f>
        <v>20.174012000000005</v>
      </c>
    </row>
    <row r="1090" spans="1:13">
      <c r="A1090" s="114">
        <v>39442</v>
      </c>
      <c r="B1090" s="264">
        <v>29.65</v>
      </c>
      <c r="C1090" s="264">
        <v>28.9</v>
      </c>
      <c r="D1090" s="264">
        <v>28.23</v>
      </c>
      <c r="E1090" s="264">
        <v>26.1</v>
      </c>
      <c r="F1090" s="257">
        <v>27.75</v>
      </c>
      <c r="G1090" s="257">
        <f>+(15.78+16.3+0.38351*1.12)/2</f>
        <v>16.254765599999999</v>
      </c>
      <c r="H1090" s="257">
        <v>40.776899999999998</v>
      </c>
      <c r="I1090" s="257">
        <f>3.8543*7.63211</f>
        <v>29.416441573</v>
      </c>
      <c r="J1090" s="257">
        <f>(120.37/(25/4.19))</f>
        <v>20.174012000000005</v>
      </c>
    </row>
    <row r="1091" spans="1:13">
      <c r="A1091" s="268" t="s">
        <v>7</v>
      </c>
      <c r="B1091" s="269">
        <f t="shared" ref="B1091:J1091" si="94">AVERAGE(B1087:B1090)</f>
        <v>29.79</v>
      </c>
      <c r="C1091" s="269">
        <f t="shared" si="94"/>
        <v>29.042499999999997</v>
      </c>
      <c r="D1091" s="269">
        <f t="shared" si="94"/>
        <v>28.250000000000004</v>
      </c>
      <c r="E1091" s="269">
        <f t="shared" si="94"/>
        <v>26.115000000000002</v>
      </c>
      <c r="F1091" s="269">
        <f t="shared" si="94"/>
        <v>27.75</v>
      </c>
      <c r="G1091" s="269">
        <f t="shared" si="94"/>
        <v>16.286015599999999</v>
      </c>
      <c r="H1091" s="269">
        <f t="shared" si="94"/>
        <v>40.847300000000004</v>
      </c>
      <c r="I1091" s="269">
        <f t="shared" si="94"/>
        <v>29.760063278999997</v>
      </c>
      <c r="J1091" s="269">
        <f t="shared" si="94"/>
        <v>20.174012000000005</v>
      </c>
    </row>
    <row r="1093" spans="1:13">
      <c r="A1093" s="1673" t="s">
        <v>1</v>
      </c>
      <c r="B1093" s="271" t="s">
        <v>139</v>
      </c>
      <c r="C1093" s="271" t="s">
        <v>140</v>
      </c>
      <c r="D1093" s="271" t="s">
        <v>5</v>
      </c>
      <c r="E1093" s="271" t="s">
        <v>6</v>
      </c>
      <c r="F1093" s="272" t="s">
        <v>57</v>
      </c>
      <c r="G1093" s="272" t="s">
        <v>58</v>
      </c>
      <c r="H1093" s="272" t="s">
        <v>149</v>
      </c>
      <c r="I1093" s="272" t="s">
        <v>145</v>
      </c>
      <c r="J1093" s="272" t="s">
        <v>61</v>
      </c>
      <c r="L1093" s="272" t="s">
        <v>58</v>
      </c>
      <c r="M1093" s="272" t="s">
        <v>58</v>
      </c>
    </row>
    <row r="1094" spans="1:13">
      <c r="A1094" s="1673"/>
      <c r="B1094" s="273" t="s">
        <v>146</v>
      </c>
      <c r="C1094" s="273" t="s">
        <v>146</v>
      </c>
      <c r="D1094" s="273" t="s">
        <v>146</v>
      </c>
      <c r="E1094" s="273" t="s">
        <v>146</v>
      </c>
      <c r="F1094" s="273" t="s">
        <v>146</v>
      </c>
      <c r="G1094" s="273" t="s">
        <v>146</v>
      </c>
      <c r="H1094" s="273" t="s">
        <v>146</v>
      </c>
      <c r="I1094" s="273" t="s">
        <v>146</v>
      </c>
      <c r="J1094" s="273" t="s">
        <v>146</v>
      </c>
      <c r="L1094" s="273" t="s">
        <v>146</v>
      </c>
      <c r="M1094" s="273" t="s">
        <v>146</v>
      </c>
    </row>
    <row r="1095" spans="1:13">
      <c r="A1095" s="114">
        <v>39449</v>
      </c>
      <c r="B1095" s="264">
        <f>+VLOOKUP(A1095,'[2]X-SEMANA-AS-SC'!G$341:K779,2,FALSE)</f>
        <v>29.64</v>
      </c>
      <c r="C1095" s="264">
        <f>+VLOOKUP(A1095,'[2]X-SEMANA-AS-SC'!$G391:K779,3,FALSE)</f>
        <v>28.89</v>
      </c>
      <c r="D1095" s="264">
        <f>+VLOOKUP(A1095,'[2]X-SEMANA-AS-SC'!$G391:K779,4,FALSE)</f>
        <v>28.23</v>
      </c>
      <c r="E1095" s="264">
        <f>+VLOOKUP(A1095,'[2]X-SEMANA-AS-SC'!$G391:K779,5,FALSE)</f>
        <v>26.1</v>
      </c>
      <c r="F1095" s="257">
        <v>27.5</v>
      </c>
      <c r="G1095" s="257">
        <f>+(16.35+16.3+0.43*1.12)/2</f>
        <v>16.565800000000003</v>
      </c>
      <c r="H1095" s="257">
        <v>40.904000000000003</v>
      </c>
      <c r="I1095" s="257">
        <f>3.909*7.63</f>
        <v>29.825669999999999</v>
      </c>
      <c r="J1095" s="257">
        <f>(120.37/(25/4.19))</f>
        <v>20.174012000000005</v>
      </c>
      <c r="L1095" s="274"/>
      <c r="M1095" s="274"/>
    </row>
    <row r="1096" spans="1:13">
      <c r="A1096" s="114">
        <v>39456</v>
      </c>
      <c r="B1096" s="264"/>
      <c r="C1096" s="264"/>
      <c r="D1096" s="264"/>
      <c r="E1096" s="264"/>
      <c r="F1096" s="257">
        <v>27.5</v>
      </c>
      <c r="G1096" s="257">
        <f>+(16.35+16.3+0.43*1.12)/2</f>
        <v>16.565800000000003</v>
      </c>
      <c r="H1096" s="257">
        <v>40.904000000000003</v>
      </c>
      <c r="I1096" s="257">
        <f>3.909*7.66</f>
        <v>29.94294</v>
      </c>
      <c r="J1096" s="257">
        <f>(120.37/(25/4.19))</f>
        <v>20.174012000000005</v>
      </c>
      <c r="L1096" s="274"/>
      <c r="M1096" s="274"/>
    </row>
    <row r="1097" spans="1:13">
      <c r="A1097" s="114">
        <v>39463</v>
      </c>
      <c r="B1097" s="264"/>
      <c r="C1097" s="264"/>
      <c r="D1097" s="264"/>
      <c r="E1097" s="264"/>
      <c r="F1097" s="257">
        <v>27.5</v>
      </c>
      <c r="G1097" s="257">
        <f>+(16.35+16.4+0.43*1.12)/2</f>
        <v>16.6158</v>
      </c>
      <c r="H1097" s="257">
        <v>41.170900000000003</v>
      </c>
      <c r="I1097" s="257">
        <f>3.9344*7.69</f>
        <v>30.255536000000003</v>
      </c>
      <c r="J1097" s="257">
        <f>(120.37/(25/4.19))</f>
        <v>20.174012000000005</v>
      </c>
      <c r="L1097" s="274"/>
      <c r="M1097" s="274"/>
    </row>
    <row r="1098" spans="1:13">
      <c r="A1098" s="114">
        <v>39470</v>
      </c>
      <c r="B1098" s="264">
        <f>+VLOOKUP(A1098,'[2]X-SEMANA-AS-SC'!G$341:K780,2,FALSE)</f>
        <v>29.46</v>
      </c>
      <c r="C1098" s="264">
        <f>+VLOOKUP(A1098,'[2]X-SEMANA-AS-SC'!$G392:K780,3,FALSE)</f>
        <v>28.89</v>
      </c>
      <c r="D1098" s="264">
        <f>+VLOOKUP(A1098,'[2]X-SEMANA-AS-SC'!$G392:K780,4,FALSE)</f>
        <v>28.33</v>
      </c>
      <c r="E1098" s="264">
        <f>+VLOOKUP(A1098,'[2]X-SEMANA-AS-SC'!$G392:K780,5,FALSE)</f>
        <v>26.38</v>
      </c>
      <c r="F1098" s="257">
        <v>27.5</v>
      </c>
      <c r="G1098" s="257">
        <f>+(16.35+16.4+0.43*1.12)/2</f>
        <v>16.6158</v>
      </c>
      <c r="H1098" s="257">
        <v>41.170900000000003</v>
      </c>
      <c r="I1098" s="257">
        <f>3.9344*7.71</f>
        <v>30.334224000000003</v>
      </c>
      <c r="J1098" s="257">
        <f>(120.37/(25/4.19))</f>
        <v>20.174012000000005</v>
      </c>
      <c r="L1098" s="274"/>
      <c r="M1098" s="274"/>
    </row>
    <row r="1099" spans="1:13">
      <c r="A1099" s="275" t="s">
        <v>7</v>
      </c>
      <c r="B1099" s="276">
        <f t="shared" ref="B1099:J1099" si="95">AVERAGE(B1095:B1098)</f>
        <v>29.55</v>
      </c>
      <c r="C1099" s="276">
        <f t="shared" si="95"/>
        <v>28.89</v>
      </c>
      <c r="D1099" s="276">
        <f t="shared" si="95"/>
        <v>28.28</v>
      </c>
      <c r="E1099" s="276">
        <f t="shared" si="95"/>
        <v>26.240000000000002</v>
      </c>
      <c r="F1099" s="276">
        <f t="shared" si="95"/>
        <v>27.5</v>
      </c>
      <c r="G1099" s="276">
        <f t="shared" si="95"/>
        <v>16.590800000000002</v>
      </c>
      <c r="H1099" s="276">
        <f t="shared" si="95"/>
        <v>41.037450000000007</v>
      </c>
      <c r="I1099" s="276">
        <f t="shared" si="95"/>
        <v>30.089592500000002</v>
      </c>
      <c r="J1099" s="276">
        <f t="shared" si="95"/>
        <v>20.174012000000005</v>
      </c>
      <c r="L1099" s="276"/>
      <c r="M1099" s="276"/>
    </row>
    <row r="1100" spans="1:13">
      <c r="L1100" s="270" t="s">
        <v>151</v>
      </c>
      <c r="M1100" s="270" t="s">
        <v>152</v>
      </c>
    </row>
    <row r="1101" spans="1:13">
      <c r="A1101" s="1673" t="s">
        <v>1</v>
      </c>
      <c r="B1101" s="271" t="s">
        <v>139</v>
      </c>
      <c r="C1101" s="271" t="s">
        <v>140</v>
      </c>
      <c r="D1101" s="271" t="s">
        <v>5</v>
      </c>
      <c r="E1101" s="271" t="s">
        <v>6</v>
      </c>
      <c r="F1101" s="272" t="s">
        <v>57</v>
      </c>
      <c r="G1101" s="272" t="s">
        <v>58</v>
      </c>
      <c r="H1101" s="272" t="s">
        <v>149</v>
      </c>
      <c r="I1101" s="272" t="s">
        <v>145</v>
      </c>
      <c r="J1101" s="272" t="s">
        <v>61</v>
      </c>
      <c r="L1101" s="272" t="s">
        <v>58</v>
      </c>
      <c r="M1101" s="272" t="s">
        <v>58</v>
      </c>
    </row>
    <row r="1102" spans="1:13">
      <c r="A1102" s="1673"/>
      <c r="B1102" s="273" t="s">
        <v>146</v>
      </c>
      <c r="C1102" s="273" t="s">
        <v>146</v>
      </c>
      <c r="D1102" s="273" t="s">
        <v>146</v>
      </c>
      <c r="E1102" s="273" t="s">
        <v>146</v>
      </c>
      <c r="F1102" s="273" t="s">
        <v>146</v>
      </c>
      <c r="G1102" s="273" t="s">
        <v>146</v>
      </c>
      <c r="H1102" s="273" t="s">
        <v>146</v>
      </c>
      <c r="I1102" s="273" t="s">
        <v>146</v>
      </c>
      <c r="J1102" s="273" t="s">
        <v>146</v>
      </c>
      <c r="L1102" s="273" t="s">
        <v>146</v>
      </c>
      <c r="M1102" s="273" t="s">
        <v>146</v>
      </c>
    </row>
    <row r="1103" spans="1:13">
      <c r="A1103" s="114">
        <v>39496</v>
      </c>
      <c r="B1103" s="264">
        <f>+VLOOKUP(A1103,'[2]X-SEMANA-AS-SC'!G$341:K787,2,FALSE)</f>
        <v>29.48</v>
      </c>
      <c r="C1103" s="264">
        <f>+VLOOKUP(A1103,'[2]X-SEMANA-AS-SC'!$G399:K787,3,FALSE)</f>
        <v>28.72</v>
      </c>
      <c r="D1103" s="264">
        <f>+VLOOKUP(A1103,'[2]X-SEMANA-AS-SC'!$G399:K787,4,FALSE)</f>
        <v>28.2</v>
      </c>
      <c r="E1103" s="264">
        <f>+VLOOKUP(A1103,'[2]X-SEMANA-AS-SC'!$G399:K787,5,FALSE)</f>
        <v>26.3</v>
      </c>
      <c r="F1103" s="257">
        <v>28.5</v>
      </c>
      <c r="G1103" s="278">
        <f>+(19.06+16.4+0.43*1.12)/2</f>
        <v>17.970799999999997</v>
      </c>
      <c r="H1103" s="257">
        <v>48.15</v>
      </c>
      <c r="I1103" s="257">
        <v>30.28</v>
      </c>
      <c r="J1103" s="257">
        <f>(120.37/(25/4.19))</f>
        <v>20.174012000000005</v>
      </c>
      <c r="K1103" s="584" t="s">
        <v>153</v>
      </c>
      <c r="L1103" s="190">
        <f>19.06+0.43*1.12</f>
        <v>19.541599999999999</v>
      </c>
      <c r="M1103" s="274"/>
    </row>
    <row r="1104" spans="1:13">
      <c r="A1104" s="114">
        <v>39503</v>
      </c>
      <c r="B1104" s="264">
        <f>+VLOOKUP(A1104,'[2]X-SEMANA-AS-SC'!G$341:K788,2,FALSE)</f>
        <v>29.42</v>
      </c>
      <c r="C1104" s="264">
        <f>+VLOOKUP(A1104,'[2]X-SEMANA-AS-SC'!$G400:K788,3,FALSE)</f>
        <v>28.69</v>
      </c>
      <c r="D1104" s="264">
        <f>+VLOOKUP(A1104,'[2]X-SEMANA-AS-SC'!$G400:K788,4,FALSE)</f>
        <v>28.16</v>
      </c>
      <c r="E1104" s="264">
        <f>+VLOOKUP(A1104,'[2]X-SEMANA-AS-SC'!$G400:K788,5,FALSE)</f>
        <v>26.32</v>
      </c>
      <c r="F1104" s="257">
        <v>28.5</v>
      </c>
      <c r="G1104" s="278">
        <f>+(19+16.3+0.43*1.12)/2</f>
        <v>17.890799999999999</v>
      </c>
      <c r="H1104" s="257">
        <v>48.15</v>
      </c>
      <c r="I1104" s="257">
        <v>32.380000000000003</v>
      </c>
      <c r="J1104" s="257">
        <f>(120.37/(25/4.19))</f>
        <v>20.174012000000005</v>
      </c>
      <c r="L1104" s="190">
        <f>19+0.43*1.12</f>
        <v>19.4816</v>
      </c>
      <c r="M1104" s="274"/>
    </row>
    <row r="1105" spans="1:13">
      <c r="A1105" s="275" t="s">
        <v>7</v>
      </c>
      <c r="B1105" s="276">
        <f t="shared" ref="B1105:J1105" si="96">AVERAGE(B1103:B1104)</f>
        <v>29.450000000000003</v>
      </c>
      <c r="C1105" s="276">
        <f t="shared" si="96"/>
        <v>28.704999999999998</v>
      </c>
      <c r="D1105" s="276">
        <f t="shared" si="96"/>
        <v>28.18</v>
      </c>
      <c r="E1105" s="276">
        <f t="shared" si="96"/>
        <v>26.310000000000002</v>
      </c>
      <c r="F1105" s="276">
        <f t="shared" si="96"/>
        <v>28.5</v>
      </c>
      <c r="G1105" s="276">
        <f t="shared" si="96"/>
        <v>17.930799999999998</v>
      </c>
      <c r="H1105" s="276">
        <f t="shared" si="96"/>
        <v>48.15</v>
      </c>
      <c r="I1105" s="276">
        <f t="shared" si="96"/>
        <v>31.330000000000002</v>
      </c>
      <c r="J1105" s="276">
        <f t="shared" si="96"/>
        <v>20.174012000000005</v>
      </c>
      <c r="L1105" s="276">
        <f>AVERAGE(L1103:L1104)</f>
        <v>19.511600000000001</v>
      </c>
      <c r="M1105" s="276"/>
    </row>
    <row r="1106" spans="1:13">
      <c r="L1106" s="270" t="s">
        <v>151</v>
      </c>
      <c r="M1106" s="270" t="s">
        <v>152</v>
      </c>
    </row>
    <row r="1107" spans="1:13">
      <c r="A1107" s="1673" t="s">
        <v>1</v>
      </c>
      <c r="B1107" s="271" t="s">
        <v>139</v>
      </c>
      <c r="C1107" s="271" t="s">
        <v>140</v>
      </c>
      <c r="D1107" s="271" t="s">
        <v>5</v>
      </c>
      <c r="E1107" s="271" t="s">
        <v>6</v>
      </c>
      <c r="F1107" s="272" t="s">
        <v>57</v>
      </c>
      <c r="G1107" s="272" t="s">
        <v>58</v>
      </c>
      <c r="H1107" s="272" t="s">
        <v>149</v>
      </c>
      <c r="I1107" s="272" t="s">
        <v>145</v>
      </c>
      <c r="J1107" s="272" t="s">
        <v>61</v>
      </c>
      <c r="L1107" s="272" t="s">
        <v>58</v>
      </c>
      <c r="M1107" s="272" t="s">
        <v>58</v>
      </c>
    </row>
    <row r="1108" spans="1:13">
      <c r="A1108" s="1673"/>
      <c r="B1108" s="273" t="s">
        <v>146</v>
      </c>
      <c r="C1108" s="273" t="s">
        <v>146</v>
      </c>
      <c r="D1108" s="273" t="s">
        <v>146</v>
      </c>
      <c r="E1108" s="273" t="s">
        <v>146</v>
      </c>
      <c r="F1108" s="273" t="s">
        <v>146</v>
      </c>
      <c r="G1108" s="273" t="s">
        <v>146</v>
      </c>
      <c r="H1108" s="273" t="s">
        <v>146</v>
      </c>
      <c r="I1108" s="273" t="s">
        <v>146</v>
      </c>
      <c r="J1108" s="273" t="s">
        <v>146</v>
      </c>
      <c r="L1108" s="273" t="s">
        <v>146</v>
      </c>
      <c r="M1108" s="273" t="s">
        <v>146</v>
      </c>
    </row>
    <row r="1109" spans="1:13">
      <c r="A1109" s="114">
        <v>39510</v>
      </c>
      <c r="B1109" s="264">
        <f>+VLOOKUP(A1109,'[2]X-SEMANA-AS-SC'!G$341:K793,2,FALSE)</f>
        <v>30</v>
      </c>
      <c r="C1109" s="264">
        <f>+VLOOKUP(A1109,'[2]X-SEMANA-AS-SC'!$G405:K793,3,FALSE)</f>
        <v>29.11</v>
      </c>
      <c r="D1109" s="264">
        <f>+VLOOKUP(A1109,'[2]X-SEMANA-AS-SC'!$G405:K793,4,FALSE)</f>
        <v>28.6</v>
      </c>
      <c r="E1109" s="264">
        <f>+VLOOKUP(A1109,'[2]X-SEMANA-AS-SC'!$G405:K793,5,FALSE)</f>
        <v>26.86</v>
      </c>
      <c r="F1109" s="257">
        <v>29.4</v>
      </c>
      <c r="G1109" s="257">
        <f>+(16.6+0.43*1.12)/1</f>
        <v>17.081600000000002</v>
      </c>
      <c r="H1109" s="257">
        <v>48.01</v>
      </c>
      <c r="I1109" s="257">
        <v>32.28</v>
      </c>
      <c r="J1109" s="257">
        <f>(120.37/(25/4.19))</f>
        <v>20.174012000000005</v>
      </c>
      <c r="L1109" s="190">
        <f>16.6+0.43*1.12</f>
        <v>17.081600000000002</v>
      </c>
      <c r="M1109" s="274"/>
    </row>
    <row r="1110" spans="1:13">
      <c r="A1110" s="114">
        <v>39517</v>
      </c>
      <c r="B1110" s="264">
        <f>+VLOOKUP(A1110,'[2]X-SEMANA-AS-SC'!G$341:K794,2,FALSE)</f>
        <v>31.02</v>
      </c>
      <c r="C1110" s="264">
        <f>+VLOOKUP(A1110,'[2]X-SEMANA-AS-SC'!$G406:K794,3,FALSE)</f>
        <v>30.12</v>
      </c>
      <c r="D1110" s="264">
        <f>+VLOOKUP(A1110,'[2]X-SEMANA-AS-SC'!$G406:K794,4,FALSE)</f>
        <v>29.65</v>
      </c>
      <c r="E1110" s="264">
        <f>+VLOOKUP(A1110,'[2]X-SEMANA-AS-SC'!$G406:K794,5,FALSE)</f>
        <v>27.93</v>
      </c>
      <c r="F1110" s="257">
        <v>30</v>
      </c>
      <c r="G1110" s="257">
        <f>+(17.38+0.43*1.12)/1</f>
        <v>17.861599999999999</v>
      </c>
      <c r="H1110" s="257">
        <v>47.76</v>
      </c>
      <c r="I1110" s="257">
        <v>34.32</v>
      </c>
      <c r="J1110" s="257">
        <f>(120.37/(25/4.19))</f>
        <v>20.174012000000005</v>
      </c>
      <c r="L1110" s="190">
        <f>17.38+0.43*1.12</f>
        <v>17.861599999999999</v>
      </c>
      <c r="M1110" s="274"/>
    </row>
    <row r="1111" spans="1:13">
      <c r="A1111" s="114">
        <v>39524</v>
      </c>
      <c r="B1111" s="264">
        <f>+VLOOKUP(A1111,'[2]X-SEMANA-AS-SC'!G$341:K795,2,FALSE)</f>
        <v>31.03</v>
      </c>
      <c r="C1111" s="264">
        <f>+VLOOKUP(A1111,'[2]X-SEMANA-AS-SC'!$G407:K795,3,FALSE)</f>
        <v>30.27</v>
      </c>
      <c r="D1111" s="264">
        <f>+VLOOKUP(A1111,'[2]X-SEMANA-AS-SC'!$G407:K795,4,FALSE)</f>
        <v>29.78</v>
      </c>
      <c r="E1111" s="264">
        <f>+VLOOKUP(A1111,'[2]X-SEMANA-AS-SC'!$G407:K795,5,FALSE)</f>
        <v>28.06</v>
      </c>
      <c r="F1111" s="257">
        <v>30.2</v>
      </c>
      <c r="G1111" s="257">
        <f>+(16.97+0.43*1.12)/1</f>
        <v>17.451599999999999</v>
      </c>
      <c r="H1111" s="257">
        <v>47.57</v>
      </c>
      <c r="I1111" s="257">
        <v>34.19</v>
      </c>
      <c r="J1111" s="257">
        <f>(120.37/(25/4.19))</f>
        <v>20.174012000000005</v>
      </c>
      <c r="L1111" s="190">
        <f>16.97+0.43*1.12</f>
        <v>17.451599999999999</v>
      </c>
      <c r="M1111" s="274"/>
    </row>
    <row r="1112" spans="1:13">
      <c r="A1112" s="114">
        <v>39531</v>
      </c>
      <c r="B1112" s="264">
        <f>+VLOOKUP(A1112,'[2]X-SEMANA-AS-SC'!G$341:K796,2,FALSE)</f>
        <v>31.04</v>
      </c>
      <c r="C1112" s="264">
        <f>+VLOOKUP(A1112,'[2]X-SEMANA-AS-SC'!$G408:K796,3,FALSE)</f>
        <v>30.3</v>
      </c>
      <c r="D1112" s="264">
        <f>+VLOOKUP(A1112,'[2]X-SEMANA-AS-SC'!$G408:K796,4,FALSE)</f>
        <v>29.81</v>
      </c>
      <c r="E1112" s="264">
        <f>+VLOOKUP(A1112,'[2]X-SEMANA-AS-SC'!$G408:K796,5,FALSE)</f>
        <v>28.15</v>
      </c>
      <c r="F1112" s="257">
        <v>30.2</v>
      </c>
      <c r="G1112" s="257">
        <f>+(17.02+0.43*1.12)/1</f>
        <v>17.5016</v>
      </c>
      <c r="H1112" s="257">
        <v>47.64</v>
      </c>
      <c r="I1112" s="257">
        <v>34.24</v>
      </c>
      <c r="J1112" s="257">
        <f>(120.37/(25/4.19))</f>
        <v>20.174012000000005</v>
      </c>
      <c r="L1112" s="190">
        <f>17.02+0.43*1.12</f>
        <v>17.5016</v>
      </c>
      <c r="M1112" s="274"/>
    </row>
    <row r="1113" spans="1:13">
      <c r="A1113" s="114">
        <v>39538</v>
      </c>
      <c r="B1113" s="264">
        <f>+VLOOKUP(A1113,'[2]X-SEMANA-AS-SC'!G$341:K797,2,FALSE)</f>
        <v>31.07</v>
      </c>
      <c r="C1113" s="264">
        <f>+VLOOKUP(A1113,'[2]X-SEMANA-AS-SC'!$G409:K797,3,FALSE)</f>
        <v>30.38</v>
      </c>
      <c r="D1113" s="264">
        <f>+VLOOKUP(A1113,'[2]X-SEMANA-AS-SC'!$G409:K797,4,FALSE)</f>
        <v>29.89</v>
      </c>
      <c r="E1113" s="264">
        <f>+VLOOKUP(A1113,'[2]X-SEMANA-AS-SC'!$G409:K797,5,FALSE)</f>
        <v>29.21</v>
      </c>
      <c r="F1113" s="257">
        <v>30.2</v>
      </c>
      <c r="G1113" s="257">
        <f>+(17.08+0.43*1.12)/1</f>
        <v>17.561599999999999</v>
      </c>
      <c r="H1113" s="257">
        <v>47.5</v>
      </c>
      <c r="I1113" s="257">
        <v>34.06</v>
      </c>
      <c r="J1113" s="257">
        <f>(125.17/(25/4.19))</f>
        <v>20.978492000000003</v>
      </c>
      <c r="L1113" s="190">
        <f>17.08+0.43*1.12</f>
        <v>17.561599999999999</v>
      </c>
      <c r="M1113" s="274"/>
    </row>
    <row r="1114" spans="1:13">
      <c r="A1114" s="275" t="s">
        <v>7</v>
      </c>
      <c r="B1114" s="276">
        <f t="shared" ref="B1114:J1114" si="97">AVERAGE(B1109:B1113)</f>
        <v>30.832000000000001</v>
      </c>
      <c r="C1114" s="276">
        <f t="shared" si="97"/>
        <v>30.036000000000001</v>
      </c>
      <c r="D1114" s="276">
        <f t="shared" si="97"/>
        <v>29.546000000000003</v>
      </c>
      <c r="E1114" s="276">
        <f t="shared" si="97"/>
        <v>28.042000000000002</v>
      </c>
      <c r="F1114" s="276">
        <f t="shared" si="97"/>
        <v>30</v>
      </c>
      <c r="G1114" s="276">
        <f t="shared" si="97"/>
        <v>17.491599999999998</v>
      </c>
      <c r="H1114" s="276">
        <f t="shared" si="97"/>
        <v>47.696000000000005</v>
      </c>
      <c r="I1114" s="276">
        <f t="shared" si="97"/>
        <v>33.817999999999998</v>
      </c>
      <c r="J1114" s="276">
        <f t="shared" si="97"/>
        <v>20.334908000000006</v>
      </c>
      <c r="L1114" s="276">
        <f>AVERAGE(L1109:L1113)</f>
        <v>17.491599999999998</v>
      </c>
      <c r="M1114" s="276"/>
    </row>
    <row r="1115" spans="1:13">
      <c r="L1115" s="270" t="s">
        <v>151</v>
      </c>
      <c r="M1115" s="270" t="s">
        <v>152</v>
      </c>
    </row>
    <row r="1116" spans="1:13">
      <c r="A1116" s="1673" t="s">
        <v>1</v>
      </c>
      <c r="B1116" s="271" t="s">
        <v>139</v>
      </c>
      <c r="C1116" s="271" t="s">
        <v>140</v>
      </c>
      <c r="D1116" s="271" t="s">
        <v>5</v>
      </c>
      <c r="E1116" s="271" t="s">
        <v>6</v>
      </c>
      <c r="F1116" s="272" t="s">
        <v>57</v>
      </c>
      <c r="G1116" s="272" t="s">
        <v>58</v>
      </c>
      <c r="H1116" s="272" t="s">
        <v>149</v>
      </c>
      <c r="I1116" s="272" t="s">
        <v>145</v>
      </c>
      <c r="J1116" s="272" t="s">
        <v>61</v>
      </c>
      <c r="L1116" s="272" t="s">
        <v>58</v>
      </c>
      <c r="M1116" s="272" t="s">
        <v>58</v>
      </c>
    </row>
    <row r="1117" spans="1:13">
      <c r="A1117" s="1673"/>
      <c r="B1117" s="273" t="s">
        <v>146</v>
      </c>
      <c r="C1117" s="273" t="s">
        <v>146</v>
      </c>
      <c r="D1117" s="273" t="s">
        <v>146</v>
      </c>
      <c r="E1117" s="273" t="s">
        <v>146</v>
      </c>
      <c r="F1117" s="273" t="s">
        <v>146</v>
      </c>
      <c r="G1117" s="273" t="s">
        <v>146</v>
      </c>
      <c r="H1117" s="273" t="s">
        <v>146</v>
      </c>
      <c r="I1117" s="273" t="s">
        <v>146</v>
      </c>
      <c r="J1117" s="273" t="s">
        <v>146</v>
      </c>
      <c r="L1117" s="273" t="s">
        <v>146</v>
      </c>
      <c r="M1117" s="273" t="s">
        <v>146</v>
      </c>
    </row>
    <row r="1118" spans="1:13">
      <c r="A1118" s="114">
        <v>39545</v>
      </c>
      <c r="B1118" s="264">
        <f>+VLOOKUP(A1118,'[2]X-SEMANA-AS-SC'!G$341:K802,2,FALSE)</f>
        <v>32.340000000000003</v>
      </c>
      <c r="C1118" s="264">
        <f>+VLOOKUP(A1118,'[2]X-SEMANA-AS-SC'!$G414:K802,3,FALSE)</f>
        <v>31.5</v>
      </c>
      <c r="D1118" s="264">
        <f>+VLOOKUP(A1118,'[2]X-SEMANA-AS-SC'!$G414:K802,4,FALSE)</f>
        <v>30.78</v>
      </c>
      <c r="E1118" s="264">
        <f>+VLOOKUP(A1118,'[2]X-SEMANA-AS-SC'!$G414:K802,5,FALSE)</f>
        <v>30.34</v>
      </c>
      <c r="F1118" s="257">
        <v>31.15</v>
      </c>
      <c r="G1118" s="257">
        <f>+(16.78+0.43*1.12)/1</f>
        <v>17.261600000000001</v>
      </c>
      <c r="H1118" s="257">
        <v>47.5</v>
      </c>
      <c r="I1118" s="257">
        <v>34.06</v>
      </c>
      <c r="J1118" s="257">
        <f>(125.17/(25/4.19))</f>
        <v>20.978492000000003</v>
      </c>
      <c r="L1118" s="190">
        <f>16.78+0.43*1.12</f>
        <v>17.261600000000001</v>
      </c>
      <c r="M1118" s="190"/>
    </row>
    <row r="1119" spans="1:13">
      <c r="A1119" s="114">
        <v>39552</v>
      </c>
      <c r="B1119" s="264">
        <f>+VLOOKUP(A1119,'[2]X-SEMANA-AS-SC'!G$341:K803,2,FALSE)</f>
        <v>32.29</v>
      </c>
      <c r="C1119" s="264">
        <f>+VLOOKUP(A1119,'[2]X-SEMANA-AS-SC'!$G415:K803,3,FALSE)</f>
        <v>31.51</v>
      </c>
      <c r="D1119" s="264">
        <f>+VLOOKUP(A1119,'[2]X-SEMANA-AS-SC'!$G415:K803,4,FALSE)</f>
        <v>30.77</v>
      </c>
      <c r="E1119" s="264">
        <f>+VLOOKUP(A1119,'[2]X-SEMANA-AS-SC'!$G415:K803,5,FALSE)</f>
        <v>30.34</v>
      </c>
      <c r="F1119" s="257">
        <v>31.15</v>
      </c>
      <c r="G1119" s="257">
        <f>+(16.81+17.17+17.29721+0.86*1.12)/3</f>
        <v>17.41347</v>
      </c>
      <c r="H1119" s="257">
        <v>47.25</v>
      </c>
      <c r="I1119" s="257">
        <v>35.14</v>
      </c>
      <c r="J1119" s="257">
        <f>(125.16/(25/4.19))</f>
        <v>20.976816000000003</v>
      </c>
      <c r="L1119" s="190">
        <f>16.81+0.43*1.12</f>
        <v>17.291599999999999</v>
      </c>
      <c r="M1119" s="190">
        <f>17.29721</f>
        <v>17.29721</v>
      </c>
    </row>
    <row r="1120" spans="1:13">
      <c r="A1120" s="114">
        <v>39559</v>
      </c>
      <c r="B1120" s="264">
        <f>+VLOOKUP(A1120,'[2]X-SEMANA-AS-SC'!G$341:K804,2,FALSE)</f>
        <v>32.409999999999997</v>
      </c>
      <c r="C1120" s="264">
        <f>+VLOOKUP(A1120,'[2]X-SEMANA-AS-SC'!$G416:K804,3,FALSE)</f>
        <v>31.71</v>
      </c>
      <c r="D1120" s="264">
        <f>+VLOOKUP(A1120,'[2]X-SEMANA-AS-SC'!$G416:K804,4,FALSE)</f>
        <v>31.02</v>
      </c>
      <c r="E1120" s="264">
        <f>+VLOOKUP(A1120,'[2]X-SEMANA-AS-SC'!$G416:K804,5,FALSE)</f>
        <v>30.73</v>
      </c>
      <c r="F1120" s="257">
        <v>31.15</v>
      </c>
      <c r="G1120" s="257">
        <f>+(16.66+17.16+17.29721+0.86*1.12)/3</f>
        <v>17.360136666666666</v>
      </c>
      <c r="H1120" s="257">
        <v>46.88</v>
      </c>
      <c r="I1120" s="257">
        <v>34.869999999999997</v>
      </c>
      <c r="J1120" s="257">
        <f>(125.22/(25/4.19))</f>
        <v>20.986872000000002</v>
      </c>
      <c r="L1120" s="190">
        <f>16.66+0.43*1.12</f>
        <v>17.1416</v>
      </c>
      <c r="M1120" s="190">
        <f>17.29721</f>
        <v>17.29721</v>
      </c>
    </row>
    <row r="1121" spans="1:13">
      <c r="A1121" s="114">
        <v>39566</v>
      </c>
      <c r="B1121" s="264">
        <f>+VLOOKUP(A1121,'[2]X-SEMANA-AS-SC'!G$341:K805,2,FALSE)</f>
        <v>32.770000000000003</v>
      </c>
      <c r="C1121" s="264">
        <f>+VLOOKUP(A1121,'[2]X-SEMANA-AS-SC'!$G417:K805,3,FALSE)</f>
        <v>32.049999999999997</v>
      </c>
      <c r="D1121" s="264">
        <f>+VLOOKUP(A1121,'[2]X-SEMANA-AS-SC'!$G417:K805,4,FALSE)</f>
        <v>31.37</v>
      </c>
      <c r="E1121" s="264">
        <f>+VLOOKUP(A1121,'[2]X-SEMANA-AS-SC'!$G417:K805,5,FALSE)</f>
        <v>31.32</v>
      </c>
      <c r="F1121" s="257">
        <v>32</v>
      </c>
      <c r="G1121" s="257">
        <f>+(17.47+17.61+17.29721+0.86*1.12)/3</f>
        <v>17.780136666666667</v>
      </c>
      <c r="H1121" s="257">
        <v>46.83</v>
      </c>
      <c r="I1121" s="257">
        <v>36.14</v>
      </c>
      <c r="J1121" s="257">
        <f>(125.22/(25/4.19))</f>
        <v>20.986872000000002</v>
      </c>
      <c r="L1121" s="190">
        <f>17.47+0.43*1.12</f>
        <v>17.951599999999999</v>
      </c>
      <c r="M1121" s="190">
        <f>17.29721</f>
        <v>17.29721</v>
      </c>
    </row>
    <row r="1122" spans="1:13">
      <c r="A1122" s="275" t="s">
        <v>7</v>
      </c>
      <c r="B1122" s="276">
        <f t="shared" ref="B1122:J1122" si="98">AVERAGE(B1118:B1121)</f>
        <v>32.452500000000001</v>
      </c>
      <c r="C1122" s="276">
        <f t="shared" si="98"/>
        <v>31.692499999999999</v>
      </c>
      <c r="D1122" s="276">
        <f t="shared" si="98"/>
        <v>30.984999999999999</v>
      </c>
      <c r="E1122" s="276">
        <f t="shared" si="98"/>
        <v>30.682499999999997</v>
      </c>
      <c r="F1122" s="276">
        <f t="shared" si="98"/>
        <v>31.362499999999997</v>
      </c>
      <c r="G1122" s="276">
        <f t="shared" si="98"/>
        <v>17.453835833333333</v>
      </c>
      <c r="H1122" s="276">
        <f t="shared" si="98"/>
        <v>47.114999999999995</v>
      </c>
      <c r="I1122" s="276">
        <f t="shared" si="98"/>
        <v>35.052499999999995</v>
      </c>
      <c r="J1122" s="276">
        <f t="shared" si="98"/>
        <v>20.982263000000003</v>
      </c>
      <c r="L1122" s="276">
        <f>AVERAGE(L1118:L1121)</f>
        <v>17.4116</v>
      </c>
      <c r="M1122" s="276">
        <f>AVERAGE(M1118:M1121)</f>
        <v>17.29721</v>
      </c>
    </row>
    <row r="1123" spans="1:13">
      <c r="L1123" s="270" t="s">
        <v>151</v>
      </c>
      <c r="M1123" s="270" t="s">
        <v>152</v>
      </c>
    </row>
    <row r="1124" spans="1:13">
      <c r="A1124" s="1673" t="s">
        <v>1</v>
      </c>
      <c r="B1124" s="271" t="s">
        <v>139</v>
      </c>
      <c r="C1124" s="271" t="s">
        <v>140</v>
      </c>
      <c r="D1124" s="271" t="s">
        <v>5</v>
      </c>
      <c r="E1124" s="271" t="s">
        <v>6</v>
      </c>
      <c r="F1124" s="272" t="s">
        <v>57</v>
      </c>
      <c r="G1124" s="272" t="s">
        <v>58</v>
      </c>
      <c r="H1124" s="272" t="s">
        <v>149</v>
      </c>
      <c r="I1124" s="272" t="s">
        <v>145</v>
      </c>
      <c r="J1124" s="272" t="s">
        <v>61</v>
      </c>
      <c r="L1124" s="272" t="s">
        <v>58</v>
      </c>
      <c r="M1124" s="272" t="s">
        <v>58</v>
      </c>
    </row>
    <row r="1125" spans="1:13">
      <c r="A1125" s="1673"/>
      <c r="B1125" s="273" t="s">
        <v>146</v>
      </c>
      <c r="C1125" s="273" t="s">
        <v>146</v>
      </c>
      <c r="D1125" s="273" t="s">
        <v>146</v>
      </c>
      <c r="E1125" s="273" t="s">
        <v>146</v>
      </c>
      <c r="F1125" s="273" t="s">
        <v>146</v>
      </c>
      <c r="G1125" s="273" t="s">
        <v>146</v>
      </c>
      <c r="H1125" s="273" t="s">
        <v>146</v>
      </c>
      <c r="I1125" s="273" t="s">
        <v>146</v>
      </c>
      <c r="J1125" s="273" t="s">
        <v>146</v>
      </c>
      <c r="L1125" s="273" t="s">
        <v>146</v>
      </c>
      <c r="M1125" s="273" t="s">
        <v>146</v>
      </c>
    </row>
    <row r="1126" spans="1:13">
      <c r="A1126" s="114">
        <v>39573</v>
      </c>
      <c r="B1126" s="264">
        <f>+VLOOKUP(A1126,'[2]X-SEMANA-AS-SC'!G$341:K810,2,FALSE)</f>
        <v>32.79</v>
      </c>
      <c r="C1126" s="264">
        <f>+VLOOKUP(A1126,'[2]X-SEMANA-AS-SC'!$G422:K810,3,FALSE)</f>
        <v>32.119999999999997</v>
      </c>
      <c r="D1126" s="264">
        <f>+VLOOKUP(A1126,'[2]X-SEMANA-AS-SC'!$G422:K810,4,FALSE)</f>
        <v>31.46</v>
      </c>
      <c r="E1126" s="264">
        <f>+VLOOKUP(A1126,'[2]X-SEMANA-AS-SC'!$G422:K810,5,FALSE)</f>
        <v>31.56</v>
      </c>
      <c r="F1126" s="257">
        <v>32.25</v>
      </c>
      <c r="G1126" s="257">
        <f>+(18.83+17.29+17.29721+0.43*1.12+0.43*1.12)/3</f>
        <v>18.126803333333331</v>
      </c>
      <c r="H1126" s="257">
        <v>46.54</v>
      </c>
      <c r="I1126" s="257">
        <v>35.909999999999997</v>
      </c>
      <c r="J1126" s="257">
        <f>(129.23/(25/4.19))</f>
        <v>21.658948000000002</v>
      </c>
      <c r="L1126" s="190">
        <f>18.83+0.43*1.12</f>
        <v>19.311599999999999</v>
      </c>
      <c r="M1126" s="190">
        <f>17.29721</f>
        <v>17.29721</v>
      </c>
    </row>
    <row r="1127" spans="1:13">
      <c r="A1127" s="114">
        <v>39580</v>
      </c>
      <c r="B1127" s="264">
        <f>+VLOOKUP(A1127,'[2]X-SEMANA-AS-SC'!G$341:K811,2,FALSE)</f>
        <v>33.76</v>
      </c>
      <c r="C1127" s="264">
        <f>+VLOOKUP(A1127,'[2]X-SEMANA-AS-SC'!$G423:K811,3,FALSE)</f>
        <v>32.979999999999997</v>
      </c>
      <c r="D1127" s="264">
        <f>+VLOOKUP(A1127,'[2]X-SEMANA-AS-SC'!$G423:K811,4,FALSE)</f>
        <v>32.299999999999997</v>
      </c>
      <c r="E1127" s="264">
        <f>+VLOOKUP(A1127,'[2]X-SEMANA-AS-SC'!$G423:K811,5,FALSE)</f>
        <v>32.08</v>
      </c>
      <c r="F1127" s="257">
        <v>33.25</v>
      </c>
      <c r="G1127" s="257">
        <f>+(18.26+18.84381+17.47+0.43*1.12)/3</f>
        <v>18.351803333333333</v>
      </c>
      <c r="H1127" s="257">
        <v>46.64</v>
      </c>
      <c r="I1127" s="257">
        <v>37.36</v>
      </c>
      <c r="J1127" s="257">
        <f>(129.23/(25/4.19))</f>
        <v>21.658948000000002</v>
      </c>
      <c r="L1127" s="190">
        <f>18.26+0.43*1.12</f>
        <v>18.741600000000002</v>
      </c>
      <c r="M1127" s="190">
        <f>18.84384</f>
        <v>18.84384</v>
      </c>
    </row>
    <row r="1128" spans="1:13">
      <c r="A1128" s="114">
        <v>39587</v>
      </c>
      <c r="B1128" s="264">
        <f>+VLOOKUP(A1128,'[2]X-SEMANA-AS-SC'!G$341:K812,2,FALSE)</f>
        <v>33.76</v>
      </c>
      <c r="C1128" s="264">
        <f>+VLOOKUP(A1128,'[2]X-SEMANA-AS-SC'!$G424:K812,3,FALSE)</f>
        <v>33.049999999999997</v>
      </c>
      <c r="D1128" s="264">
        <f>+VLOOKUP(A1128,'[2]X-SEMANA-AS-SC'!$G424:K812,4,FALSE)</f>
        <v>32.36</v>
      </c>
      <c r="E1128" s="264">
        <f>+VLOOKUP(A1128,'[2]X-SEMANA-AS-SC'!$G424:K812,5,FALSE)</f>
        <v>32.54</v>
      </c>
      <c r="F1128" s="257">
        <v>34</v>
      </c>
      <c r="G1128" s="257">
        <f>+(21.73+18.76+18.84381+0.86*1.12)/3</f>
        <v>20.099003333333332</v>
      </c>
      <c r="H1128" s="257">
        <v>46.64</v>
      </c>
      <c r="I1128" s="257">
        <v>37.36</v>
      </c>
      <c r="J1128" s="257">
        <f>(129.23/(25/4.19))</f>
        <v>21.658948000000002</v>
      </c>
      <c r="L1128" s="190">
        <f>21.73+0.43*1.12</f>
        <v>22.211600000000001</v>
      </c>
      <c r="M1128" s="190">
        <f>18.84384</f>
        <v>18.84384</v>
      </c>
    </row>
    <row r="1129" spans="1:13">
      <c r="A1129" s="114">
        <v>39594</v>
      </c>
      <c r="B1129" s="264">
        <f>+VLOOKUP(A1129,'[2]X-SEMANA-AS-SC'!G$341:K813,2,FALSE)</f>
        <v>35.4</v>
      </c>
      <c r="C1129" s="264">
        <f>+VLOOKUP(A1129,'[2]X-SEMANA-AS-SC'!$G425:K813,3,FALSE)</f>
        <v>34.340000000000003</v>
      </c>
      <c r="D1129" s="264">
        <f>+VLOOKUP(A1129,'[2]X-SEMANA-AS-SC'!$G425:K813,4,FALSE)</f>
        <v>33.630000000000003</v>
      </c>
      <c r="E1129" s="264">
        <f>+VLOOKUP(A1129,'[2]X-SEMANA-AS-SC'!$G425:K813,5,FALSE)</f>
        <v>34.1</v>
      </c>
      <c r="F1129" s="257">
        <v>34</v>
      </c>
      <c r="G1129" s="257">
        <f>+(19.8+19.11+18.84381+0.86*1.12)/3</f>
        <v>19.572336666666668</v>
      </c>
      <c r="H1129" s="257">
        <v>46.6</v>
      </c>
      <c r="I1129" s="257">
        <v>37.33</v>
      </c>
      <c r="J1129" s="257">
        <f>(130.69/(25/4.19))</f>
        <v>21.903644000000003</v>
      </c>
      <c r="L1129" s="190">
        <f>19.8+0.43*1.12</f>
        <v>20.281600000000001</v>
      </c>
      <c r="M1129" s="190">
        <f>18.84381</f>
        <v>18.843810000000001</v>
      </c>
    </row>
    <row r="1130" spans="1:13">
      <c r="A1130" s="275" t="s">
        <v>7</v>
      </c>
      <c r="B1130" s="276">
        <f t="shared" ref="B1130:J1130" si="99">AVERAGE(B1126:B1129)</f>
        <v>33.927500000000002</v>
      </c>
      <c r="C1130" s="276">
        <f t="shared" si="99"/>
        <v>33.122500000000002</v>
      </c>
      <c r="D1130" s="276">
        <f t="shared" si="99"/>
        <v>32.4375</v>
      </c>
      <c r="E1130" s="276">
        <f t="shared" si="99"/>
        <v>32.57</v>
      </c>
      <c r="F1130" s="276">
        <f t="shared" si="99"/>
        <v>33.375</v>
      </c>
      <c r="G1130" s="276">
        <f t="shared" si="99"/>
        <v>19.037486666666666</v>
      </c>
      <c r="H1130" s="276">
        <f t="shared" si="99"/>
        <v>46.604999999999997</v>
      </c>
      <c r="I1130" s="276">
        <f t="shared" si="99"/>
        <v>36.989999999999995</v>
      </c>
      <c r="J1130" s="276">
        <f t="shared" si="99"/>
        <v>21.720122</v>
      </c>
      <c r="L1130" s="276">
        <f>AVERAGE(L1126:L1129)</f>
        <v>20.136600000000001</v>
      </c>
      <c r="M1130" s="276">
        <f>AVERAGE(M1126:M1129)</f>
        <v>18.457174999999999</v>
      </c>
    </row>
    <row r="1131" spans="1:13">
      <c r="L1131" s="270" t="s">
        <v>151</v>
      </c>
      <c r="M1131" s="270" t="s">
        <v>152</v>
      </c>
    </row>
    <row r="1132" spans="1:13">
      <c r="A1132" s="1673" t="s">
        <v>1</v>
      </c>
      <c r="B1132" s="271" t="s">
        <v>139</v>
      </c>
      <c r="C1132" s="271" t="s">
        <v>140</v>
      </c>
      <c r="D1132" s="271" t="s">
        <v>5</v>
      </c>
      <c r="E1132" s="271" t="s">
        <v>6</v>
      </c>
      <c r="F1132" s="272" t="s">
        <v>57</v>
      </c>
      <c r="G1132" s="272" t="s">
        <v>58</v>
      </c>
      <c r="H1132" s="272" t="s">
        <v>149</v>
      </c>
      <c r="I1132" s="272" t="s">
        <v>145</v>
      </c>
      <c r="J1132" s="272" t="s">
        <v>61</v>
      </c>
      <c r="L1132" s="272" t="s">
        <v>58</v>
      </c>
      <c r="M1132" s="272" t="s">
        <v>58</v>
      </c>
    </row>
    <row r="1133" spans="1:13">
      <c r="A1133" s="1673"/>
      <c r="B1133" s="273" t="s">
        <v>146</v>
      </c>
      <c r="C1133" s="273" t="s">
        <v>146</v>
      </c>
      <c r="D1133" s="273" t="s">
        <v>146</v>
      </c>
      <c r="E1133" s="273" t="s">
        <v>146</v>
      </c>
      <c r="F1133" s="273" t="s">
        <v>146</v>
      </c>
      <c r="G1133" s="273" t="s">
        <v>146</v>
      </c>
      <c r="H1133" s="273" t="s">
        <v>146</v>
      </c>
      <c r="I1133" s="273" t="s">
        <v>146</v>
      </c>
      <c r="J1133" s="273" t="s">
        <v>146</v>
      </c>
      <c r="L1133" s="273" t="s">
        <v>146</v>
      </c>
      <c r="M1133" s="273" t="s">
        <v>146</v>
      </c>
    </row>
    <row r="1134" spans="1:13">
      <c r="A1134" s="114">
        <v>39601</v>
      </c>
      <c r="B1134" s="264">
        <f>+VLOOKUP(A1134,'[2]X-SEMANA-AS-SC'!G$341:K818,2,FALSE)</f>
        <v>35.950000000000003</v>
      </c>
      <c r="C1134" s="264">
        <f>+VLOOKUP(A1134,'[2]X-SEMANA-AS-SC'!$G430:K818,3,FALSE)</f>
        <v>34.92</v>
      </c>
      <c r="D1134" s="264">
        <f>+VLOOKUP(A1134,'[2]X-SEMANA-AS-SC'!$G430:K818,4,FALSE)</f>
        <v>34.24</v>
      </c>
      <c r="E1134" s="264">
        <f>+VLOOKUP(A1134,'[2]X-SEMANA-AS-SC'!$G430:K818,5,FALSE)</f>
        <v>35.4</v>
      </c>
      <c r="F1134" s="257">
        <v>34</v>
      </c>
      <c r="G1134" s="257">
        <f>+(20.01+20.52+19.8+0.86*1.12)/3</f>
        <v>20.431066666666666</v>
      </c>
      <c r="H1134" s="257">
        <v>54.24</v>
      </c>
      <c r="I1134" s="257">
        <v>40.31</v>
      </c>
      <c r="J1134" s="257">
        <f>(130.69/(25/4.19))</f>
        <v>21.903644000000003</v>
      </c>
      <c r="L1134" s="190">
        <f>19.8+0.43*1.12</f>
        <v>20.281600000000001</v>
      </c>
      <c r="M1134" s="190">
        <f>20.52831</f>
        <v>20.528310000000001</v>
      </c>
    </row>
    <row r="1135" spans="1:13">
      <c r="A1135" s="114">
        <v>39608</v>
      </c>
      <c r="B1135" s="264">
        <f>+VLOOKUP(A1135,'[2]X-SEMANA-AS-SC'!G$341:K819,2,FALSE)</f>
        <v>35.97</v>
      </c>
      <c r="C1135" s="264">
        <f>+VLOOKUP(A1135,'[2]X-SEMANA-AS-SC'!$G431:K819,3,FALSE)</f>
        <v>35.17</v>
      </c>
      <c r="D1135" s="264">
        <f>+VLOOKUP(A1135,'[2]X-SEMANA-AS-SC'!$G431:K819,4,FALSE)</f>
        <v>34.46</v>
      </c>
      <c r="E1135" s="264">
        <f>+VLOOKUP(A1135,'[2]X-SEMANA-AS-SC'!$G431:K819,5,FALSE)</f>
        <v>35.880000000000003</v>
      </c>
      <c r="F1135" s="257">
        <v>35.5</v>
      </c>
      <c r="G1135" s="257">
        <f>+(19.52+20.53+19.27+0.86*1.12)/3</f>
        <v>20.094399999999997</v>
      </c>
      <c r="H1135" s="257">
        <v>53.93</v>
      </c>
      <c r="I1135" s="257">
        <v>39.9</v>
      </c>
      <c r="J1135" s="257">
        <f>(132.14/(25/4.19))</f>
        <v>22.146664000000001</v>
      </c>
      <c r="L1135" s="190">
        <f>19.27+0.43*1.12</f>
        <v>19.7516</v>
      </c>
      <c r="M1135" s="190">
        <f>20.52831</f>
        <v>20.528310000000001</v>
      </c>
    </row>
    <row r="1136" spans="1:13">
      <c r="A1136" s="114">
        <v>39615</v>
      </c>
      <c r="B1136" s="264">
        <f>+VLOOKUP(A1136,'[2]X-SEMANA-AS-SC'!G$341:K820,2,FALSE)</f>
        <v>36.840000000000003</v>
      </c>
      <c r="C1136" s="264">
        <f>+VLOOKUP(A1136,'[2]X-SEMANA-AS-SC'!$G432:K820,3,FALSE)</f>
        <v>35.97</v>
      </c>
      <c r="D1136" s="264">
        <f>+VLOOKUP(A1136,'[2]X-SEMANA-AS-SC'!$G432:K820,4,FALSE)</f>
        <v>35.270000000000003</v>
      </c>
      <c r="E1136" s="264">
        <f>+VLOOKUP(A1136,'[2]X-SEMANA-AS-SC'!$G432:K820,5,FALSE)</f>
        <v>37.14</v>
      </c>
      <c r="F1136" s="257">
        <v>38</v>
      </c>
      <c r="G1136" s="257">
        <f>+(19.46+21.67381+22.13+0.86*1.12)/3</f>
        <v>21.409003333333331</v>
      </c>
      <c r="H1136" s="257">
        <v>53.93</v>
      </c>
      <c r="I1136" s="257">
        <v>39.9</v>
      </c>
      <c r="J1136" s="257">
        <f>(132.14/(25/4.19))</f>
        <v>22.146664000000001</v>
      </c>
      <c r="L1136" s="190">
        <f>22.03+0.43*1.12</f>
        <v>22.511600000000001</v>
      </c>
      <c r="M1136" s="190">
        <f>21.67381</f>
        <v>21.67381</v>
      </c>
    </row>
    <row r="1137" spans="1:13">
      <c r="A1137" s="114">
        <v>39622</v>
      </c>
      <c r="B1137" s="264">
        <f>+VLOOKUP(A1137,'[2]X-SEMANA-AS-SC'!G$341:K821,2,FALSE)</f>
        <v>36.78</v>
      </c>
      <c r="C1137" s="264">
        <f>+VLOOKUP(A1137,'[2]X-SEMANA-AS-SC'!$G433:K821,3,FALSE)</f>
        <v>35.97</v>
      </c>
      <c r="D1137" s="264">
        <f>+VLOOKUP(A1137,'[2]X-SEMANA-AS-SC'!$G433:K821,4,FALSE)</f>
        <v>35.31</v>
      </c>
      <c r="E1137" s="264">
        <f>+VLOOKUP(A1137,'[2]X-SEMANA-AS-SC'!$G433:K821,5,FALSE)</f>
        <v>37.17</v>
      </c>
      <c r="F1137" s="257">
        <v>36.5</v>
      </c>
      <c r="G1137" s="257">
        <f>+(20.8+21.67381+22.18+0.86*1.12)/3</f>
        <v>21.872336666666666</v>
      </c>
      <c r="H1137" s="257">
        <v>54.51</v>
      </c>
      <c r="I1137" s="257">
        <v>40.32</v>
      </c>
      <c r="J1137" s="257">
        <f>(132.14/(25/4.19))</f>
        <v>22.146664000000001</v>
      </c>
      <c r="L1137" s="190">
        <f>22.18+0.43*1.12</f>
        <v>22.6616</v>
      </c>
      <c r="M1137" s="190">
        <f>21.67381</f>
        <v>21.67381</v>
      </c>
    </row>
    <row r="1138" spans="1:13">
      <c r="A1138" s="275" t="s">
        <v>7</v>
      </c>
      <c r="B1138" s="276">
        <f t="shared" ref="B1138:J1138" si="100">AVERAGE(B1134:B1137)</f>
        <v>36.385000000000005</v>
      </c>
      <c r="C1138" s="276">
        <f t="shared" si="100"/>
        <v>35.5075</v>
      </c>
      <c r="D1138" s="276">
        <f t="shared" si="100"/>
        <v>34.82</v>
      </c>
      <c r="E1138" s="276">
        <f t="shared" si="100"/>
        <v>36.397500000000001</v>
      </c>
      <c r="F1138" s="276">
        <f t="shared" si="100"/>
        <v>36</v>
      </c>
      <c r="G1138" s="276">
        <f t="shared" si="100"/>
        <v>20.951701666666665</v>
      </c>
      <c r="H1138" s="276">
        <f t="shared" si="100"/>
        <v>54.152499999999996</v>
      </c>
      <c r="I1138" s="276">
        <f t="shared" si="100"/>
        <v>40.107500000000002</v>
      </c>
      <c r="J1138" s="276">
        <f t="shared" si="100"/>
        <v>22.085909000000001</v>
      </c>
      <c r="L1138" s="276">
        <f>AVERAGE(L1134:L1137)</f>
        <v>21.301600000000001</v>
      </c>
      <c r="M1138" s="276">
        <f>AVERAGE(M1134:M1137)</f>
        <v>21.10106</v>
      </c>
    </row>
    <row r="1139" spans="1:13">
      <c r="L1139" s="270" t="s">
        <v>151</v>
      </c>
      <c r="M1139" s="270" t="s">
        <v>152</v>
      </c>
    </row>
    <row r="1140" spans="1:13">
      <c r="A1140" s="1673" t="s">
        <v>1</v>
      </c>
      <c r="B1140" s="271" t="s">
        <v>139</v>
      </c>
      <c r="C1140" s="271" t="s">
        <v>140</v>
      </c>
      <c r="D1140" s="271" t="s">
        <v>5</v>
      </c>
      <c r="E1140" s="271" t="s">
        <v>6</v>
      </c>
      <c r="F1140" s="272" t="s">
        <v>57</v>
      </c>
      <c r="G1140" s="272" t="s">
        <v>58</v>
      </c>
      <c r="H1140" s="272" t="s">
        <v>149</v>
      </c>
      <c r="I1140" s="272" t="s">
        <v>145</v>
      </c>
      <c r="J1140" s="272" t="s">
        <v>61</v>
      </c>
      <c r="L1140" s="272" t="s">
        <v>58</v>
      </c>
      <c r="M1140" s="272" t="s">
        <v>58</v>
      </c>
    </row>
    <row r="1141" spans="1:13">
      <c r="A1141" s="1673"/>
      <c r="B1141" s="273" t="s">
        <v>146</v>
      </c>
      <c r="C1141" s="273" t="s">
        <v>146</v>
      </c>
      <c r="D1141" s="273" t="s">
        <v>146</v>
      </c>
      <c r="E1141" s="273" t="s">
        <v>146</v>
      </c>
      <c r="F1141" s="273" t="s">
        <v>146</v>
      </c>
      <c r="G1141" s="273" t="s">
        <v>146</v>
      </c>
      <c r="H1141" s="273" t="s">
        <v>146</v>
      </c>
      <c r="I1141" s="273" t="s">
        <v>146</v>
      </c>
      <c r="J1141" s="273" t="s">
        <v>146</v>
      </c>
      <c r="L1141" s="273" t="s">
        <v>146</v>
      </c>
      <c r="M1141" s="273" t="s">
        <v>146</v>
      </c>
    </row>
    <row r="1142" spans="1:13">
      <c r="A1142" s="114">
        <v>39631</v>
      </c>
      <c r="B1142" s="264">
        <f>+VLOOKUP(A1142,'[2]X-SEMANA-AS-SC'!G$341:K826,2,FALSE)</f>
        <v>37.270000000000003</v>
      </c>
      <c r="C1142" s="264">
        <f>+VLOOKUP(A1142,'[2]X-SEMANA-AS-SC'!$G438:K826,3,FALSE)</f>
        <v>36.25</v>
      </c>
      <c r="D1142" s="264">
        <f>+VLOOKUP(A1142,'[2]X-SEMANA-AS-SC'!$G438:K826,4,FALSE)</f>
        <v>35.630000000000003</v>
      </c>
      <c r="E1142" s="264">
        <f>+VLOOKUP(A1142,'[2]X-SEMANA-AS-SC'!$G438:K826,5,FALSE)</f>
        <v>37.21</v>
      </c>
      <c r="F1142" s="257">
        <v>36.28</v>
      </c>
      <c r="G1142" s="257">
        <f>+(21.37+22.18+21.67381+0.86*1.12)/3</f>
        <v>22.062336666666667</v>
      </c>
      <c r="H1142" s="257">
        <v>44.1</v>
      </c>
      <c r="I1142" s="257">
        <v>35.25</v>
      </c>
      <c r="J1142" s="257">
        <f>(132.14/(25/4.19))</f>
        <v>22.146664000000001</v>
      </c>
      <c r="L1142" s="190">
        <f>22.18+0.43*1.12</f>
        <v>22.6616</v>
      </c>
      <c r="M1142" s="190">
        <f>21.67381</f>
        <v>21.67381</v>
      </c>
    </row>
    <row r="1143" spans="1:13">
      <c r="A1143" s="114">
        <v>39636</v>
      </c>
      <c r="B1143" s="264">
        <f>+VLOOKUP(A1143,'[2]X-SEMANA-AS-SC'!G$341:K827,2,FALSE)</f>
        <v>37.29</v>
      </c>
      <c r="C1143" s="264">
        <f>+VLOOKUP(A1143,'[2]X-SEMANA-AS-SC'!$G439:K827,3,FALSE)</f>
        <v>36.44</v>
      </c>
      <c r="D1143" s="264">
        <f>+VLOOKUP(A1143,'[2]X-SEMANA-AS-SC'!$G439:K827,4,FALSE)</f>
        <v>35.78</v>
      </c>
      <c r="E1143" s="264">
        <f>+VLOOKUP(A1143,'[2]X-SEMANA-AS-SC'!$G439:K827,5,FALSE)</f>
        <v>37.17</v>
      </c>
      <c r="F1143" s="257">
        <v>36.5</v>
      </c>
      <c r="G1143" s="257">
        <f>+(21.37+22.18+0.86*1.12)/2</f>
        <v>22.256599999999999</v>
      </c>
      <c r="H1143" s="257">
        <v>43.72</v>
      </c>
      <c r="I1143" s="257">
        <v>34.950000000000003</v>
      </c>
      <c r="J1143" s="257">
        <f>(133/(25/4.19))</f>
        <v>22.290800000000004</v>
      </c>
      <c r="L1143" s="190">
        <f>22.18+0.43*1.12</f>
        <v>22.6616</v>
      </c>
      <c r="M1143" s="190"/>
    </row>
    <row r="1144" spans="1:13">
      <c r="A1144" s="114">
        <v>39643</v>
      </c>
      <c r="B1144" s="264">
        <f>+VLOOKUP(A1144,'[2]X-SEMANA-AS-SC'!G$341:K828,2,FALSE)</f>
        <v>37.26</v>
      </c>
      <c r="C1144" s="264">
        <f>+VLOOKUP(A1144,'[2]X-SEMANA-AS-SC'!$G440:K828,3,FALSE)</f>
        <v>36.46</v>
      </c>
      <c r="D1144" s="264">
        <f>+VLOOKUP(A1144,'[2]X-SEMANA-AS-SC'!$G440:K828,4,FALSE)</f>
        <v>35.81</v>
      </c>
      <c r="E1144" s="264">
        <f>+VLOOKUP(A1144,'[2]X-SEMANA-AS-SC'!$G440:K828,5,FALSE)</f>
        <v>37.15</v>
      </c>
      <c r="F1144" s="257">
        <v>36.5</v>
      </c>
      <c r="G1144" s="257">
        <f>+(23.36+23.38+21.67381+0.86*1.12)/3</f>
        <v>23.12567</v>
      </c>
      <c r="H1144" s="257">
        <v>43.72</v>
      </c>
      <c r="I1144" s="257">
        <v>36.35</v>
      </c>
      <c r="J1144" s="257">
        <f>(133.67/(25/4.19))</f>
        <v>22.403092000000001</v>
      </c>
      <c r="L1144" s="190">
        <f>23.38+0.43*1.12</f>
        <v>23.861599999999999</v>
      </c>
      <c r="M1144" s="190">
        <f>21.67381</f>
        <v>21.67381</v>
      </c>
    </row>
    <row r="1145" spans="1:13">
      <c r="A1145" s="114">
        <v>39650</v>
      </c>
      <c r="B1145" s="264">
        <f>+VLOOKUP(A1145,'[2]X-SEMANA-AS-SC'!G$341:K828,2,FALSE)</f>
        <v>37.24</v>
      </c>
      <c r="C1145" s="264">
        <f>+VLOOKUP(A1145,'[2]X-SEMANA-AS-SC'!$G440:K828,3,FALSE)</f>
        <v>36.47</v>
      </c>
      <c r="D1145" s="264">
        <f>+VLOOKUP(A1145,'[2]X-SEMANA-AS-SC'!$G440:K828,4,FALSE)</f>
        <v>35.799999999999997</v>
      </c>
      <c r="E1145" s="264">
        <f>+VLOOKUP(A1145,'[2]X-SEMANA-AS-SC'!$G440:K828,5,FALSE)</f>
        <v>37.15</v>
      </c>
      <c r="F1145" s="257">
        <v>36.5</v>
      </c>
      <c r="G1145" s="257">
        <f>+(23.78+23.62+21.67381+0.86*1.12)/3</f>
        <v>23.345670000000002</v>
      </c>
      <c r="H1145" s="257">
        <v>43.91</v>
      </c>
      <c r="I1145" s="257">
        <v>36.51</v>
      </c>
      <c r="J1145" s="257">
        <f>(133.64/(25/4.19))</f>
        <v>22.398064000000002</v>
      </c>
      <c r="L1145" s="190">
        <f>23.62+0.43*1.12</f>
        <v>24.101600000000001</v>
      </c>
      <c r="M1145" s="190">
        <f>21.67381</f>
        <v>21.67381</v>
      </c>
    </row>
    <row r="1146" spans="1:13">
      <c r="A1146" s="114">
        <v>39657</v>
      </c>
      <c r="B1146" s="264">
        <f>+VLOOKUP(A1146,'[2]X-SEMANA-AS-SC'!G$341:K829,2,FALSE)</f>
        <v>37.21</v>
      </c>
      <c r="C1146" s="264">
        <f>+VLOOKUP(A1146,'[2]X-SEMANA-AS-SC'!$G441:K829,3,FALSE)</f>
        <v>36.479999999999997</v>
      </c>
      <c r="D1146" s="264">
        <f>+VLOOKUP(A1146,'[2]X-SEMANA-AS-SC'!$G441:K829,4,FALSE)</f>
        <v>35.81</v>
      </c>
      <c r="E1146" s="264">
        <f>+VLOOKUP(A1146,'[2]X-SEMANA-AS-SC'!$G441:K829,5,FALSE)</f>
        <v>37.159999999999997</v>
      </c>
      <c r="F1146" s="257">
        <v>36.5</v>
      </c>
      <c r="G1146" s="257">
        <f>+(24.05+23.4+21.67381+0.86*1.12)/3</f>
        <v>23.362336666666668</v>
      </c>
      <c r="H1146" s="257">
        <v>45.88</v>
      </c>
      <c r="I1146" s="257">
        <v>34.270000000000003</v>
      </c>
      <c r="J1146" s="257">
        <f>(133.64/(25/4.19))</f>
        <v>22.398064000000002</v>
      </c>
      <c r="L1146" s="190">
        <f>23.4+0.43*1.12</f>
        <v>23.881599999999999</v>
      </c>
      <c r="M1146" s="190">
        <f>21.67381</f>
        <v>21.67381</v>
      </c>
    </row>
    <row r="1147" spans="1:13">
      <c r="A1147" s="275" t="s">
        <v>7</v>
      </c>
      <c r="B1147" s="276">
        <f t="shared" ref="B1147:J1147" si="101">AVERAGE(B1142:B1146)</f>
        <v>37.254000000000005</v>
      </c>
      <c r="C1147" s="276">
        <f t="shared" si="101"/>
        <v>36.42</v>
      </c>
      <c r="D1147" s="276">
        <f t="shared" si="101"/>
        <v>35.765999999999998</v>
      </c>
      <c r="E1147" s="276">
        <f t="shared" si="101"/>
        <v>37.167999999999999</v>
      </c>
      <c r="F1147" s="276">
        <f t="shared" si="101"/>
        <v>36.456000000000003</v>
      </c>
      <c r="G1147" s="276">
        <f t="shared" si="101"/>
        <v>22.830522666666663</v>
      </c>
      <c r="H1147" s="276">
        <f t="shared" si="101"/>
        <v>44.265999999999998</v>
      </c>
      <c r="I1147" s="276">
        <f t="shared" si="101"/>
        <v>35.466000000000001</v>
      </c>
      <c r="J1147" s="276">
        <f t="shared" si="101"/>
        <v>22.327336800000005</v>
      </c>
      <c r="L1147" s="276">
        <f>AVERAGE(L1142:L1146)</f>
        <v>23.433600000000002</v>
      </c>
      <c r="M1147" s="276">
        <f>AVERAGE(M1142:M1146)</f>
        <v>21.67381</v>
      </c>
    </row>
    <row r="1148" spans="1:13">
      <c r="L1148" s="270" t="s">
        <v>151</v>
      </c>
      <c r="M1148" s="270" t="s">
        <v>152</v>
      </c>
    </row>
    <row r="1149" spans="1:13">
      <c r="A1149" s="1673" t="s">
        <v>1</v>
      </c>
      <c r="B1149" s="271" t="s">
        <v>139</v>
      </c>
      <c r="C1149" s="271" t="s">
        <v>140</v>
      </c>
      <c r="D1149" s="271" t="s">
        <v>5</v>
      </c>
      <c r="E1149" s="271" t="s">
        <v>6</v>
      </c>
      <c r="F1149" s="272" t="s">
        <v>57</v>
      </c>
      <c r="G1149" s="272" t="s">
        <v>58</v>
      </c>
      <c r="H1149" s="272" t="s">
        <v>149</v>
      </c>
      <c r="I1149" s="272" t="s">
        <v>145</v>
      </c>
      <c r="J1149" s="272" t="s">
        <v>61</v>
      </c>
      <c r="L1149" s="272" t="s">
        <v>58</v>
      </c>
      <c r="M1149" s="272" t="s">
        <v>58</v>
      </c>
    </row>
    <row r="1150" spans="1:13">
      <c r="A1150" s="1673"/>
      <c r="B1150" s="273" t="s">
        <v>146</v>
      </c>
      <c r="C1150" s="273" t="s">
        <v>146</v>
      </c>
      <c r="D1150" s="273" t="s">
        <v>146</v>
      </c>
      <c r="E1150" s="273" t="s">
        <v>146</v>
      </c>
      <c r="F1150" s="273" t="s">
        <v>146</v>
      </c>
      <c r="G1150" s="273" t="s">
        <v>146</v>
      </c>
      <c r="H1150" s="273" t="s">
        <v>146</v>
      </c>
      <c r="I1150" s="273" t="s">
        <v>146</v>
      </c>
      <c r="J1150" s="273" t="s">
        <v>146</v>
      </c>
      <c r="L1150" s="273" t="s">
        <v>146</v>
      </c>
      <c r="M1150" s="273" t="s">
        <v>146</v>
      </c>
    </row>
    <row r="1151" spans="1:13">
      <c r="A1151" s="114">
        <v>39664</v>
      </c>
      <c r="B1151" s="264">
        <f>+VLOOKUP(A1151,'[2]X-SEMANA-AS-SC'!G$341:K835,2,FALSE)</f>
        <v>36.700000000000003</v>
      </c>
      <c r="C1151" s="264">
        <f>+VLOOKUP(A1151,'[2]X-SEMANA-AS-SC'!$G447:K835,3,FALSE)</f>
        <v>35.950000000000003</v>
      </c>
      <c r="D1151" s="264">
        <f>+VLOOKUP(A1151,'[2]X-SEMANA-AS-SC'!$G447:K835,4,FALSE)</f>
        <v>35.26</v>
      </c>
      <c r="E1151" s="264">
        <f>+VLOOKUP(A1151,'[2]X-SEMANA-AS-SC'!$G447:K835,5,FALSE)</f>
        <v>36.54</v>
      </c>
      <c r="F1151" s="257">
        <v>36.5</v>
      </c>
      <c r="G1151" s="257">
        <f>+AVERAGE(L1151:M1151)</f>
        <v>22.712705</v>
      </c>
      <c r="H1151" s="257">
        <v>45.75</v>
      </c>
      <c r="I1151" s="257">
        <v>34.17</v>
      </c>
      <c r="J1151" s="257">
        <f>(133.51/(25/4.19))</f>
        <v>22.376276000000001</v>
      </c>
      <c r="L1151" s="190">
        <f>23.27+0.43*1.12</f>
        <v>23.7516</v>
      </c>
      <c r="M1151" s="190">
        <f>21.67381</f>
        <v>21.67381</v>
      </c>
    </row>
    <row r="1152" spans="1:13">
      <c r="A1152" s="114">
        <v>39671</v>
      </c>
      <c r="B1152" s="264">
        <f>+VLOOKUP(A1152,'[2]X-SEMANA-AS-SC'!G$341:K836,2,FALSE)</f>
        <v>36.71</v>
      </c>
      <c r="C1152" s="264">
        <f>+VLOOKUP(A1152,'[2]X-SEMANA-AS-SC'!$G448:K836,3,FALSE)</f>
        <v>35.869999999999997</v>
      </c>
      <c r="D1152" s="264">
        <f>+VLOOKUP(A1152,'[2]X-SEMANA-AS-SC'!$G448:K836,4,FALSE)</f>
        <v>35.200000000000003</v>
      </c>
      <c r="E1152" s="264">
        <f>+VLOOKUP(A1152,'[2]X-SEMANA-AS-SC'!$G448:K836,5,FALSE)</f>
        <v>35.869999999999997</v>
      </c>
      <c r="F1152" s="257">
        <v>37</v>
      </c>
      <c r="G1152" s="257">
        <f>+AVERAGE(L1152:M1152)</f>
        <v>22.722704999999998</v>
      </c>
      <c r="H1152" s="257">
        <v>45.76</v>
      </c>
      <c r="I1152" s="257">
        <v>30.88</v>
      </c>
      <c r="J1152" s="257">
        <f>(133.7/(25/4.19))</f>
        <v>22.40812</v>
      </c>
      <c r="L1152" s="190">
        <f>23.29+0.43*1.12</f>
        <v>23.771599999999999</v>
      </c>
      <c r="M1152" s="190">
        <f>21.67381</f>
        <v>21.67381</v>
      </c>
    </row>
    <row r="1153" spans="1:13">
      <c r="A1153" s="114">
        <v>39678</v>
      </c>
      <c r="B1153" s="264">
        <f>+VLOOKUP(A1153,'[2]X-SEMANA-AS-SC'!G$341:K837,2,FALSE)</f>
        <v>36.770000000000003</v>
      </c>
      <c r="C1153" s="264">
        <f>+VLOOKUP(A1153,'[2]X-SEMANA-AS-SC'!$G449:K837,3,FALSE)</f>
        <v>35.840000000000003</v>
      </c>
      <c r="D1153" s="264">
        <f>+VLOOKUP(A1153,'[2]X-SEMANA-AS-SC'!$G449:K837,4,FALSE)</f>
        <v>35.14</v>
      </c>
      <c r="E1153" s="264">
        <f>+VLOOKUP(A1153,'[2]X-SEMANA-AS-SC'!$G449:K837,5,FALSE)</f>
        <v>34.76</v>
      </c>
      <c r="F1153" s="257">
        <v>37</v>
      </c>
      <c r="G1153" s="257">
        <f>+AVERAGE(L1153:M1153)</f>
        <v>23.107704999999999</v>
      </c>
      <c r="H1153" s="257">
        <v>45.88</v>
      </c>
      <c r="I1153" s="257">
        <v>30.96</v>
      </c>
      <c r="J1153" s="257">
        <f>(133.66/(25/4.19))</f>
        <v>22.401416000000001</v>
      </c>
      <c r="L1153" s="190">
        <f>24.06+0.43*1.12</f>
        <v>24.541599999999999</v>
      </c>
      <c r="M1153" s="190">
        <f>21.67381</f>
        <v>21.67381</v>
      </c>
    </row>
    <row r="1154" spans="1:13">
      <c r="A1154" s="114">
        <v>39685</v>
      </c>
      <c r="B1154" s="264">
        <f>+VLOOKUP(A1154,'[2]X-SEMANA-AS-SC'!G$341:K837,2,FALSE)</f>
        <v>36.299999999999997</v>
      </c>
      <c r="C1154" s="264">
        <f>+VLOOKUP(A1154,'[2]X-SEMANA-AS-SC'!$G449:K837,3,FALSE)</f>
        <v>35.44</v>
      </c>
      <c r="D1154" s="264">
        <f>+VLOOKUP(A1154,'[2]X-SEMANA-AS-SC'!$G449:K837,4,FALSE)</f>
        <v>34.89</v>
      </c>
      <c r="E1154" s="264">
        <f>+VLOOKUP(A1154,'[2]X-SEMANA-AS-SC'!$G449:K837,5,FALSE)</f>
        <v>34.18</v>
      </c>
      <c r="F1154" s="257">
        <v>37</v>
      </c>
      <c r="G1154" s="257">
        <f>+AVERAGE(L1154:M1154)</f>
        <v>25.157705</v>
      </c>
      <c r="H1154" s="257">
        <v>46.03</v>
      </c>
      <c r="I1154" s="257">
        <v>31.25</v>
      </c>
      <c r="J1154" s="257">
        <f>(133.53/(25/4.19))</f>
        <v>22.379628000000004</v>
      </c>
      <c r="L1154" s="190">
        <f>22.81+0.43*1.12</f>
        <v>23.291599999999999</v>
      </c>
      <c r="M1154" s="190">
        <v>27.023810000000001</v>
      </c>
    </row>
    <row r="1155" spans="1:13">
      <c r="A1155" s="275" t="s">
        <v>7</v>
      </c>
      <c r="B1155" s="276">
        <f t="shared" ref="B1155:J1155" si="102">AVERAGE(B1151:B1154)</f>
        <v>36.620000000000005</v>
      </c>
      <c r="C1155" s="276">
        <f t="shared" si="102"/>
        <v>35.774999999999999</v>
      </c>
      <c r="D1155" s="276">
        <f t="shared" si="102"/>
        <v>35.122500000000002</v>
      </c>
      <c r="E1155" s="276">
        <f t="shared" si="102"/>
        <v>35.337499999999999</v>
      </c>
      <c r="F1155" s="276">
        <f t="shared" si="102"/>
        <v>36.875</v>
      </c>
      <c r="G1155" s="276">
        <f t="shared" si="102"/>
        <v>23.425204999999998</v>
      </c>
      <c r="H1155" s="276">
        <f t="shared" si="102"/>
        <v>45.854999999999997</v>
      </c>
      <c r="I1155" s="276">
        <f t="shared" si="102"/>
        <v>31.814999999999998</v>
      </c>
      <c r="J1155" s="276">
        <f t="shared" si="102"/>
        <v>22.391359999999999</v>
      </c>
      <c r="L1155" s="276">
        <f>AVERAGE(L1151:L1154)</f>
        <v>23.839100000000002</v>
      </c>
      <c r="M1155" s="276">
        <f>AVERAGE(M1151:M1154)</f>
        <v>23.011309999999998</v>
      </c>
    </row>
    <row r="1156" spans="1:13">
      <c r="L1156" s="270" t="s">
        <v>151</v>
      </c>
      <c r="M1156" s="270" t="s">
        <v>152</v>
      </c>
    </row>
    <row r="1157" spans="1:13">
      <c r="A1157" s="1673" t="s">
        <v>1</v>
      </c>
      <c r="B1157" s="271" t="s">
        <v>139</v>
      </c>
      <c r="C1157" s="271" t="s">
        <v>140</v>
      </c>
      <c r="D1157" s="271" t="s">
        <v>5</v>
      </c>
      <c r="E1157" s="271" t="s">
        <v>6</v>
      </c>
      <c r="F1157" s="272" t="s">
        <v>57</v>
      </c>
      <c r="G1157" s="272" t="s">
        <v>58</v>
      </c>
      <c r="H1157" s="272" t="s">
        <v>149</v>
      </c>
      <c r="I1157" s="272" t="s">
        <v>145</v>
      </c>
      <c r="J1157" s="272" t="s">
        <v>61</v>
      </c>
      <c r="L1157" s="272" t="s">
        <v>58</v>
      </c>
      <c r="M1157" s="272" t="s">
        <v>58</v>
      </c>
    </row>
    <row r="1158" spans="1:13">
      <c r="A1158" s="1673"/>
      <c r="B1158" s="273" t="s">
        <v>146</v>
      </c>
      <c r="C1158" s="273" t="s">
        <v>146</v>
      </c>
      <c r="D1158" s="273" t="s">
        <v>146</v>
      </c>
      <c r="E1158" s="273" t="s">
        <v>146</v>
      </c>
      <c r="F1158" s="273" t="s">
        <v>146</v>
      </c>
      <c r="G1158" s="273" t="s">
        <v>146</v>
      </c>
      <c r="H1158" s="273" t="s">
        <v>146</v>
      </c>
      <c r="I1158" s="273" t="s">
        <v>146</v>
      </c>
      <c r="J1158" s="273" t="s">
        <v>146</v>
      </c>
      <c r="L1158" s="273" t="s">
        <v>146</v>
      </c>
      <c r="M1158" s="273" t="s">
        <v>146</v>
      </c>
    </row>
    <row r="1159" spans="1:13">
      <c r="A1159" s="114">
        <v>39692</v>
      </c>
      <c r="B1159" s="264">
        <f>+VLOOKUP(A1159,'[2]X-SEMANA-AS-SC'!G$341:K843,2,FALSE)</f>
        <v>36.29</v>
      </c>
      <c r="C1159" s="264">
        <f>+VLOOKUP(A1159,'[2]X-SEMANA-AS-SC'!$G455:K843,3,FALSE)</f>
        <v>35.340000000000003</v>
      </c>
      <c r="D1159" s="264">
        <f>+VLOOKUP(A1159,'[2]X-SEMANA-AS-SC'!$G455:K843,4,FALSE)</f>
        <v>34.83</v>
      </c>
      <c r="E1159" s="264">
        <f>+VLOOKUP(A1159,'[2]X-SEMANA-AS-SC'!$G455:K843,5,FALSE)</f>
        <v>33.6</v>
      </c>
      <c r="F1159" s="257">
        <v>36.5</v>
      </c>
      <c r="G1159" s="257">
        <f>+AVERAGE(L1159:M1159)</f>
        <v>22.601600000000001</v>
      </c>
      <c r="H1159" s="257">
        <v>46.47</v>
      </c>
      <c r="I1159" s="257">
        <v>31.55</v>
      </c>
      <c r="J1159" s="257">
        <f>(133.65/(25/4.19))</f>
        <v>22.399740000000005</v>
      </c>
      <c r="L1159" s="190">
        <f>22.12+0.43*1.12</f>
        <v>22.601600000000001</v>
      </c>
      <c r="M1159" s="190"/>
    </row>
    <row r="1160" spans="1:13">
      <c r="A1160" s="114">
        <v>39699</v>
      </c>
      <c r="B1160" s="264">
        <f>+VLOOKUP(A1160,'[2]X-SEMANA-AS-SC'!G$341:K844,2,FALSE)</f>
        <v>36.14</v>
      </c>
      <c r="C1160" s="264">
        <f>+VLOOKUP(A1160,'[2]X-SEMANA-AS-SC'!$G456:K844,3,FALSE)</f>
        <v>35.1</v>
      </c>
      <c r="D1160" s="264">
        <f>+VLOOKUP(A1160,'[2]X-SEMANA-AS-SC'!$G456:K844,4,FALSE)</f>
        <v>34.47</v>
      </c>
      <c r="E1160" s="264">
        <f>+VLOOKUP(A1160,'[2]X-SEMANA-AS-SC'!$G456:K844,5,FALSE)</f>
        <v>33.409999999999997</v>
      </c>
      <c r="F1160" s="257">
        <v>35.35</v>
      </c>
      <c r="G1160" s="257">
        <f>+AVERAGE(L1160:M1160)</f>
        <v>22.4316</v>
      </c>
      <c r="H1160" s="257">
        <v>46.19</v>
      </c>
      <c r="I1160" s="257">
        <v>32.57</v>
      </c>
      <c r="J1160" s="257">
        <f>(133.7/(25/4.19))</f>
        <v>22.40812</v>
      </c>
      <c r="L1160" s="190">
        <f>21.95+0.43*1.12</f>
        <v>22.4316</v>
      </c>
      <c r="M1160" s="190"/>
    </row>
    <row r="1161" spans="1:13">
      <c r="A1161" s="114">
        <v>39707</v>
      </c>
      <c r="B1161" s="264">
        <f>+VLOOKUP(A1161,'[2]X-SEMANA-AS-SC'!G$341:K845,2,FALSE)</f>
        <v>35.83</v>
      </c>
      <c r="C1161" s="264">
        <f>+VLOOKUP(A1161,'[2]X-SEMANA-AS-SC'!$G457:K845,3,FALSE)</f>
        <v>34.770000000000003</v>
      </c>
      <c r="D1161" s="264">
        <f>+VLOOKUP(A1161,'[2]X-SEMANA-AS-SC'!$G457:K845,4,FALSE)</f>
        <v>34.11</v>
      </c>
      <c r="E1161" s="264">
        <f>+VLOOKUP(A1161,'[2]X-SEMANA-AS-SC'!$G457:K845,5,FALSE)</f>
        <v>33.03</v>
      </c>
      <c r="F1161" s="257">
        <v>35.35</v>
      </c>
      <c r="G1161" s="257">
        <f>+AVERAGE(L1161:M1161)</f>
        <v>21.951599999999999</v>
      </c>
      <c r="H1161" s="257">
        <v>45.89</v>
      </c>
      <c r="I1161" s="257">
        <v>32.36</v>
      </c>
      <c r="J1161" s="257">
        <f>(125.48/(25/4.19))</f>
        <v>21.030448000000003</v>
      </c>
      <c r="L1161" s="190">
        <f>21.47+0.43*1.12</f>
        <v>21.951599999999999</v>
      </c>
      <c r="M1161" s="190"/>
    </row>
    <row r="1162" spans="1:13">
      <c r="A1162" s="114">
        <v>39713</v>
      </c>
      <c r="B1162" s="264">
        <f>+VLOOKUP(A1162,'[2]X-SEMANA-AS-SC'!G$341:K844,2,FALSE)</f>
        <v>35.83</v>
      </c>
      <c r="C1162" s="264">
        <f>+VLOOKUP(A1162,'[2]X-SEMANA-AS-SC'!$G456:K844,3,FALSE)</f>
        <v>34.69</v>
      </c>
      <c r="D1162" s="264">
        <f>+VLOOKUP(A1162,'[2]X-SEMANA-AS-SC'!$G456:K844,4,FALSE)</f>
        <v>34.03</v>
      </c>
      <c r="E1162" s="264">
        <f>+VLOOKUP(A1162,'[2]X-SEMANA-AS-SC'!$G456:K844,5,FALSE)</f>
        <v>32.51</v>
      </c>
      <c r="F1162" s="257">
        <v>35.35</v>
      </c>
      <c r="G1162" s="257">
        <f>+AVERAGE(L1162:M1162)</f>
        <v>21.7516</v>
      </c>
      <c r="H1162" s="257">
        <v>45.95</v>
      </c>
      <c r="I1162" s="257">
        <v>32.39</v>
      </c>
      <c r="J1162" s="257">
        <f>(125.83/(25/4.19))</f>
        <v>21.089108000000003</v>
      </c>
      <c r="L1162" s="190">
        <f>21.27+0.43*1.12</f>
        <v>21.7516</v>
      </c>
      <c r="M1162" s="190"/>
    </row>
    <row r="1163" spans="1:13">
      <c r="A1163" s="114">
        <v>39720</v>
      </c>
      <c r="B1163" s="264">
        <f>+VLOOKUP(A1163,'[2]X-SEMANA-AS-SC'!G$341:K845,2,FALSE)</f>
        <v>35.28</v>
      </c>
      <c r="C1163" s="264">
        <f>+VLOOKUP(A1163,'[2]X-SEMANA-AS-SC'!$G457:K845,3,FALSE)</f>
        <v>34.26</v>
      </c>
      <c r="D1163" s="264">
        <f>+VLOOKUP(A1163,'[2]X-SEMANA-AS-SC'!$G457:K845,4,FALSE)</f>
        <v>33.56</v>
      </c>
      <c r="E1163" s="264">
        <f>+VLOOKUP(A1163,'[2]X-SEMANA-AS-SC'!$G457:K845,5,FALSE)</f>
        <v>31.82</v>
      </c>
      <c r="F1163" s="257">
        <v>35.35</v>
      </c>
      <c r="G1163" s="257">
        <f>+AVERAGE(L1163:M1163)</f>
        <v>20.451599999999999</v>
      </c>
      <c r="H1163" s="257">
        <v>46.43</v>
      </c>
      <c r="I1163" s="257">
        <v>30.94</v>
      </c>
      <c r="J1163" s="257">
        <f>(125.96/(25/4.19))</f>
        <v>21.110896000000004</v>
      </c>
      <c r="L1163" s="190">
        <f>19.97+0.43*1.12</f>
        <v>20.451599999999999</v>
      </c>
      <c r="M1163" s="190"/>
    </row>
    <row r="1164" spans="1:13">
      <c r="A1164" s="275" t="s">
        <v>7</v>
      </c>
      <c r="B1164" s="276">
        <f t="shared" ref="B1164:J1164" si="103">AVERAGE(B1159:B1163)</f>
        <v>35.874000000000002</v>
      </c>
      <c r="C1164" s="276">
        <f t="shared" si="103"/>
        <v>34.832000000000001</v>
      </c>
      <c r="D1164" s="276">
        <f t="shared" si="103"/>
        <v>34.200000000000003</v>
      </c>
      <c r="E1164" s="276">
        <f t="shared" si="103"/>
        <v>32.873999999999995</v>
      </c>
      <c r="F1164" s="276">
        <f t="shared" si="103"/>
        <v>35.58</v>
      </c>
      <c r="G1164" s="276">
        <f t="shared" si="103"/>
        <v>21.837600000000002</v>
      </c>
      <c r="H1164" s="276">
        <f t="shared" si="103"/>
        <v>46.186</v>
      </c>
      <c r="I1164" s="276">
        <f t="shared" si="103"/>
        <v>31.962</v>
      </c>
      <c r="J1164" s="276">
        <f t="shared" si="103"/>
        <v>21.607662400000002</v>
      </c>
      <c r="L1164" s="276">
        <f>AVERAGE(L1159:L1163)</f>
        <v>21.837600000000002</v>
      </c>
      <c r="M1164" s="276" t="e">
        <f>AVERAGE(M1159:M1163)</f>
        <v>#DIV/0!</v>
      </c>
    </row>
    <row r="1165" spans="1:13">
      <c r="L1165" s="270" t="s">
        <v>151</v>
      </c>
      <c r="M1165" s="270" t="s">
        <v>152</v>
      </c>
    </row>
    <row r="1166" spans="1:13">
      <c r="A1166" s="1673" t="s">
        <v>1</v>
      </c>
      <c r="B1166" s="271" t="s">
        <v>139</v>
      </c>
      <c r="C1166" s="271" t="s">
        <v>140</v>
      </c>
      <c r="D1166" s="271" t="s">
        <v>5</v>
      </c>
      <c r="E1166" s="271" t="s">
        <v>6</v>
      </c>
      <c r="F1166" s="272" t="s">
        <v>57</v>
      </c>
      <c r="G1166" s="272" t="s">
        <v>58</v>
      </c>
      <c r="H1166" s="272" t="s">
        <v>149</v>
      </c>
      <c r="I1166" s="272" t="s">
        <v>145</v>
      </c>
      <c r="J1166" s="272" t="s">
        <v>61</v>
      </c>
      <c r="L1166" s="272" t="s">
        <v>58</v>
      </c>
      <c r="M1166" s="272" t="s">
        <v>58</v>
      </c>
    </row>
    <row r="1167" spans="1:13">
      <c r="A1167" s="1673"/>
      <c r="B1167" s="273" t="s">
        <v>146</v>
      </c>
      <c r="C1167" s="273" t="s">
        <v>146</v>
      </c>
      <c r="D1167" s="273" t="s">
        <v>146</v>
      </c>
      <c r="E1167" s="273" t="s">
        <v>146</v>
      </c>
      <c r="F1167" s="273" t="s">
        <v>146</v>
      </c>
      <c r="G1167" s="273" t="s">
        <v>146</v>
      </c>
      <c r="H1167" s="273" t="s">
        <v>146</v>
      </c>
      <c r="I1167" s="273" t="s">
        <v>146</v>
      </c>
      <c r="J1167" s="273" t="s">
        <v>146</v>
      </c>
      <c r="L1167" s="273" t="s">
        <v>146</v>
      </c>
      <c r="M1167" s="273" t="s">
        <v>146</v>
      </c>
    </row>
    <row r="1168" spans="1:13">
      <c r="A1168" s="114">
        <v>39727</v>
      </c>
      <c r="B1168" s="264">
        <f>+VLOOKUP(A1168,'[2]X-SEMANA-AS-SC'!G$341:K852,2,FALSE)</f>
        <v>35.19</v>
      </c>
      <c r="C1168" s="264">
        <f>+VLOOKUP(A1168,'[2]X-SEMANA-AS-SC'!$G464:K852,3,FALSE)</f>
        <v>34.01</v>
      </c>
      <c r="D1168" s="264">
        <f>+VLOOKUP(A1168,'[2]X-SEMANA-AS-SC'!$G464:K852,4,FALSE)</f>
        <v>33.33</v>
      </c>
      <c r="E1168" s="264">
        <f>+VLOOKUP(A1168,'[2]X-SEMANA-AS-SC'!$G464:K852,5,FALSE)</f>
        <v>31.48</v>
      </c>
      <c r="F1168" s="257">
        <v>35.35</v>
      </c>
      <c r="G1168" s="257">
        <f>+AVERAGE(L1168:M1168)</f>
        <v>19.9316</v>
      </c>
      <c r="H1168" s="257">
        <v>46.43</v>
      </c>
      <c r="I1168" s="257">
        <v>30.94</v>
      </c>
      <c r="J1168" s="257">
        <f>(125.85/(25/4.19))</f>
        <v>21.092460000000003</v>
      </c>
      <c r="L1168" s="190">
        <f>19.45+0.43*1.12</f>
        <v>19.9316</v>
      </c>
      <c r="M1168" s="190"/>
    </row>
    <row r="1169" spans="1:13">
      <c r="A1169" s="114">
        <v>39734</v>
      </c>
      <c r="B1169" s="264">
        <f>+VLOOKUP(A1169,'[2]X-SEMANA-AS-SC'!G$341:K853,2,FALSE)</f>
        <v>33.56</v>
      </c>
      <c r="C1169" s="264">
        <f>+VLOOKUP(A1169,'[2]X-SEMANA-AS-SC'!$G465:K853,3,FALSE)</f>
        <v>32.5</v>
      </c>
      <c r="D1169" s="264">
        <f>+VLOOKUP(A1169,'[2]X-SEMANA-AS-SC'!$G465:K853,4,FALSE)</f>
        <v>31.81</v>
      </c>
      <c r="E1169" s="264">
        <f>+VLOOKUP(A1169,'[2]X-SEMANA-AS-SC'!$G465:K853,5,FALSE)</f>
        <v>30.18</v>
      </c>
      <c r="F1169" s="257">
        <v>34.950000000000003</v>
      </c>
      <c r="G1169" s="257">
        <f>+AVERAGE(L1169:M1169)</f>
        <v>19.1816</v>
      </c>
      <c r="H1169" s="257">
        <v>46.59</v>
      </c>
      <c r="I1169" s="257">
        <v>31.05</v>
      </c>
      <c r="J1169" s="257">
        <f>(125.87/(25/4.19))</f>
        <v>21.095812000000002</v>
      </c>
      <c r="L1169" s="190">
        <f>18.7+0.43*1.12</f>
        <v>19.1816</v>
      </c>
      <c r="M1169" s="190"/>
    </row>
    <row r="1170" spans="1:13">
      <c r="A1170" s="114">
        <v>39742</v>
      </c>
      <c r="B1170" s="264">
        <f>+VLOOKUP(A1170,'[2]X-SEMANA-AS-SC'!G$341:K854,2,FALSE)</f>
        <v>31.31</v>
      </c>
      <c r="C1170" s="264">
        <f>+VLOOKUP(A1170,'[2]X-SEMANA-AS-SC'!$G466:K854,3,FALSE)</f>
        <v>30.06</v>
      </c>
      <c r="D1170" s="264">
        <f>+VLOOKUP(A1170,'[2]X-SEMANA-AS-SC'!$G466:K854,4,FALSE)</f>
        <v>29.12</v>
      </c>
      <c r="E1170" s="264">
        <f>+VLOOKUP(A1170,'[2]X-SEMANA-AS-SC'!$G466:K854,5,FALSE)</f>
        <v>28.45</v>
      </c>
      <c r="F1170" s="257">
        <v>34.9</v>
      </c>
      <c r="G1170" s="257">
        <f>+AVERAGE(L1170:M1170)</f>
        <v>16.991600000000002</v>
      </c>
      <c r="H1170" s="257">
        <v>46.62</v>
      </c>
      <c r="I1170" s="257">
        <v>26.54</v>
      </c>
      <c r="J1170" s="257">
        <f>(110.87/(25/4.19))</f>
        <v>18.581812000000003</v>
      </c>
      <c r="L1170" s="190">
        <f>16.51+0.43*1.12</f>
        <v>16.991600000000002</v>
      </c>
      <c r="M1170" s="190"/>
    </row>
    <row r="1171" spans="1:13">
      <c r="A1171" s="114">
        <v>39748</v>
      </c>
      <c r="B1171" s="264">
        <f>+VLOOKUP(A1171,'[2]X-SEMANA-AS-SC'!G$341:K854,2,FALSE)</f>
        <v>29.87</v>
      </c>
      <c r="C1171" s="264">
        <f>+VLOOKUP(A1171,'[2]X-SEMANA-AS-SC'!$G466:K854,3,FALSE)</f>
        <v>28.57</v>
      </c>
      <c r="D1171" s="264">
        <f>+VLOOKUP(A1171,'[2]X-SEMANA-AS-SC'!$G466:K854,4,FALSE)</f>
        <v>27.64</v>
      </c>
      <c r="E1171" s="264">
        <f>+VLOOKUP(A1171,'[2]X-SEMANA-AS-SC'!$G466:K854,5,FALSE)</f>
        <v>27.27</v>
      </c>
      <c r="F1171" s="257">
        <v>33.9</v>
      </c>
      <c r="G1171" s="257">
        <f>+AVERAGE(L1171:M1171)</f>
        <v>16.631599999999999</v>
      </c>
      <c r="H1171" s="257">
        <v>46.5</v>
      </c>
      <c r="I1171" s="257">
        <v>26.48</v>
      </c>
      <c r="J1171" s="257">
        <f>(110.44/(25/4.19))</f>
        <v>18.509744000000001</v>
      </c>
      <c r="L1171" s="190">
        <f>16.15+0.43*1.12</f>
        <v>16.631599999999999</v>
      </c>
      <c r="M1171" s="190"/>
    </row>
    <row r="1172" spans="1:13">
      <c r="A1172" s="275" t="s">
        <v>7</v>
      </c>
      <c r="B1172" s="276">
        <f t="shared" ref="B1172:J1172" si="104">AVERAGE(B1168:B1171)</f>
        <v>32.482500000000002</v>
      </c>
      <c r="C1172" s="276">
        <f t="shared" si="104"/>
        <v>31.284999999999997</v>
      </c>
      <c r="D1172" s="276">
        <f t="shared" si="104"/>
        <v>30.475000000000001</v>
      </c>
      <c r="E1172" s="276">
        <f t="shared" si="104"/>
        <v>29.344999999999999</v>
      </c>
      <c r="F1172" s="276">
        <f t="shared" si="104"/>
        <v>34.775000000000006</v>
      </c>
      <c r="G1172" s="276">
        <f t="shared" si="104"/>
        <v>18.184100000000001</v>
      </c>
      <c r="H1172" s="276">
        <f t="shared" si="104"/>
        <v>46.535000000000004</v>
      </c>
      <c r="I1172" s="276">
        <f t="shared" si="104"/>
        <v>28.752500000000001</v>
      </c>
      <c r="J1172" s="276">
        <f t="shared" si="104"/>
        <v>19.819957000000002</v>
      </c>
      <c r="L1172" s="276">
        <f>AVERAGE(L1168:L1171)</f>
        <v>18.184100000000001</v>
      </c>
      <c r="M1172" s="276" t="e">
        <f>AVERAGE(M1168:M1171)</f>
        <v>#DIV/0!</v>
      </c>
    </row>
    <row r="1173" spans="1:13">
      <c r="L1173" s="270" t="s">
        <v>151</v>
      </c>
      <c r="M1173" s="270" t="s">
        <v>152</v>
      </c>
    </row>
    <row r="1174" spans="1:13">
      <c r="A1174" s="1673" t="s">
        <v>1</v>
      </c>
      <c r="B1174" s="271" t="s">
        <v>139</v>
      </c>
      <c r="C1174" s="271" t="s">
        <v>140</v>
      </c>
      <c r="D1174" s="271" t="s">
        <v>5</v>
      </c>
      <c r="E1174" s="271" t="s">
        <v>6</v>
      </c>
      <c r="F1174" s="272" t="s">
        <v>57</v>
      </c>
      <c r="G1174" s="272" t="s">
        <v>58</v>
      </c>
      <c r="H1174" s="272" t="s">
        <v>149</v>
      </c>
      <c r="I1174" s="272" t="s">
        <v>145</v>
      </c>
      <c r="J1174" s="272" t="s">
        <v>61</v>
      </c>
      <c r="L1174" s="272" t="s">
        <v>58</v>
      </c>
      <c r="M1174" s="272" t="s">
        <v>58</v>
      </c>
    </row>
    <row r="1175" spans="1:13">
      <c r="A1175" s="1673"/>
      <c r="B1175" s="273" t="s">
        <v>146</v>
      </c>
      <c r="C1175" s="273" t="s">
        <v>146</v>
      </c>
      <c r="D1175" s="273" t="s">
        <v>146</v>
      </c>
      <c r="E1175" s="273" t="s">
        <v>146</v>
      </c>
      <c r="F1175" s="273" t="s">
        <v>146</v>
      </c>
      <c r="G1175" s="273" t="s">
        <v>146</v>
      </c>
      <c r="H1175" s="273" t="s">
        <v>146</v>
      </c>
      <c r="I1175" s="273" t="s">
        <v>146</v>
      </c>
      <c r="J1175" s="273" t="s">
        <v>146</v>
      </c>
      <c r="L1175" s="273" t="s">
        <v>146</v>
      </c>
      <c r="M1175" s="273" t="s">
        <v>146</v>
      </c>
    </row>
    <row r="1176" spans="1:13">
      <c r="A1176" s="114">
        <v>39755</v>
      </c>
      <c r="B1176" s="264">
        <f>+VLOOKUP(A1176,'[2]X-SEMANA-AS-SC'!G$341:K860,2,FALSE)</f>
        <v>28.8</v>
      </c>
      <c r="C1176" s="264">
        <f>+VLOOKUP(A1176,'[2]X-SEMANA-AS-SC'!$G473:K860,3,FALSE)</f>
        <v>27.5</v>
      </c>
      <c r="D1176" s="264">
        <f>+VLOOKUP(A1176,'[2]X-SEMANA-AS-SC'!$G473:K860,4,FALSE)</f>
        <v>26.58</v>
      </c>
      <c r="E1176" s="264">
        <f>+VLOOKUP(A1176,'[2]X-SEMANA-AS-SC'!$G473:K860,5,FALSE)</f>
        <v>26.5</v>
      </c>
      <c r="F1176" s="257">
        <v>33.9</v>
      </c>
      <c r="G1176" s="257">
        <f>+AVERAGE(L1176:M1176)</f>
        <v>16.241599999999998</v>
      </c>
      <c r="H1176" s="257">
        <v>37.61</v>
      </c>
      <c r="I1176" s="257">
        <v>23.43</v>
      </c>
      <c r="J1176" s="257">
        <f>(110.44/(25/4.19))</f>
        <v>18.509744000000001</v>
      </c>
      <c r="L1176" s="190">
        <f>15.76+0.43*1.12</f>
        <v>16.241599999999998</v>
      </c>
      <c r="M1176" s="190"/>
    </row>
    <row r="1177" spans="1:13">
      <c r="A1177" s="114">
        <v>39762</v>
      </c>
      <c r="B1177" s="264">
        <f>+VLOOKUP(A1177,'[2]X-SEMANA-AS-SC'!G$341:K861,2,FALSE)</f>
        <v>27.91</v>
      </c>
      <c r="C1177" s="264">
        <f>+VLOOKUP(A1177,'[2]X-SEMANA-AS-SC'!$G474:K861,3,FALSE)</f>
        <v>26.73</v>
      </c>
      <c r="D1177" s="264">
        <f>+VLOOKUP(A1177,'[2]X-SEMANA-AS-SC'!$G474:K861,4,FALSE)</f>
        <v>25.79</v>
      </c>
      <c r="E1177" s="264">
        <f>+VLOOKUP(A1177,'[2]X-SEMANA-AS-SC'!$G474:K861,5,FALSE)</f>
        <v>25.73</v>
      </c>
      <c r="F1177" s="257">
        <v>29.3</v>
      </c>
      <c r="G1177" s="257">
        <f>+AVERAGE(L1177:M1177)</f>
        <v>13.5916</v>
      </c>
      <c r="H1177" s="257">
        <v>37.51</v>
      </c>
      <c r="I1177" s="257">
        <v>23.37</v>
      </c>
      <c r="J1177" s="257">
        <f>(110.44/(25/4.19))</f>
        <v>18.509744000000001</v>
      </c>
      <c r="L1177" s="190">
        <f>13.11+0.43*1.12</f>
        <v>13.5916</v>
      </c>
      <c r="M1177" s="190"/>
    </row>
    <row r="1178" spans="1:13">
      <c r="A1178" s="114">
        <v>39769</v>
      </c>
      <c r="B1178" s="264">
        <f>+VLOOKUP(A1178,'[2]X-SEMANA-AS-SC'!G$341:K862,2,FALSE)</f>
        <v>26.95</v>
      </c>
      <c r="C1178" s="264">
        <f>+VLOOKUP(A1178,'[2]X-SEMANA-AS-SC'!$G475:K862,3,FALSE)</f>
        <v>25.98</v>
      </c>
      <c r="D1178" s="264">
        <f>+VLOOKUP(A1178,'[2]X-SEMANA-AS-SC'!$G475:K862,4,FALSE)</f>
        <v>25.03</v>
      </c>
      <c r="E1178" s="264">
        <f>+VLOOKUP(A1178,'[2]X-SEMANA-AS-SC'!$G475:K862,5,FALSE)</f>
        <v>24.81</v>
      </c>
      <c r="F1178" s="257">
        <v>29.3</v>
      </c>
      <c r="G1178" s="257">
        <f>+AVERAGE(L1178:M1178)</f>
        <v>11.5816</v>
      </c>
      <c r="H1178" s="257">
        <v>38.39</v>
      </c>
      <c r="I1178" s="257">
        <v>23.26</v>
      </c>
      <c r="J1178" s="257">
        <f>(107.92/(25/4.19))</f>
        <v>18.087392000000005</v>
      </c>
      <c r="L1178" s="190">
        <f>11.1+0.43*1.12</f>
        <v>11.5816</v>
      </c>
      <c r="M1178" s="190"/>
    </row>
    <row r="1179" spans="1:13">
      <c r="A1179" s="114">
        <v>39776</v>
      </c>
      <c r="B1179" s="264">
        <f>+VLOOKUP(A1179,'[2]X-SEMANA-AS-SC'!G$341:K862,2,FALSE)</f>
        <v>26.15</v>
      </c>
      <c r="C1179" s="264">
        <f>+VLOOKUP(A1179,'[2]X-SEMANA-AS-SC'!$G475:K862,3,FALSE)</f>
        <v>24.95</v>
      </c>
      <c r="D1179" s="264">
        <f>+VLOOKUP(A1179,'[2]X-SEMANA-AS-SC'!$G475:K862,4,FALSE)</f>
        <v>24</v>
      </c>
      <c r="E1179" s="264">
        <f>+VLOOKUP(A1179,'[2]X-SEMANA-AS-SC'!$G475:K862,5,FALSE)</f>
        <v>23.82</v>
      </c>
      <c r="F1179" s="257">
        <v>28.5</v>
      </c>
      <c r="G1179" s="257">
        <f>+AVERAGE(L1179:M1179)</f>
        <v>11.5816</v>
      </c>
      <c r="H1179" s="257">
        <v>38.39</v>
      </c>
      <c r="I1179" s="257">
        <v>23.26</v>
      </c>
      <c r="J1179" s="257">
        <f>(106.45/(25/4.19))</f>
        <v>17.841020000000004</v>
      </c>
      <c r="L1179" s="190">
        <f>11.1+0.43*1.12</f>
        <v>11.5816</v>
      </c>
      <c r="M1179" s="190"/>
    </row>
    <row r="1180" spans="1:13">
      <c r="A1180" s="275" t="s">
        <v>7</v>
      </c>
      <c r="B1180" s="276">
        <f t="shared" ref="B1180:J1180" si="105">AVERAGE(B1176:B1179)</f>
        <v>27.452500000000001</v>
      </c>
      <c r="C1180" s="276">
        <f t="shared" si="105"/>
        <v>26.290000000000003</v>
      </c>
      <c r="D1180" s="276">
        <f t="shared" si="105"/>
        <v>25.35</v>
      </c>
      <c r="E1180" s="276">
        <f t="shared" si="105"/>
        <v>25.215000000000003</v>
      </c>
      <c r="F1180" s="276">
        <f t="shared" si="105"/>
        <v>30.25</v>
      </c>
      <c r="G1180" s="276">
        <f t="shared" si="105"/>
        <v>13.2491</v>
      </c>
      <c r="H1180" s="276">
        <f t="shared" si="105"/>
        <v>37.975000000000001</v>
      </c>
      <c r="I1180" s="276">
        <f t="shared" si="105"/>
        <v>23.330000000000002</v>
      </c>
      <c r="J1180" s="276">
        <f t="shared" si="105"/>
        <v>18.236975000000001</v>
      </c>
      <c r="L1180" s="276">
        <f>AVERAGE(L1176:L1179)</f>
        <v>13.2491</v>
      </c>
      <c r="M1180" s="276" t="e">
        <f>AVERAGE(M1176:M1179)</f>
        <v>#DIV/0!</v>
      </c>
    </row>
    <row r="1181" spans="1:13">
      <c r="L1181" s="270" t="s">
        <v>151</v>
      </c>
      <c r="M1181" s="270" t="s">
        <v>152</v>
      </c>
    </row>
    <row r="1182" spans="1:13">
      <c r="A1182" s="1673" t="s">
        <v>1</v>
      </c>
      <c r="B1182" s="271" t="s">
        <v>139</v>
      </c>
      <c r="C1182" s="271" t="s">
        <v>140</v>
      </c>
      <c r="D1182" s="271" t="s">
        <v>5</v>
      </c>
      <c r="E1182" s="271" t="s">
        <v>6</v>
      </c>
      <c r="F1182" s="272" t="s">
        <v>57</v>
      </c>
      <c r="G1182" s="272" t="s">
        <v>58</v>
      </c>
      <c r="H1182" s="272" t="s">
        <v>149</v>
      </c>
      <c r="I1182" s="272" t="s">
        <v>145</v>
      </c>
      <c r="J1182" s="272" t="s">
        <v>61</v>
      </c>
      <c r="L1182" s="272" t="s">
        <v>58</v>
      </c>
      <c r="M1182" s="272" t="s">
        <v>58</v>
      </c>
    </row>
    <row r="1183" spans="1:13">
      <c r="A1183" s="1673"/>
      <c r="B1183" s="273" t="s">
        <v>146</v>
      </c>
      <c r="C1183" s="273" t="s">
        <v>146</v>
      </c>
      <c r="D1183" s="273" t="s">
        <v>146</v>
      </c>
      <c r="E1183" s="273" t="s">
        <v>146</v>
      </c>
      <c r="F1183" s="273" t="s">
        <v>146</v>
      </c>
      <c r="G1183" s="273" t="s">
        <v>146</v>
      </c>
      <c r="H1183" s="273" t="s">
        <v>146</v>
      </c>
      <c r="I1183" s="273" t="s">
        <v>146</v>
      </c>
      <c r="J1183" s="273" t="s">
        <v>146</v>
      </c>
      <c r="L1183" s="273" t="s">
        <v>146</v>
      </c>
      <c r="M1183" s="273" t="s">
        <v>146</v>
      </c>
    </row>
    <row r="1184" spans="1:13">
      <c r="A1184" s="114">
        <v>39783</v>
      </c>
      <c r="B1184" s="264">
        <f>+VLOOKUP(A1184,'[2]X-SEMANA-AS-SC'!G$341:K868,2,FALSE)</f>
        <v>25.11</v>
      </c>
      <c r="C1184" s="264">
        <f>+VLOOKUP(A1184,'[2]X-SEMANA-AS-SC'!$G481:K868,3,FALSE)</f>
        <v>23.83</v>
      </c>
      <c r="D1184" s="264">
        <f>+VLOOKUP(A1184,'[2]X-SEMANA-AS-SC'!$G481:K868,4,FALSE)</f>
        <v>23.11</v>
      </c>
      <c r="E1184" s="264">
        <f>+VLOOKUP(A1184,'[2]X-SEMANA-AS-SC'!$G481:K868,5,FALSE)</f>
        <v>22.9</v>
      </c>
      <c r="F1184" s="257">
        <v>28.5</v>
      </c>
      <c r="G1184" s="257">
        <v>10</v>
      </c>
      <c r="H1184" s="257">
        <v>38.1</v>
      </c>
      <c r="I1184" s="257">
        <v>23.09</v>
      </c>
      <c r="J1184" s="257">
        <f>(106.33/(25/4.19))</f>
        <v>17.820908000000003</v>
      </c>
      <c r="L1184" s="190">
        <f>0.43*1.12</f>
        <v>0.48160000000000003</v>
      </c>
      <c r="M1184" s="190"/>
    </row>
    <row r="1185" spans="1:13">
      <c r="A1185" s="114">
        <v>39790</v>
      </c>
      <c r="B1185" s="264">
        <f>+VLOOKUP(A1185,'[2]X-SEMANA-AS-SC'!G$341:K869,2,FALSE)</f>
        <v>24.07</v>
      </c>
      <c r="C1185" s="264">
        <f>+VLOOKUP(A1185,'[2]X-SEMANA-AS-SC'!$G482:K869,3,FALSE)</f>
        <v>22.92</v>
      </c>
      <c r="D1185" s="264">
        <f>+VLOOKUP(A1185,'[2]X-SEMANA-AS-SC'!$G482:K869,4,FALSE)</f>
        <v>22.22</v>
      </c>
      <c r="E1185" s="264">
        <f>+VLOOKUP(A1185,'[2]X-SEMANA-AS-SC'!$G482:K869,5,FALSE)</f>
        <v>21.82</v>
      </c>
      <c r="F1185" s="257">
        <v>26.5</v>
      </c>
      <c r="G1185" s="257">
        <v>9.4499999999999993</v>
      </c>
      <c r="H1185" s="257">
        <v>38.33</v>
      </c>
      <c r="I1185" s="257">
        <v>21.7</v>
      </c>
      <c r="J1185" s="257">
        <f>(106.33/(25/4.19))</f>
        <v>17.820908000000003</v>
      </c>
      <c r="L1185" s="190">
        <f>0.43*1.12</f>
        <v>0.48160000000000003</v>
      </c>
      <c r="M1185" s="190"/>
    </row>
    <row r="1186" spans="1:13">
      <c r="A1186" s="114">
        <v>39797</v>
      </c>
      <c r="B1186" s="264">
        <f>+VLOOKUP(A1186,'[2]X-SEMANA-AS-SC'!G$341:K870,2,FALSE)</f>
        <v>23.75</v>
      </c>
      <c r="C1186" s="264">
        <f>+VLOOKUP(A1186,'[2]X-SEMANA-AS-SC'!$G483:K870,3,FALSE)</f>
        <v>22.47</v>
      </c>
      <c r="D1186" s="264">
        <f>+VLOOKUP(A1186,'[2]X-SEMANA-AS-SC'!$G483:K870,4,FALSE)</f>
        <v>21.74</v>
      </c>
      <c r="E1186" s="264">
        <f>+VLOOKUP(A1186,'[2]X-SEMANA-AS-SC'!$G483:K870,5,FALSE)</f>
        <v>21.13</v>
      </c>
      <c r="F1186" s="257">
        <v>26.5</v>
      </c>
      <c r="G1186" s="257">
        <v>9.36</v>
      </c>
      <c r="H1186" s="257">
        <v>38.33</v>
      </c>
      <c r="I1186" s="257">
        <v>21.68</v>
      </c>
      <c r="J1186" s="257">
        <f>(101.18/(25/4.19))</f>
        <v>16.957768000000005</v>
      </c>
      <c r="L1186" s="190">
        <f>0.43*1.12</f>
        <v>0.48160000000000003</v>
      </c>
      <c r="M1186" s="190"/>
    </row>
    <row r="1187" spans="1:13">
      <c r="A1187" s="114">
        <v>39804</v>
      </c>
      <c r="B1187" s="264">
        <f>+VLOOKUP(A1187,'[2]X-SEMANA-AS-SC'!G$341:K869,2,FALSE)</f>
        <v>23.25</v>
      </c>
      <c r="C1187" s="264">
        <f>+VLOOKUP(A1187,'[2]X-SEMANA-AS-SC'!$G482:K869,3,FALSE)</f>
        <v>22.03</v>
      </c>
      <c r="D1187" s="264">
        <f>+VLOOKUP(A1187,'[2]X-SEMANA-AS-SC'!$G482:K869,4,FALSE)</f>
        <v>21.35</v>
      </c>
      <c r="E1187" s="264">
        <f>+VLOOKUP(A1187,'[2]X-SEMANA-AS-SC'!$G482:K869,5,FALSE)</f>
        <v>20.37</v>
      </c>
      <c r="F1187" s="257">
        <v>25.95</v>
      </c>
      <c r="G1187" s="257">
        <v>9.15</v>
      </c>
      <c r="H1187" s="257">
        <v>30.32</v>
      </c>
      <c r="I1187" s="257">
        <v>19.25</v>
      </c>
      <c r="J1187" s="257">
        <f>(99.93/(25/4.19))</f>
        <v>16.748268000000003</v>
      </c>
      <c r="L1187" s="190">
        <f>0.43*1.12</f>
        <v>0.48160000000000003</v>
      </c>
      <c r="M1187" s="190"/>
    </row>
    <row r="1188" spans="1:13">
      <c r="A1188" s="114">
        <v>39811</v>
      </c>
      <c r="B1188" s="264">
        <f>+VLOOKUP(A1188,'[2]X-SEMANA-AS-SC'!G$341:K870,2,FALSE)</f>
        <v>22.82</v>
      </c>
      <c r="C1188" s="264">
        <f>+VLOOKUP(A1188,'[2]X-SEMANA-AS-SC'!$G483:K870,3,FALSE)</f>
        <v>21.48</v>
      </c>
      <c r="D1188" s="264">
        <f>+VLOOKUP(A1188,'[2]X-SEMANA-AS-SC'!$G483:K870,4,FALSE)</f>
        <v>20.62</v>
      </c>
      <c r="E1188" s="264">
        <f>+VLOOKUP(A1188,'[2]X-SEMANA-AS-SC'!$G483:K870,5,FALSE)</f>
        <v>19.84</v>
      </c>
      <c r="F1188" s="257">
        <v>25.95</v>
      </c>
      <c r="G1188" s="257">
        <v>8.81</v>
      </c>
      <c r="H1188" s="257">
        <v>30.6</v>
      </c>
      <c r="I1188" s="257">
        <v>19.420000000000002</v>
      </c>
      <c r="J1188" s="257">
        <f>(99.82/(25/4.19))</f>
        <v>16.729832000000002</v>
      </c>
      <c r="L1188" s="190">
        <f>19.97+0.43*1.12</f>
        <v>20.451599999999999</v>
      </c>
      <c r="M1188" s="190"/>
    </row>
    <row r="1189" spans="1:13">
      <c r="A1189" s="275" t="s">
        <v>7</v>
      </c>
      <c r="B1189" s="276">
        <f t="shared" ref="B1189:J1189" si="106">AVERAGE(B1184:B1188)</f>
        <v>23.8</v>
      </c>
      <c r="C1189" s="276">
        <f t="shared" si="106"/>
        <v>22.545999999999999</v>
      </c>
      <c r="D1189" s="276">
        <f t="shared" si="106"/>
        <v>21.808</v>
      </c>
      <c r="E1189" s="276">
        <f t="shared" si="106"/>
        <v>21.212</v>
      </c>
      <c r="F1189" s="276">
        <f t="shared" si="106"/>
        <v>26.68</v>
      </c>
      <c r="G1189" s="276">
        <f t="shared" si="106"/>
        <v>9.354000000000001</v>
      </c>
      <c r="H1189" s="276">
        <f t="shared" si="106"/>
        <v>35.136000000000003</v>
      </c>
      <c r="I1189" s="276">
        <f t="shared" si="106"/>
        <v>21.027999999999999</v>
      </c>
      <c r="J1189" s="276">
        <f t="shared" si="106"/>
        <v>17.215536800000002</v>
      </c>
      <c r="L1189" s="276">
        <f>AVERAGE(L1184:L1188)</f>
        <v>4.4756</v>
      </c>
      <c r="M1189" s="276" t="e">
        <f>AVERAGE(M1184:M1188)</f>
        <v>#DIV/0!</v>
      </c>
    </row>
    <row r="1191" spans="1:13">
      <c r="A1191" s="1674" t="s">
        <v>1</v>
      </c>
      <c r="B1191" s="279" t="s">
        <v>139</v>
      </c>
      <c r="C1191" s="279" t="s">
        <v>140</v>
      </c>
      <c r="D1191" s="279" t="s">
        <v>5</v>
      </c>
      <c r="E1191" s="279" t="s">
        <v>6</v>
      </c>
      <c r="F1191" s="280" t="s">
        <v>57</v>
      </c>
      <c r="G1191" s="281" t="s">
        <v>154</v>
      </c>
      <c r="H1191" s="280" t="s">
        <v>149</v>
      </c>
      <c r="I1191" s="280" t="s">
        <v>145</v>
      </c>
      <c r="J1191" s="280" t="s">
        <v>61</v>
      </c>
      <c r="L1191" s="272" t="s">
        <v>58</v>
      </c>
      <c r="M1191" s="272" t="s">
        <v>58</v>
      </c>
    </row>
    <row r="1192" spans="1:13">
      <c r="A1192" s="1674"/>
      <c r="B1192" s="281" t="s">
        <v>146</v>
      </c>
      <c r="C1192" s="281" t="s">
        <v>146</v>
      </c>
      <c r="D1192" s="281" t="s">
        <v>146</v>
      </c>
      <c r="E1192" s="281" t="s">
        <v>146</v>
      </c>
      <c r="F1192" s="281" t="s">
        <v>146</v>
      </c>
      <c r="G1192" s="281" t="s">
        <v>146</v>
      </c>
      <c r="H1192" s="281" t="s">
        <v>146</v>
      </c>
      <c r="I1192" s="281" t="s">
        <v>146</v>
      </c>
      <c r="J1192" s="281" t="s">
        <v>146</v>
      </c>
      <c r="L1192" s="273" t="s">
        <v>146</v>
      </c>
      <c r="M1192" s="273" t="s">
        <v>146</v>
      </c>
    </row>
    <row r="1193" spans="1:13">
      <c r="A1193" s="114">
        <v>39818</v>
      </c>
      <c r="B1193" s="264">
        <f>+VLOOKUP(A1193,'[2]X-SEMANA-AS-SC'!G$341:K877,2,FALSE)</f>
        <v>22.79</v>
      </c>
      <c r="C1193" s="264">
        <f>+VLOOKUP(A1193,'[2]X-SEMANA-AS-SC'!$G490:K877,3,FALSE)</f>
        <v>21.52</v>
      </c>
      <c r="D1193" s="264">
        <f>+VLOOKUP(A1193,'[2]X-SEMANA-AS-SC'!$G490:K877,4,FALSE)</f>
        <v>20.64</v>
      </c>
      <c r="E1193" s="264">
        <f>+VLOOKUP(A1193,'[2]X-SEMANA-AS-SC'!$G490:K877,5,FALSE)</f>
        <v>19.760000000000002</v>
      </c>
      <c r="F1193" s="257">
        <v>25.95</v>
      </c>
      <c r="G1193" s="257">
        <v>8.6</v>
      </c>
      <c r="H1193" s="257">
        <v>30.64</v>
      </c>
      <c r="I1193" s="257">
        <v>19.079999999999998</v>
      </c>
      <c r="J1193" s="257">
        <f>(99.55/(25/4.19))</f>
        <v>16.68458</v>
      </c>
      <c r="L1193" s="190">
        <f>0.43*1.12</f>
        <v>0.48160000000000003</v>
      </c>
      <c r="M1193" s="190"/>
    </row>
    <row r="1194" spans="1:13">
      <c r="A1194" s="114">
        <v>39825</v>
      </c>
      <c r="B1194" s="264">
        <f>+VLOOKUP(A1194,'[2]X-SEMANA-AS-SC'!G$341:K878,2,FALSE)</f>
        <v>22.92</v>
      </c>
      <c r="C1194" s="264">
        <f>+VLOOKUP(A1194,'[2]X-SEMANA-AS-SC'!$G491:K878,3,FALSE)</f>
        <v>21.65</v>
      </c>
      <c r="D1194" s="264">
        <f>+VLOOKUP(A1194,'[2]X-SEMANA-AS-SC'!$G491:K878,4,FALSE)</f>
        <v>20.74</v>
      </c>
      <c r="E1194" s="264">
        <f>+VLOOKUP(A1194,'[2]X-SEMANA-AS-SC'!$G491:K878,5,FALSE)</f>
        <v>19.670000000000002</v>
      </c>
      <c r="F1194" s="257">
        <v>20.95</v>
      </c>
      <c r="G1194" s="257">
        <v>8.66</v>
      </c>
      <c r="H1194" s="257">
        <v>30.97</v>
      </c>
      <c r="I1194" s="257">
        <v>19.28</v>
      </c>
      <c r="J1194" s="257">
        <f>(99.76/(25/4.19))</f>
        <v>16.719776000000003</v>
      </c>
      <c r="L1194" s="190">
        <f>0.43*1.12</f>
        <v>0.48160000000000003</v>
      </c>
      <c r="M1194" s="190"/>
    </row>
    <row r="1195" spans="1:13">
      <c r="A1195" s="114">
        <v>39832</v>
      </c>
      <c r="B1195" s="264">
        <f>+VLOOKUP(A1195,'[2]X-SEMANA-AS-SC'!G$341:K879,2,FALSE)</f>
        <v>22.91</v>
      </c>
      <c r="C1195" s="264">
        <f>+VLOOKUP(A1195,'[2]X-SEMANA-AS-SC'!$G492:K879,3,FALSE)</f>
        <v>21.67</v>
      </c>
      <c r="D1195" s="264">
        <f>+VLOOKUP(A1195,'[2]X-SEMANA-AS-SC'!$G492:K879,4,FALSE)</f>
        <v>20.77</v>
      </c>
      <c r="E1195" s="264">
        <f>+VLOOKUP(A1195,'[2]X-SEMANA-AS-SC'!$G492:K879,5,FALSE)</f>
        <v>19.600000000000001</v>
      </c>
      <c r="F1195" s="257">
        <v>20.95</v>
      </c>
      <c r="G1195" s="257">
        <v>9.44</v>
      </c>
      <c r="H1195" s="257">
        <v>30.55</v>
      </c>
      <c r="I1195" s="257">
        <v>20.56</v>
      </c>
      <c r="J1195" s="257">
        <f>(99.66/(25/4.19))</f>
        <v>16.703016000000002</v>
      </c>
      <c r="L1195" s="190">
        <f>0.43*1.12</f>
        <v>0.48160000000000003</v>
      </c>
      <c r="M1195" s="190"/>
    </row>
    <row r="1196" spans="1:13">
      <c r="A1196" s="114">
        <v>39839</v>
      </c>
      <c r="B1196" s="264">
        <f>+VLOOKUP(A1196,'[2]X-SEMANA-AS-SC'!G$341:K878,2,FALSE)</f>
        <v>22.83</v>
      </c>
      <c r="C1196" s="264">
        <f>+VLOOKUP(A1196,'[2]X-SEMANA-AS-SC'!$G491:K878,3,FALSE)</f>
        <v>21.46</v>
      </c>
      <c r="D1196" s="264">
        <f>+VLOOKUP(A1196,'[2]X-SEMANA-AS-SC'!$G491:K878,4,FALSE)</f>
        <v>20.55</v>
      </c>
      <c r="E1196" s="264">
        <f>+VLOOKUP(A1196,'[2]X-SEMANA-AS-SC'!$G491:K878,5,FALSE)</f>
        <v>19.010000000000002</v>
      </c>
      <c r="F1196" s="257">
        <v>20.95</v>
      </c>
      <c r="G1196" s="257">
        <v>9.44</v>
      </c>
      <c r="H1196" s="257">
        <v>31</v>
      </c>
      <c r="I1196" s="257">
        <v>20.86</v>
      </c>
      <c r="J1196" s="257">
        <f>(92.88/(25/4.19))</f>
        <v>15.566688000000001</v>
      </c>
      <c r="L1196" s="190">
        <f>0.43*1.12</f>
        <v>0.48160000000000003</v>
      </c>
      <c r="M1196" s="190"/>
    </row>
    <row r="1197" spans="1:13">
      <c r="A1197" s="282" t="s">
        <v>95</v>
      </c>
      <c r="B1197" s="283">
        <f t="shared" ref="B1197:J1197" si="107">AVERAGE(B1193:B1196)</f>
        <v>22.862500000000001</v>
      </c>
      <c r="C1197" s="283">
        <f t="shared" si="107"/>
        <v>21.575000000000003</v>
      </c>
      <c r="D1197" s="283">
        <f t="shared" si="107"/>
        <v>20.674999999999997</v>
      </c>
      <c r="E1197" s="283">
        <f t="shared" si="107"/>
        <v>19.510000000000002</v>
      </c>
      <c r="F1197" s="283">
        <f t="shared" si="107"/>
        <v>22.2</v>
      </c>
      <c r="G1197" s="283">
        <f t="shared" si="107"/>
        <v>9.0349999999999984</v>
      </c>
      <c r="H1197" s="283">
        <f t="shared" si="107"/>
        <v>30.79</v>
      </c>
      <c r="I1197" s="283">
        <f t="shared" si="107"/>
        <v>19.945</v>
      </c>
      <c r="J1197" s="283">
        <f t="shared" si="107"/>
        <v>16.418515000000003</v>
      </c>
      <c r="L1197" s="276">
        <f>AVERAGE(L1193:L1196)</f>
        <v>0.48160000000000003</v>
      </c>
      <c r="M1197" s="276" t="e">
        <f>AVERAGE(M1193:M1196)</f>
        <v>#DIV/0!</v>
      </c>
    </row>
    <row r="1199" spans="1:13">
      <c r="A1199" s="1674" t="s">
        <v>1</v>
      </c>
      <c r="B1199" s="279" t="s">
        <v>139</v>
      </c>
      <c r="C1199" s="279" t="s">
        <v>140</v>
      </c>
      <c r="D1199" s="279" t="s">
        <v>5</v>
      </c>
      <c r="E1199" s="279" t="s">
        <v>6</v>
      </c>
      <c r="F1199" s="280" t="s">
        <v>57</v>
      </c>
      <c r="G1199" s="281" t="s">
        <v>154</v>
      </c>
      <c r="H1199" s="280" t="s">
        <v>149</v>
      </c>
      <c r="I1199" s="280" t="s">
        <v>145</v>
      </c>
      <c r="J1199" s="280" t="s">
        <v>61</v>
      </c>
      <c r="L1199" s="272" t="s">
        <v>58</v>
      </c>
      <c r="M1199" s="272" t="s">
        <v>58</v>
      </c>
    </row>
    <row r="1200" spans="1:13">
      <c r="A1200" s="1674"/>
      <c r="B1200" s="281" t="s">
        <v>146</v>
      </c>
      <c r="C1200" s="281" t="s">
        <v>146</v>
      </c>
      <c r="D1200" s="281" t="s">
        <v>146</v>
      </c>
      <c r="E1200" s="281" t="s">
        <v>146</v>
      </c>
      <c r="F1200" s="281" t="s">
        <v>146</v>
      </c>
      <c r="G1200" s="281" t="s">
        <v>146</v>
      </c>
      <c r="H1200" s="281" t="s">
        <v>146</v>
      </c>
      <c r="I1200" s="281" t="s">
        <v>146</v>
      </c>
      <c r="J1200" s="281" t="s">
        <v>146</v>
      </c>
      <c r="L1200" s="273" t="s">
        <v>146</v>
      </c>
      <c r="M1200" s="273" t="s">
        <v>146</v>
      </c>
    </row>
    <row r="1201" spans="1:13">
      <c r="A1201" s="114">
        <v>39846</v>
      </c>
      <c r="B1201" s="264">
        <f>+VLOOKUP(A1201,'[2]X-SEMANA-AS-SC'!G$341:K885,2,FALSE)</f>
        <v>22.77</v>
      </c>
      <c r="C1201" s="264">
        <f>+VLOOKUP(A1201,'[2]X-SEMANA-AS-SC'!$G498:K885,3,FALSE)</f>
        <v>21.38</v>
      </c>
      <c r="D1201" s="264">
        <f>+VLOOKUP(A1201,'[2]X-SEMANA-AS-SC'!$G498:K885,4,FALSE)</f>
        <v>20.49</v>
      </c>
      <c r="E1201" s="264">
        <f>+VLOOKUP(A1201,'[2]X-SEMANA-AS-SC'!$G498:K885,5,FALSE)</f>
        <v>18.48</v>
      </c>
      <c r="F1201" s="257">
        <v>21.95</v>
      </c>
      <c r="G1201" s="257">
        <v>9.61</v>
      </c>
      <c r="H1201" s="257">
        <v>31.03</v>
      </c>
      <c r="I1201" s="257">
        <v>19.86</v>
      </c>
      <c r="J1201" s="257">
        <f>(91.97/(25/4.19))</f>
        <v>15.414172000000002</v>
      </c>
      <c r="L1201" s="190">
        <f>0.43*1.12</f>
        <v>0.48160000000000003</v>
      </c>
      <c r="M1201" s="190"/>
    </row>
    <row r="1202" spans="1:13">
      <c r="A1202" s="114">
        <v>39853</v>
      </c>
      <c r="B1202" s="264">
        <f>+VLOOKUP(A1202,'[2]X-SEMANA-AS-SC'!G$341:K886,2,FALSE)</f>
        <v>22.73</v>
      </c>
      <c r="C1202" s="264">
        <f>+VLOOKUP(A1202,'[2]X-SEMANA-AS-SC'!$G499:K886,3,FALSE)</f>
        <v>21.35</v>
      </c>
      <c r="D1202" s="264">
        <f>+VLOOKUP(A1202,'[2]X-SEMANA-AS-SC'!$G499:K886,4,FALSE)</f>
        <v>20.47</v>
      </c>
      <c r="E1202" s="264">
        <f>+VLOOKUP(A1202,'[2]X-SEMANA-AS-SC'!$G499:K886,5,FALSE)</f>
        <v>18.38</v>
      </c>
      <c r="F1202" s="257">
        <v>21.95</v>
      </c>
      <c r="G1202" s="257">
        <v>9.91</v>
      </c>
      <c r="H1202" s="257">
        <v>31.1</v>
      </c>
      <c r="I1202" s="257">
        <v>19.22</v>
      </c>
      <c r="J1202" s="257">
        <f>(90.44/(25/4.19))</f>
        <v>15.157744000000003</v>
      </c>
      <c r="L1202" s="190">
        <f>0.43*1.12</f>
        <v>0.48160000000000003</v>
      </c>
      <c r="M1202" s="190"/>
    </row>
    <row r="1203" spans="1:13">
      <c r="A1203" s="114">
        <v>39860</v>
      </c>
      <c r="B1203" s="264">
        <f>+VLOOKUP(A1203,'[2]X-SEMANA-AS-SC'!G$341:K887,2,FALSE)</f>
        <v>22.68</v>
      </c>
      <c r="C1203" s="264">
        <f>+VLOOKUP(A1203,'[2]X-SEMANA-AS-SC'!$G500:K887,3,FALSE)</f>
        <v>21.33</v>
      </c>
      <c r="D1203" s="264">
        <f>+VLOOKUP(A1203,'[2]X-SEMANA-AS-SC'!$G500:K887,4,FALSE)</f>
        <v>20.440000000000001</v>
      </c>
      <c r="E1203" s="264">
        <f>+VLOOKUP(A1203,'[2]X-SEMANA-AS-SC'!$G500:K887,5,FALSE)</f>
        <v>18.329999999999998</v>
      </c>
      <c r="F1203" s="257">
        <v>21.95</v>
      </c>
      <c r="G1203" s="257">
        <v>10.94</v>
      </c>
      <c r="H1203" s="257">
        <v>31.33</v>
      </c>
      <c r="I1203" s="257">
        <v>19.37</v>
      </c>
      <c r="J1203" s="257">
        <f>(90.44/(25/4.19))</f>
        <v>15.157744000000003</v>
      </c>
      <c r="L1203" s="190">
        <f>0.43*1.12</f>
        <v>0.48160000000000003</v>
      </c>
      <c r="M1203" s="190"/>
    </row>
    <row r="1204" spans="1:13">
      <c r="A1204" s="114">
        <v>39867</v>
      </c>
      <c r="B1204" s="264">
        <f>+VLOOKUP(A1204,'[2]X-SEMANA-AS-SC'!G$341:K886,2,FALSE)</f>
        <v>22.66</v>
      </c>
      <c r="C1204" s="264">
        <f>+VLOOKUP(A1204,'[2]X-SEMANA-AS-SC'!$G499:K886,3,FALSE)</f>
        <v>21.35</v>
      </c>
      <c r="D1204" s="264">
        <f>+VLOOKUP(A1204,'[2]X-SEMANA-AS-SC'!$G499:K886,4,FALSE)</f>
        <v>20.45</v>
      </c>
      <c r="E1204" s="264">
        <f>+VLOOKUP(A1204,'[2]X-SEMANA-AS-SC'!$G499:K886,5,FALSE)</f>
        <v>18.21</v>
      </c>
      <c r="F1204" s="257">
        <v>21.95</v>
      </c>
      <c r="G1204" s="257">
        <v>10.94</v>
      </c>
      <c r="H1204" s="257">
        <v>31.53</v>
      </c>
      <c r="I1204" s="257">
        <v>19.48</v>
      </c>
      <c r="J1204" s="257">
        <f>(90.61/(25/4.19))</f>
        <v>15.186236000000003</v>
      </c>
      <c r="L1204" s="190">
        <f>0.43*1.12</f>
        <v>0.48160000000000003</v>
      </c>
      <c r="M1204" s="190"/>
    </row>
    <row r="1205" spans="1:13">
      <c r="A1205" s="282" t="s">
        <v>96</v>
      </c>
      <c r="B1205" s="283">
        <f t="shared" ref="B1205:J1205" si="108">AVERAGE(B1201:B1204)</f>
        <v>22.71</v>
      </c>
      <c r="C1205" s="283">
        <f t="shared" si="108"/>
        <v>21.352499999999999</v>
      </c>
      <c r="D1205" s="283">
        <f t="shared" si="108"/>
        <v>20.462499999999999</v>
      </c>
      <c r="E1205" s="283">
        <f t="shared" si="108"/>
        <v>18.350000000000001</v>
      </c>
      <c r="F1205" s="283">
        <f t="shared" si="108"/>
        <v>21.95</v>
      </c>
      <c r="G1205" s="283">
        <f t="shared" si="108"/>
        <v>10.35</v>
      </c>
      <c r="H1205" s="283">
        <f t="shared" si="108"/>
        <v>31.247500000000002</v>
      </c>
      <c r="I1205" s="283">
        <f t="shared" si="108"/>
        <v>19.482500000000002</v>
      </c>
      <c r="J1205" s="283">
        <f t="shared" si="108"/>
        <v>15.228974000000003</v>
      </c>
      <c r="L1205" s="276">
        <f>AVERAGE(L1201:L1204)</f>
        <v>0.48160000000000003</v>
      </c>
      <c r="M1205" s="276" t="e">
        <f>AVERAGE(M1201:M1204)</f>
        <v>#DIV/0!</v>
      </c>
    </row>
    <row r="1207" spans="1:13">
      <c r="A1207" s="1674" t="s">
        <v>1</v>
      </c>
      <c r="B1207" s="279" t="s">
        <v>139</v>
      </c>
      <c r="C1207" s="279" t="s">
        <v>140</v>
      </c>
      <c r="D1207" s="279" t="s">
        <v>5</v>
      </c>
      <c r="E1207" s="279" t="s">
        <v>6</v>
      </c>
      <c r="F1207" s="280" t="s">
        <v>57</v>
      </c>
      <c r="G1207" s="281" t="s">
        <v>154</v>
      </c>
      <c r="H1207" s="280" t="s">
        <v>149</v>
      </c>
      <c r="I1207" s="280" t="s">
        <v>145</v>
      </c>
      <c r="J1207" s="280" t="s">
        <v>61</v>
      </c>
      <c r="L1207" s="272" t="s">
        <v>58</v>
      </c>
      <c r="M1207" s="272" t="s">
        <v>58</v>
      </c>
    </row>
    <row r="1208" spans="1:13">
      <c r="A1208" s="1674"/>
      <c r="B1208" s="281" t="s">
        <v>146</v>
      </c>
      <c r="C1208" s="281" t="s">
        <v>146</v>
      </c>
      <c r="D1208" s="281" t="s">
        <v>146</v>
      </c>
      <c r="E1208" s="281" t="s">
        <v>146</v>
      </c>
      <c r="F1208" s="281" t="s">
        <v>146</v>
      </c>
      <c r="G1208" s="281" t="s">
        <v>146</v>
      </c>
      <c r="H1208" s="281" t="s">
        <v>146</v>
      </c>
      <c r="I1208" s="281" t="s">
        <v>146</v>
      </c>
      <c r="J1208" s="281" t="s">
        <v>146</v>
      </c>
      <c r="L1208" s="273" t="s">
        <v>146</v>
      </c>
      <c r="M1208" s="273" t="s">
        <v>146</v>
      </c>
    </row>
    <row r="1209" spans="1:13">
      <c r="A1209" s="114">
        <v>39874</v>
      </c>
      <c r="B1209" s="264">
        <f>+VLOOKUP(A1209,'[2]X-SEMANA-AS-SC'!G$341:K893,2,FALSE)</f>
        <v>22.66</v>
      </c>
      <c r="C1209" s="264">
        <f>+VLOOKUP(A1209,'[2]X-SEMANA-AS-SC'!$G506:K893,3,FALSE)</f>
        <v>21.32</v>
      </c>
      <c r="D1209" s="264">
        <f>+VLOOKUP(A1209,'[2]X-SEMANA-AS-SC'!$G506:K893,4,FALSE)</f>
        <v>20.420000000000002</v>
      </c>
      <c r="E1209" s="264">
        <f>+VLOOKUP(A1209,'[2]X-SEMANA-AS-SC'!$G506:K893,5,FALSE)</f>
        <v>17.72</v>
      </c>
      <c r="F1209" s="257">
        <v>21.95</v>
      </c>
      <c r="G1209" s="257">
        <v>10.93</v>
      </c>
      <c r="H1209" s="257">
        <v>31.49</v>
      </c>
      <c r="I1209" s="257">
        <v>18.73</v>
      </c>
      <c r="J1209" s="257">
        <f>(90.61/(25/4.19))</f>
        <v>15.186236000000003</v>
      </c>
      <c r="L1209" s="190"/>
      <c r="M1209" s="190"/>
    </row>
    <row r="1210" spans="1:13">
      <c r="A1210" s="114">
        <v>39881</v>
      </c>
      <c r="B1210" s="264">
        <f>+VLOOKUP(A1210,'[2]X-SEMANA-AS-SC'!G$341:K894,2,FALSE)</f>
        <v>22.39</v>
      </c>
      <c r="C1210" s="264">
        <f>+VLOOKUP(A1210,'[2]X-SEMANA-AS-SC'!$G507:K894,3,FALSE)</f>
        <v>21.16</v>
      </c>
      <c r="D1210" s="264">
        <f>+VLOOKUP(A1210,'[2]X-SEMANA-AS-SC'!$G507:K894,4,FALSE)</f>
        <v>20.29</v>
      </c>
      <c r="E1210" s="264">
        <f>+VLOOKUP(A1210,'[2]X-SEMANA-AS-SC'!$G507:K894,5,FALSE)</f>
        <v>17.350000000000001</v>
      </c>
      <c r="F1210" s="257">
        <v>20.95</v>
      </c>
      <c r="G1210" s="257">
        <v>10.6</v>
      </c>
      <c r="H1210" s="257">
        <v>31.62</v>
      </c>
      <c r="I1210" s="257">
        <v>18.809999999999999</v>
      </c>
      <c r="J1210" s="257">
        <f>(90.52/(25/4.19))</f>
        <v>15.171152000000001</v>
      </c>
      <c r="L1210" s="190"/>
      <c r="M1210" s="190"/>
    </row>
    <row r="1211" spans="1:13">
      <c r="A1211" s="114">
        <v>39888</v>
      </c>
      <c r="B1211" s="264">
        <f>+VLOOKUP(A1211,'[2]X-SEMANA-AS-SC'!G$341:K895,2,FALSE)</f>
        <v>22.38</v>
      </c>
      <c r="C1211" s="264">
        <f>+VLOOKUP(A1211,'[2]X-SEMANA-AS-SC'!$G508:K895,3,FALSE)</f>
        <v>21.03</v>
      </c>
      <c r="D1211" s="264">
        <f>+VLOOKUP(A1211,'[2]X-SEMANA-AS-SC'!$G508:K895,4,FALSE)</f>
        <v>20.16</v>
      </c>
      <c r="E1211" s="264">
        <f>+VLOOKUP(A1211,'[2]X-SEMANA-AS-SC'!$G508:K895,5,FALSE)</f>
        <v>17.190000000000001</v>
      </c>
      <c r="F1211" s="257">
        <v>20.95</v>
      </c>
      <c r="G1211" s="257">
        <v>10.58</v>
      </c>
      <c r="H1211" s="257">
        <v>31.76</v>
      </c>
      <c r="I1211" s="257">
        <v>18.420000000000002</v>
      </c>
      <c r="J1211" s="257">
        <f>(90.52/(25/4.19))</f>
        <v>15.171152000000001</v>
      </c>
      <c r="L1211" s="190"/>
      <c r="M1211" s="190"/>
    </row>
    <row r="1212" spans="1:13">
      <c r="A1212" s="114">
        <v>39895</v>
      </c>
      <c r="B1212" s="264">
        <f>+VLOOKUP(A1212,'[2]X-SEMANA-AS-SC'!G$341:K894,2,FALSE)</f>
        <v>22.3</v>
      </c>
      <c r="C1212" s="264">
        <f>+VLOOKUP(A1212,'[2]X-SEMANA-AS-SC'!$G507:K894,3,FALSE)</f>
        <v>20.91</v>
      </c>
      <c r="D1212" s="264">
        <f>+VLOOKUP(A1212,'[2]X-SEMANA-AS-SC'!$G507:K894,4,FALSE)</f>
        <v>20.04</v>
      </c>
      <c r="E1212" s="264">
        <f>+VLOOKUP(A1212,'[2]X-SEMANA-AS-SC'!$G507:K894,5,FALSE)</f>
        <v>16.88</v>
      </c>
      <c r="F1212" s="257">
        <v>20.95</v>
      </c>
      <c r="G1212" s="257">
        <v>10.050000000000001</v>
      </c>
      <c r="H1212" s="257">
        <v>31.82</v>
      </c>
      <c r="I1212" s="257">
        <v>18.46</v>
      </c>
      <c r="J1212" s="257">
        <f>(90.5/(25/4.19))</f>
        <v>15.167800000000002</v>
      </c>
      <c r="L1212" s="190"/>
      <c r="M1212" s="190"/>
    </row>
    <row r="1213" spans="1:13">
      <c r="A1213" s="114">
        <v>39902</v>
      </c>
      <c r="B1213" s="264">
        <f>+VLOOKUP(A1213,'[2]X-SEMANA-AS-SC'!G$341:K895,2,FALSE)</f>
        <v>22.2</v>
      </c>
      <c r="C1213" s="264">
        <f>+VLOOKUP(A1213,'[2]X-SEMANA-AS-SC'!$G508:K895,3,FALSE)</f>
        <v>20.84</v>
      </c>
      <c r="D1213" s="264">
        <f>+VLOOKUP(A1213,'[2]X-SEMANA-AS-SC'!$G508:K895,4,FALSE)</f>
        <v>19.98</v>
      </c>
      <c r="E1213" s="264">
        <f>+VLOOKUP(A1213,'[2]X-SEMANA-AS-SC'!$G508:K895,5,FALSE)</f>
        <v>16.739999999999998</v>
      </c>
      <c r="F1213" s="257">
        <v>20.95</v>
      </c>
      <c r="G1213" s="257">
        <v>10.3</v>
      </c>
      <c r="H1213" s="257">
        <v>31.92</v>
      </c>
      <c r="I1213" s="257">
        <v>18.510000000000002</v>
      </c>
      <c r="J1213" s="257">
        <f>(90.5/(25/4.19))</f>
        <v>15.167800000000002</v>
      </c>
      <c r="L1213" s="190"/>
      <c r="M1213" s="190"/>
    </row>
    <row r="1214" spans="1:13">
      <c r="A1214" s="282" t="s">
        <v>97</v>
      </c>
      <c r="B1214" s="283">
        <f t="shared" ref="B1214:J1214" si="109">AVERAGE(B1209:B1213)</f>
        <v>22.385999999999999</v>
      </c>
      <c r="C1214" s="283">
        <f t="shared" si="109"/>
        <v>21.052</v>
      </c>
      <c r="D1214" s="283">
        <f t="shared" si="109"/>
        <v>20.178000000000001</v>
      </c>
      <c r="E1214" s="283">
        <f t="shared" si="109"/>
        <v>17.175999999999998</v>
      </c>
      <c r="F1214" s="283">
        <f t="shared" si="109"/>
        <v>21.15</v>
      </c>
      <c r="G1214" s="283">
        <f t="shared" si="109"/>
        <v>10.491999999999999</v>
      </c>
      <c r="H1214" s="283">
        <f t="shared" si="109"/>
        <v>31.722000000000001</v>
      </c>
      <c r="I1214" s="283">
        <f t="shared" si="109"/>
        <v>18.586000000000002</v>
      </c>
      <c r="J1214" s="283">
        <f t="shared" si="109"/>
        <v>15.172828000000001</v>
      </c>
      <c r="L1214" s="276" t="e">
        <f>AVERAGE(L1209:L1213)</f>
        <v>#DIV/0!</v>
      </c>
      <c r="M1214" s="276" t="e">
        <f>AVERAGE(M1209:M1213)</f>
        <v>#DIV/0!</v>
      </c>
    </row>
    <row r="1216" spans="1:13">
      <c r="A1216" s="1674" t="s">
        <v>1</v>
      </c>
      <c r="B1216" s="279" t="s">
        <v>139</v>
      </c>
      <c r="C1216" s="279" t="s">
        <v>140</v>
      </c>
      <c r="D1216" s="279" t="s">
        <v>5</v>
      </c>
      <c r="E1216" s="279" t="s">
        <v>6</v>
      </c>
      <c r="F1216" s="280" t="s">
        <v>57</v>
      </c>
      <c r="G1216" s="281" t="s">
        <v>154</v>
      </c>
      <c r="H1216" s="280" t="s">
        <v>149</v>
      </c>
      <c r="I1216" s="280" t="s">
        <v>145</v>
      </c>
      <c r="J1216" s="280" t="s">
        <v>61</v>
      </c>
    </row>
    <row r="1217" spans="1:13">
      <c r="A1217" s="1674"/>
      <c r="B1217" s="281" t="s">
        <v>146</v>
      </c>
      <c r="C1217" s="281" t="s">
        <v>146</v>
      </c>
      <c r="D1217" s="281" t="s">
        <v>146</v>
      </c>
      <c r="E1217" s="281" t="s">
        <v>146</v>
      </c>
      <c r="F1217" s="281" t="s">
        <v>146</v>
      </c>
      <c r="G1217" s="281" t="s">
        <v>146</v>
      </c>
      <c r="H1217" s="281" t="s">
        <v>146</v>
      </c>
      <c r="I1217" s="281" t="s">
        <v>146</v>
      </c>
      <c r="J1217" s="281" t="s">
        <v>146</v>
      </c>
    </row>
    <row r="1218" spans="1:13">
      <c r="A1218" s="114">
        <v>39909</v>
      </c>
      <c r="B1218" s="264">
        <f>+VLOOKUP(A1218,'[2]X-SEMANA-AS-SC'!G$341:K902,2,FALSE)</f>
        <v>22.1</v>
      </c>
      <c r="C1218" s="264">
        <f>+VLOOKUP(A1218,'[2]X-SEMANA-AS-SC'!$G515:K902,3,FALSE)</f>
        <v>20.79</v>
      </c>
      <c r="D1218" s="264">
        <f>+VLOOKUP(A1218,'[2]X-SEMANA-AS-SC'!$G515:K902,4,FALSE)</f>
        <v>19.93</v>
      </c>
      <c r="E1218" s="264">
        <f>+VLOOKUP(A1218,'[2]X-SEMANA-AS-SC'!$G515:K902,5,FALSE)</f>
        <v>16.670000000000002</v>
      </c>
      <c r="F1218" s="257">
        <v>20.95</v>
      </c>
      <c r="G1218" s="257">
        <v>9.91</v>
      </c>
      <c r="H1218" s="257">
        <v>33.49</v>
      </c>
      <c r="I1218" s="257">
        <v>20.16</v>
      </c>
      <c r="J1218" s="257">
        <f>(90.5/(25/4.19))</f>
        <v>15.167800000000002</v>
      </c>
    </row>
    <row r="1219" spans="1:13">
      <c r="A1219" s="114">
        <v>39916</v>
      </c>
      <c r="B1219" s="264">
        <f>+VLOOKUP(A1219,'[2]X-SEMANA-AS-SC'!G$341:K903,2,FALSE)</f>
        <v>22.65</v>
      </c>
      <c r="C1219" s="264">
        <f>+VLOOKUP(A1219,'[2]X-SEMANA-AS-SC'!$G516:K903,3,FALSE)</f>
        <v>21.07</v>
      </c>
      <c r="D1219" s="264">
        <f>+VLOOKUP(A1219,'[2]X-SEMANA-AS-SC'!$G516:K903,4,FALSE)</f>
        <v>20.16</v>
      </c>
      <c r="E1219" s="264">
        <f>+VLOOKUP(A1219,'[2]X-SEMANA-AS-SC'!$G516:K903,5,FALSE)</f>
        <v>16.91</v>
      </c>
      <c r="F1219" s="257">
        <v>20.95</v>
      </c>
      <c r="G1219" s="257">
        <v>10.1</v>
      </c>
      <c r="H1219" s="257">
        <v>33.47</v>
      </c>
      <c r="I1219" s="257">
        <v>20.149999999999999</v>
      </c>
      <c r="J1219" s="257">
        <f>(90.49/(25/4.19))</f>
        <v>15.166124000000002</v>
      </c>
    </row>
    <row r="1220" spans="1:13">
      <c r="A1220" s="114">
        <v>39923</v>
      </c>
      <c r="B1220" s="264">
        <f>+VLOOKUP(A1220,'[2]X-SEMANA-AS-SC'!G$341:K904,2,FALSE)</f>
        <v>23.73</v>
      </c>
      <c r="C1220" s="264">
        <f>+VLOOKUP(A1220,'[2]X-SEMANA-AS-SC'!$G517:K904,3,FALSE)</f>
        <v>22.22</v>
      </c>
      <c r="D1220" s="264">
        <f>+VLOOKUP(A1220,'[2]X-SEMANA-AS-SC'!$G517:K904,4,FALSE)</f>
        <v>21.28</v>
      </c>
      <c r="E1220" s="264">
        <f>+VLOOKUP(A1220,'[2]X-SEMANA-AS-SC'!$G517:K904,5,FALSE)</f>
        <v>17.239999999999998</v>
      </c>
      <c r="F1220" s="257">
        <v>20.95</v>
      </c>
      <c r="G1220" s="257">
        <v>10.47</v>
      </c>
      <c r="H1220" s="257">
        <v>33.380000000000003</v>
      </c>
      <c r="I1220" s="257">
        <v>20.38</v>
      </c>
      <c r="J1220" s="257">
        <f>(90.49/(25/4.19))</f>
        <v>15.166124000000002</v>
      </c>
    </row>
    <row r="1221" spans="1:13">
      <c r="A1221" s="114">
        <v>39930</v>
      </c>
      <c r="B1221" s="264">
        <f>+VLOOKUP(A1221,'[2]X-SEMANA-AS-SC'!G$341:K903,2,FALSE)</f>
        <v>23.7</v>
      </c>
      <c r="C1221" s="264">
        <f>+VLOOKUP(A1221,'[2]X-SEMANA-AS-SC'!$G516:K903,3,FALSE)</f>
        <v>22.2</v>
      </c>
      <c r="D1221" s="264">
        <f>+VLOOKUP(A1221,'[2]X-SEMANA-AS-SC'!$G516:K903,4,FALSE)</f>
        <v>21.29</v>
      </c>
      <c r="E1221" s="264">
        <f>+VLOOKUP(A1221,'[2]X-SEMANA-AS-SC'!$G516:K903,5,FALSE)</f>
        <v>17.29</v>
      </c>
      <c r="F1221" s="257">
        <v>20.95</v>
      </c>
      <c r="G1221" s="257">
        <v>10.57</v>
      </c>
      <c r="H1221" s="257">
        <v>33.42</v>
      </c>
      <c r="I1221" s="257">
        <v>20.41</v>
      </c>
      <c r="J1221" s="257">
        <f>(90.49/(25/4.19))</f>
        <v>15.166124000000002</v>
      </c>
    </row>
    <row r="1222" spans="1:13">
      <c r="A1222" s="282" t="s">
        <v>98</v>
      </c>
      <c r="B1222" s="283">
        <f t="shared" ref="B1222:J1222" si="110">AVERAGE(B1218:B1221)</f>
        <v>23.045000000000002</v>
      </c>
      <c r="C1222" s="283">
        <f t="shared" si="110"/>
        <v>21.57</v>
      </c>
      <c r="D1222" s="283">
        <f t="shared" si="110"/>
        <v>20.664999999999999</v>
      </c>
      <c r="E1222" s="283">
        <f t="shared" si="110"/>
        <v>17.027499999999996</v>
      </c>
      <c r="F1222" s="283">
        <f t="shared" si="110"/>
        <v>20.95</v>
      </c>
      <c r="G1222" s="283">
        <f t="shared" si="110"/>
        <v>10.262499999999999</v>
      </c>
      <c r="H1222" s="283">
        <f t="shared" si="110"/>
        <v>33.44</v>
      </c>
      <c r="I1222" s="283">
        <f t="shared" si="110"/>
        <v>20.274999999999999</v>
      </c>
      <c r="J1222" s="283">
        <f t="shared" si="110"/>
        <v>15.166543000000003</v>
      </c>
    </row>
    <row r="1224" spans="1:13">
      <c r="A1224" s="1674" t="s">
        <v>1</v>
      </c>
      <c r="B1224" s="279" t="s">
        <v>139</v>
      </c>
      <c r="C1224" s="279" t="s">
        <v>140</v>
      </c>
      <c r="D1224" s="279" t="s">
        <v>5</v>
      </c>
      <c r="E1224" s="279" t="s">
        <v>6</v>
      </c>
      <c r="F1224" s="280" t="s">
        <v>57</v>
      </c>
      <c r="G1224" s="281" t="s">
        <v>154</v>
      </c>
      <c r="H1224" s="280" t="s">
        <v>149</v>
      </c>
      <c r="I1224" s="280" t="s">
        <v>145</v>
      </c>
      <c r="J1224" s="280" t="s">
        <v>61</v>
      </c>
    </row>
    <row r="1225" spans="1:13" ht="13.5" thickBot="1">
      <c r="A1225" s="1674"/>
      <c r="B1225" s="281" t="s">
        <v>146</v>
      </c>
      <c r="C1225" s="281" t="s">
        <v>146</v>
      </c>
      <c r="D1225" s="281" t="s">
        <v>146</v>
      </c>
      <c r="E1225" s="281" t="s">
        <v>146</v>
      </c>
      <c r="F1225" s="281" t="s">
        <v>146</v>
      </c>
      <c r="G1225" s="281" t="s">
        <v>146</v>
      </c>
      <c r="H1225" s="281" t="s">
        <v>146</v>
      </c>
      <c r="I1225" s="281" t="s">
        <v>146</v>
      </c>
      <c r="J1225" s="281" t="s">
        <v>146</v>
      </c>
    </row>
    <row r="1226" spans="1:13">
      <c r="A1226" s="114">
        <v>39937</v>
      </c>
      <c r="B1226" s="264">
        <f>+VLOOKUP(A1226,'[2]X-SEMANA-AS-SC'!G$341:K910,2,FALSE)</f>
        <v>23.7</v>
      </c>
      <c r="C1226" s="264">
        <f>+VLOOKUP(A1226,'[2]X-SEMANA-AS-SC'!$G523:K910,3,FALSE)</f>
        <v>22.18</v>
      </c>
      <c r="D1226" s="264">
        <f>+VLOOKUP(A1226,'[2]X-SEMANA-AS-SC'!$G523:K910,4,FALSE)</f>
        <v>21.29</v>
      </c>
      <c r="E1226" s="264">
        <f>+VLOOKUP(A1226,'[2]X-SEMANA-AS-SC'!$G523:K910,5,FALSE)</f>
        <v>17.21</v>
      </c>
      <c r="F1226" s="257">
        <v>21.95</v>
      </c>
      <c r="G1226" s="257">
        <v>11.51</v>
      </c>
      <c r="H1226" s="252">
        <v>33.46</v>
      </c>
      <c r="I1226" s="252">
        <v>20.010000000000002</v>
      </c>
      <c r="J1226" s="257">
        <f>(90.49/(25/4.19))</f>
        <v>15.166124000000002</v>
      </c>
      <c r="L1226" s="542"/>
      <c r="M1226" s="81"/>
    </row>
    <row r="1227" spans="1:13">
      <c r="A1227" s="114">
        <v>39944</v>
      </c>
      <c r="B1227" s="264">
        <f>+VLOOKUP(A1227,'[2]X-SEMANA-AS-SC'!G$341:K911,2,FALSE)</f>
        <v>23.64</v>
      </c>
      <c r="C1227" s="264">
        <f>+VLOOKUP(A1227,'[2]X-SEMANA-AS-SC'!$G524:K911,3,FALSE)</f>
        <v>22.17</v>
      </c>
      <c r="D1227" s="264">
        <f>+VLOOKUP(A1227,'[2]X-SEMANA-AS-SC'!$G524:K911,4,FALSE)</f>
        <v>21.3</v>
      </c>
      <c r="E1227" s="264">
        <f>+VLOOKUP(A1227,'[2]X-SEMANA-AS-SC'!$G524:K911,5,FALSE)</f>
        <v>17.2</v>
      </c>
      <c r="F1227" s="257">
        <v>21.95</v>
      </c>
      <c r="G1227" s="257">
        <v>12.57</v>
      </c>
      <c r="H1227" s="252">
        <v>33.46</v>
      </c>
      <c r="I1227" s="252">
        <v>20.010000000000002</v>
      </c>
      <c r="J1227" s="257">
        <f>(90.49/(25/4.19))</f>
        <v>15.166124000000002</v>
      </c>
      <c r="L1227" s="543"/>
      <c r="M1227" s="79"/>
    </row>
    <row r="1228" spans="1:13">
      <c r="A1228" s="114">
        <v>39951</v>
      </c>
      <c r="B1228" s="264">
        <f>+VLOOKUP(A1228,'[2]X-SEMANA-AS-SC'!G$341:K912,2,FALSE)</f>
        <v>24.41</v>
      </c>
      <c r="C1228" s="264">
        <f>+VLOOKUP(A1228,'[2]X-SEMANA-AS-SC'!$G525:K912,3,FALSE)</f>
        <v>23.05</v>
      </c>
      <c r="D1228" s="264">
        <f>+VLOOKUP(A1228,'[2]X-SEMANA-AS-SC'!$G525:K912,4,FALSE)</f>
        <v>22.1</v>
      </c>
      <c r="E1228" s="264">
        <f>+VLOOKUP(A1228,'[2]X-SEMANA-AS-SC'!$G525:K912,5,FALSE)</f>
        <v>17.97</v>
      </c>
      <c r="F1228" s="257">
        <v>21.95</v>
      </c>
      <c r="G1228" s="257">
        <v>13.52</v>
      </c>
      <c r="H1228" s="257">
        <v>33.49</v>
      </c>
      <c r="I1228" s="257">
        <v>20.92</v>
      </c>
      <c r="J1228" s="257">
        <f>(90.49/(25/4.19))</f>
        <v>15.166124000000002</v>
      </c>
      <c r="L1228" s="543"/>
      <c r="M1228" s="79"/>
    </row>
    <row r="1229" spans="1:13">
      <c r="A1229" s="114">
        <v>39958</v>
      </c>
      <c r="B1229" s="264">
        <f>+VLOOKUP(A1229,'[2]X-SEMANA-AS-SC'!G$341:K911,2,FALSE)</f>
        <v>25.22</v>
      </c>
      <c r="C1229" s="264">
        <f>+VLOOKUP(A1229,'[2]X-SEMANA-AS-SC'!$G524:K911,3,FALSE)</f>
        <v>23.85</v>
      </c>
      <c r="D1229" s="264">
        <f>+VLOOKUP(A1229,'[2]X-SEMANA-AS-SC'!$G524:K911,4,FALSE)</f>
        <v>22.87</v>
      </c>
      <c r="E1229" s="264">
        <f>+VLOOKUP(A1229,'[2]X-SEMANA-AS-SC'!$G524:K911,5,FALSE)</f>
        <v>18.32</v>
      </c>
      <c r="F1229" s="257">
        <v>21.95</v>
      </c>
      <c r="G1229" s="257">
        <v>12.93</v>
      </c>
      <c r="H1229" s="257">
        <v>33.51</v>
      </c>
      <c r="I1229" s="257">
        <v>21.77</v>
      </c>
      <c r="J1229" s="257">
        <f>(90.49/(25/4.19))</f>
        <v>15.166124000000002</v>
      </c>
      <c r="L1229" s="543"/>
      <c r="M1229" s="79"/>
    </row>
    <row r="1230" spans="1:13">
      <c r="A1230" s="282" t="s">
        <v>99</v>
      </c>
      <c r="B1230" s="283">
        <f t="shared" ref="B1230:J1230" si="111">AVERAGE(B1226:B1229)</f>
        <v>24.2425</v>
      </c>
      <c r="C1230" s="283">
        <f t="shared" si="111"/>
        <v>22.8125</v>
      </c>
      <c r="D1230" s="283">
        <f t="shared" si="111"/>
        <v>21.89</v>
      </c>
      <c r="E1230" s="283">
        <f t="shared" si="111"/>
        <v>17.674999999999997</v>
      </c>
      <c r="F1230" s="283">
        <f t="shared" si="111"/>
        <v>21.95</v>
      </c>
      <c r="G1230" s="283">
        <f t="shared" si="111"/>
        <v>12.632499999999999</v>
      </c>
      <c r="H1230" s="283">
        <f t="shared" si="111"/>
        <v>33.479999999999997</v>
      </c>
      <c r="I1230" s="283">
        <f t="shared" si="111"/>
        <v>20.677500000000002</v>
      </c>
      <c r="J1230" s="283">
        <f t="shared" si="111"/>
        <v>15.166124000000002</v>
      </c>
      <c r="L1230" s="543"/>
      <c r="M1230" s="79"/>
    </row>
    <row r="1231" spans="1:13">
      <c r="L1231" s="543"/>
      <c r="M1231" s="79"/>
    </row>
    <row r="1232" spans="1:13" ht="13.5" thickBot="1">
      <c r="A1232" s="1674" t="s">
        <v>1</v>
      </c>
      <c r="B1232" s="279" t="s">
        <v>139</v>
      </c>
      <c r="C1232" s="279" t="s">
        <v>140</v>
      </c>
      <c r="D1232" s="279" t="s">
        <v>5</v>
      </c>
      <c r="E1232" s="279" t="s">
        <v>6</v>
      </c>
      <c r="F1232" s="280" t="s">
        <v>57</v>
      </c>
      <c r="G1232" s="281" t="s">
        <v>154</v>
      </c>
      <c r="H1232" s="280" t="s">
        <v>149</v>
      </c>
      <c r="I1232" s="280" t="s">
        <v>145</v>
      </c>
      <c r="J1232" s="280" t="s">
        <v>61</v>
      </c>
      <c r="L1232" s="544"/>
      <c r="M1232" s="539"/>
    </row>
    <row r="1233" spans="1:10">
      <c r="A1233" s="1674"/>
      <c r="B1233" s="281" t="s">
        <v>146</v>
      </c>
      <c r="C1233" s="281" t="s">
        <v>146</v>
      </c>
      <c r="D1233" s="281" t="s">
        <v>146</v>
      </c>
      <c r="E1233" s="281" t="s">
        <v>146</v>
      </c>
      <c r="F1233" s="281" t="s">
        <v>146</v>
      </c>
      <c r="G1233" s="281" t="s">
        <v>146</v>
      </c>
      <c r="H1233" s="281" t="s">
        <v>146</v>
      </c>
      <c r="I1233" s="281" t="s">
        <v>146</v>
      </c>
      <c r="J1233" s="281" t="s">
        <v>146</v>
      </c>
    </row>
    <row r="1234" spans="1:10">
      <c r="A1234" s="114">
        <v>39965</v>
      </c>
      <c r="B1234" s="264">
        <f>+VLOOKUP(A1234,'[2]X-SEMANA-AS-SC'!G$341:K918,2,FALSE)</f>
        <v>25.15</v>
      </c>
      <c r="C1234" s="264">
        <f>+VLOOKUP(A1234,'[2]X-SEMANA-AS-SC'!$G531:K918,3,FALSE)</f>
        <v>23.91</v>
      </c>
      <c r="D1234" s="264">
        <f>+VLOOKUP(A1234,'[2]X-SEMANA-AS-SC'!$G531:K918,4,FALSE)</f>
        <v>22.94</v>
      </c>
      <c r="E1234" s="264">
        <f>+VLOOKUP(A1234,'[2]X-SEMANA-AS-SC'!$G531:K918,5,FALSE)</f>
        <v>18.350000000000001</v>
      </c>
      <c r="F1234" s="257">
        <v>21.95</v>
      </c>
      <c r="G1234" s="257">
        <v>12.9</v>
      </c>
      <c r="H1234" s="257">
        <v>33.53</v>
      </c>
      <c r="I1234" s="257">
        <v>21.79</v>
      </c>
      <c r="J1234" s="257">
        <f>(90.49/(25/4.19))</f>
        <v>15.166124000000002</v>
      </c>
    </row>
    <row r="1235" spans="1:10">
      <c r="A1235" s="114">
        <v>39972</v>
      </c>
      <c r="B1235" s="264">
        <f>+VLOOKUP(A1235,'[2]X-SEMANA-AS-SC'!G$341:K919,2,FALSE)</f>
        <v>26.58</v>
      </c>
      <c r="C1235" s="264">
        <f>+VLOOKUP(A1235,'[2]X-SEMANA-AS-SC'!$G532:K919,3,FALSE)</f>
        <v>25.15</v>
      </c>
      <c r="D1235" s="264">
        <f>+VLOOKUP(A1235,'[2]X-SEMANA-AS-SC'!$G532:K919,4,FALSE)</f>
        <v>24.26</v>
      </c>
      <c r="E1235" s="264">
        <f>+VLOOKUP(A1235,'[2]X-SEMANA-AS-SC'!$G532:K919,5,FALSE)</f>
        <v>19.579999999999998</v>
      </c>
      <c r="F1235" s="257">
        <v>22.95</v>
      </c>
      <c r="G1235" s="257">
        <v>14.23</v>
      </c>
      <c r="H1235" s="257">
        <v>33.53</v>
      </c>
      <c r="I1235" s="257">
        <v>21.79</v>
      </c>
      <c r="J1235" s="257">
        <f>(90.49/(25/4.19))</f>
        <v>15.166124000000002</v>
      </c>
    </row>
    <row r="1236" spans="1:10">
      <c r="A1236" s="114">
        <v>39979</v>
      </c>
      <c r="B1236" s="264">
        <f>+VLOOKUP(A1236,'[2]X-SEMANA-AS-SC'!G$341:K920,2,FALSE)</f>
        <v>27.99</v>
      </c>
      <c r="C1236" s="264">
        <f>+VLOOKUP(A1236,'[2]X-SEMANA-AS-SC'!$G533:K920,3,FALSE)</f>
        <v>26.2</v>
      </c>
      <c r="D1236" s="264">
        <f>+VLOOKUP(A1236,'[2]X-SEMANA-AS-SC'!$G533:K920,4,FALSE)</f>
        <v>25.24</v>
      </c>
      <c r="E1236" s="264">
        <f>+VLOOKUP(A1236,'[2]X-SEMANA-AS-SC'!$G533:K920,5,FALSE)</f>
        <v>20.46</v>
      </c>
      <c r="F1236" s="257">
        <v>22.95</v>
      </c>
      <c r="G1236" s="257">
        <v>14.08</v>
      </c>
      <c r="H1236" s="257">
        <v>37.69</v>
      </c>
      <c r="I1236" s="257">
        <v>23.87</v>
      </c>
      <c r="J1236" s="257">
        <f>(90.49/(25/4.19))</f>
        <v>15.166124000000002</v>
      </c>
    </row>
    <row r="1237" spans="1:10">
      <c r="A1237" s="114">
        <v>39986</v>
      </c>
      <c r="B1237" s="264">
        <f>+VLOOKUP(A1237,'[2]X-SEMANA-AS-SC'!G$341:K918,2,FALSE)</f>
        <v>27.99</v>
      </c>
      <c r="C1237" s="264">
        <f>+VLOOKUP(A1237,'[2]X-SEMANA-AS-SC'!$G531:K918,3,FALSE)</f>
        <v>26.71</v>
      </c>
      <c r="D1237" s="264">
        <f>+VLOOKUP(A1237,'[2]X-SEMANA-AS-SC'!$G531:K918,4,FALSE)</f>
        <v>25.73</v>
      </c>
      <c r="E1237" s="264">
        <f>+VLOOKUP(A1237,'[2]X-SEMANA-AS-SC'!$G531:K918,5,FALSE)</f>
        <v>20.86</v>
      </c>
      <c r="F1237" s="257">
        <v>22.95</v>
      </c>
      <c r="G1237" s="257">
        <v>14.15</v>
      </c>
      <c r="H1237" s="257">
        <v>37.74</v>
      </c>
      <c r="I1237" s="257">
        <v>23.9</v>
      </c>
      <c r="J1237" s="257">
        <f>(90.49/(25/4.19))</f>
        <v>15.166124000000002</v>
      </c>
    </row>
    <row r="1238" spans="1:10">
      <c r="A1238" s="282" t="s">
        <v>100</v>
      </c>
      <c r="B1238" s="283">
        <f t="shared" ref="B1238:J1238" si="112">AVERAGE(B1234:B1237)</f>
        <v>26.927499999999998</v>
      </c>
      <c r="C1238" s="283">
        <f t="shared" si="112"/>
        <v>25.4925</v>
      </c>
      <c r="D1238" s="283">
        <f t="shared" si="112"/>
        <v>24.5425</v>
      </c>
      <c r="E1238" s="283">
        <f t="shared" si="112"/>
        <v>19.8125</v>
      </c>
      <c r="F1238" s="283">
        <f t="shared" si="112"/>
        <v>22.7</v>
      </c>
      <c r="G1238" s="283">
        <f t="shared" si="112"/>
        <v>13.84</v>
      </c>
      <c r="H1238" s="283">
        <f t="shared" si="112"/>
        <v>35.622500000000002</v>
      </c>
      <c r="I1238" s="283">
        <f t="shared" si="112"/>
        <v>22.837499999999999</v>
      </c>
      <c r="J1238" s="283">
        <f t="shared" si="112"/>
        <v>15.166124000000002</v>
      </c>
    </row>
    <row r="1240" spans="1:10">
      <c r="A1240" s="1674" t="s">
        <v>1</v>
      </c>
      <c r="B1240" s="279" t="s">
        <v>139</v>
      </c>
      <c r="C1240" s="279" t="s">
        <v>140</v>
      </c>
      <c r="D1240" s="279" t="s">
        <v>5</v>
      </c>
      <c r="E1240" s="279" t="s">
        <v>6</v>
      </c>
      <c r="F1240" s="280" t="s">
        <v>57</v>
      </c>
      <c r="G1240" s="281" t="s">
        <v>154</v>
      </c>
      <c r="H1240" s="280" t="s">
        <v>149</v>
      </c>
      <c r="I1240" s="280" t="s">
        <v>145</v>
      </c>
      <c r="J1240" s="280" t="s">
        <v>61</v>
      </c>
    </row>
    <row r="1241" spans="1:10">
      <c r="A1241" s="1674"/>
      <c r="B1241" s="281" t="s">
        <v>146</v>
      </c>
      <c r="C1241" s="281" t="s">
        <v>146</v>
      </c>
      <c r="D1241" s="281" t="s">
        <v>146</v>
      </c>
      <c r="E1241" s="281" t="s">
        <v>146</v>
      </c>
      <c r="F1241" s="281" t="s">
        <v>146</v>
      </c>
      <c r="G1241" s="281" t="s">
        <v>146</v>
      </c>
      <c r="H1241" s="281" t="s">
        <v>146</v>
      </c>
      <c r="I1241" s="281" t="s">
        <v>146</v>
      </c>
      <c r="J1241" s="281" t="s">
        <v>146</v>
      </c>
    </row>
    <row r="1242" spans="1:10">
      <c r="A1242" s="114">
        <v>39995</v>
      </c>
      <c r="B1242" s="264">
        <f>+VLOOKUP(A1242,'[2]X-SEMANA-AS-SC'!G$341:K927,2,FALSE)</f>
        <v>28.92</v>
      </c>
      <c r="C1242" s="264">
        <f>+VLOOKUP(A1242,'[2]X-SEMANA-AS-SC'!$G540:K927,3,FALSE)</f>
        <v>27.52</v>
      </c>
      <c r="D1242" s="264">
        <f>+VLOOKUP(A1242,'[2]X-SEMANA-AS-SC'!$G540:K927,4,FALSE)</f>
        <v>26.55</v>
      </c>
      <c r="E1242" s="264">
        <f>+VLOOKUP(A1242,'[2]X-SEMANA-AS-SC'!$G540:K927,5,FALSE)</f>
        <v>21.21</v>
      </c>
      <c r="F1242" s="257">
        <v>22.95</v>
      </c>
      <c r="G1242" s="257">
        <v>13.97</v>
      </c>
      <c r="H1242" s="252">
        <v>37.71</v>
      </c>
      <c r="I1242" s="252">
        <v>24.13</v>
      </c>
      <c r="J1242" s="257">
        <f>(90.49/(25/4.19))</f>
        <v>15.166124000000002</v>
      </c>
    </row>
    <row r="1243" spans="1:10">
      <c r="A1243" s="114">
        <v>40000</v>
      </c>
      <c r="B1243" s="264">
        <f>+VLOOKUP(A1243,'[2]X-SEMANA-AS-SC'!G$341:K928,2,FALSE)</f>
        <v>28.71</v>
      </c>
      <c r="C1243" s="264">
        <f>+VLOOKUP(A1243,'[2]X-SEMANA-AS-SC'!$G541:K928,3,FALSE)</f>
        <v>27.48</v>
      </c>
      <c r="D1243" s="264">
        <f>+VLOOKUP(A1243,'[2]X-SEMANA-AS-SC'!$G541:K928,4,FALSE)</f>
        <v>26.47</v>
      </c>
      <c r="E1243" s="264">
        <f>+VLOOKUP(A1243,'[2]X-SEMANA-AS-SC'!$G541:K928,5,FALSE)</f>
        <v>21.17</v>
      </c>
      <c r="F1243" s="257">
        <v>22.95</v>
      </c>
      <c r="G1243" s="257">
        <v>14.06</v>
      </c>
      <c r="H1243" s="252">
        <v>37.72</v>
      </c>
      <c r="I1243" s="252">
        <v>24.14</v>
      </c>
      <c r="J1243" s="257">
        <f>(90.49/(25/4.19))</f>
        <v>15.166124000000002</v>
      </c>
    </row>
    <row r="1244" spans="1:10">
      <c r="A1244" s="114">
        <v>40007</v>
      </c>
      <c r="B1244" s="264">
        <f>+VLOOKUP(A1244,'[2]X-SEMANA-AS-SC'!G$341:K929,2,FALSE)</f>
        <v>27.64</v>
      </c>
      <c r="C1244" s="264">
        <f>+VLOOKUP(A1244,'[2]X-SEMANA-AS-SC'!$G542:K929,3,FALSE)</f>
        <v>26.54</v>
      </c>
      <c r="D1244" s="264">
        <f>+VLOOKUP(A1244,'[2]X-SEMANA-AS-SC'!$G542:K929,4,FALSE)</f>
        <v>25.57</v>
      </c>
      <c r="E1244" s="264">
        <f>+VLOOKUP(A1244,'[2]X-SEMANA-AS-SC'!$G542:K929,5,FALSE)</f>
        <v>20.6</v>
      </c>
      <c r="F1244" s="257">
        <v>22.95</v>
      </c>
      <c r="G1244" s="257">
        <v>13.55</v>
      </c>
      <c r="H1244" s="257">
        <v>37.83</v>
      </c>
      <c r="I1244" s="257">
        <v>22.71</v>
      </c>
      <c r="J1244" s="257">
        <f>(90.49/(25/4.19))</f>
        <v>15.166124000000002</v>
      </c>
    </row>
    <row r="1245" spans="1:10">
      <c r="A1245" s="114">
        <v>40014</v>
      </c>
      <c r="B1245" s="264">
        <f>+VLOOKUP(A1245,'[2]X-SEMANA-AS-SC'!G$341:K927,2,FALSE)</f>
        <v>27.09</v>
      </c>
      <c r="C1245" s="264">
        <f>+VLOOKUP(A1245,'[2]X-SEMANA-AS-SC'!$G540:K927,3,FALSE)</f>
        <v>26.19</v>
      </c>
      <c r="D1245" s="264">
        <f>+VLOOKUP(A1245,'[2]X-SEMANA-AS-SC'!$G540:K927,4,FALSE)</f>
        <v>25.19</v>
      </c>
      <c r="E1245" s="264">
        <f>+VLOOKUP(A1245,'[2]X-SEMANA-AS-SC'!$G540:K927,5,FALSE)</f>
        <v>20.69</v>
      </c>
      <c r="F1245" s="257">
        <v>22.95</v>
      </c>
      <c r="G1245" s="257">
        <v>13.61</v>
      </c>
      <c r="H1245" s="257">
        <v>37.93</v>
      </c>
      <c r="I1245" s="257">
        <v>22.77</v>
      </c>
      <c r="J1245" s="257">
        <f>(90.49/(25/4.19))</f>
        <v>15.166124000000002</v>
      </c>
    </row>
    <row r="1246" spans="1:10">
      <c r="A1246" s="114">
        <v>40021</v>
      </c>
      <c r="B1246" s="264">
        <f>+VLOOKUP(A1246,'[2]X-SEMANA-AS-SC'!G$341:K928,2,FALSE)</f>
        <v>26.29</v>
      </c>
      <c r="C1246" s="264">
        <f>+VLOOKUP(A1246,'[2]X-SEMANA-AS-SC'!$G541:K928,3,FALSE)</f>
        <v>25.05</v>
      </c>
      <c r="D1246" s="264">
        <f>+VLOOKUP(A1246,'[2]X-SEMANA-AS-SC'!$G541:K928,4,FALSE)</f>
        <v>24.09</v>
      </c>
      <c r="E1246" s="264">
        <f>+VLOOKUP(A1246,'[2]X-SEMANA-AS-SC'!$G541:K928,5,FALSE)</f>
        <v>20.09</v>
      </c>
      <c r="F1246" s="257">
        <v>22.95</v>
      </c>
      <c r="G1246" s="257">
        <v>13.42</v>
      </c>
      <c r="H1246" s="257">
        <v>38.159999999999997</v>
      </c>
      <c r="I1246" s="257">
        <v>22.91</v>
      </c>
      <c r="J1246" s="257">
        <f>(90.49/(25/4.19))</f>
        <v>15.166124000000002</v>
      </c>
    </row>
    <row r="1247" spans="1:10">
      <c r="A1247" s="282" t="s">
        <v>101</v>
      </c>
      <c r="B1247" s="283">
        <f t="shared" ref="B1247:J1247" si="113">AVERAGE(B1242:B1246)</f>
        <v>27.73</v>
      </c>
      <c r="C1247" s="283">
        <f t="shared" si="113"/>
        <v>26.556000000000001</v>
      </c>
      <c r="D1247" s="283">
        <f t="shared" si="113"/>
        <v>25.574000000000002</v>
      </c>
      <c r="E1247" s="283">
        <f t="shared" si="113"/>
        <v>20.752000000000002</v>
      </c>
      <c r="F1247" s="283">
        <f t="shared" si="113"/>
        <v>22.95</v>
      </c>
      <c r="G1247" s="283">
        <f t="shared" si="113"/>
        <v>13.722</v>
      </c>
      <c r="H1247" s="283">
        <f t="shared" si="113"/>
        <v>37.869999999999997</v>
      </c>
      <c r="I1247" s="283">
        <f t="shared" si="113"/>
        <v>23.331999999999997</v>
      </c>
      <c r="J1247" s="283">
        <f t="shared" si="113"/>
        <v>15.166124000000002</v>
      </c>
    </row>
    <row r="1249" spans="1:10">
      <c r="A1249" s="1674" t="s">
        <v>1</v>
      </c>
      <c r="B1249" s="279" t="s">
        <v>139</v>
      </c>
      <c r="C1249" s="279" t="s">
        <v>140</v>
      </c>
      <c r="D1249" s="279" t="s">
        <v>5</v>
      </c>
      <c r="E1249" s="279" t="s">
        <v>6</v>
      </c>
      <c r="F1249" s="280" t="s">
        <v>57</v>
      </c>
      <c r="G1249" s="281" t="s">
        <v>154</v>
      </c>
      <c r="H1249" s="280" t="s">
        <v>149</v>
      </c>
      <c r="I1249" s="280" t="s">
        <v>145</v>
      </c>
      <c r="J1249" s="280" t="s">
        <v>61</v>
      </c>
    </row>
    <row r="1250" spans="1:10">
      <c r="A1250" s="1674"/>
      <c r="B1250" s="281" t="s">
        <v>146</v>
      </c>
      <c r="C1250" s="281" t="s">
        <v>146</v>
      </c>
      <c r="D1250" s="281" t="s">
        <v>146</v>
      </c>
      <c r="E1250" s="281" t="s">
        <v>146</v>
      </c>
      <c r="F1250" s="281" t="s">
        <v>146</v>
      </c>
      <c r="G1250" s="281" t="s">
        <v>146</v>
      </c>
      <c r="H1250" s="281" t="s">
        <v>146</v>
      </c>
      <c r="I1250" s="281" t="s">
        <v>146</v>
      </c>
      <c r="J1250" s="281" t="s">
        <v>146</v>
      </c>
    </row>
    <row r="1251" spans="1:10">
      <c r="A1251" s="114">
        <v>40028</v>
      </c>
      <c r="B1251" s="264">
        <f>+VLOOKUP(A1251,'[2]X-SEMANA-AS-SC'!G$341:K936,2,FALSE)</f>
        <v>26.21</v>
      </c>
      <c r="C1251" s="264">
        <f>+VLOOKUP(A1251,'[2]X-SEMANA-AS-SC'!$G549:K936,3,FALSE)</f>
        <v>24.93</v>
      </c>
      <c r="D1251" s="264">
        <f>+VLOOKUP(A1251,'[2]X-SEMANA-AS-SC'!$G549:K936,4,FALSE)</f>
        <v>23.97</v>
      </c>
      <c r="E1251" s="264">
        <f>+VLOOKUP(A1251,'[2]X-SEMANA-AS-SC'!$G549:K936,5,FALSE)</f>
        <v>20.059999999999999</v>
      </c>
      <c r="F1251" s="257">
        <v>22.95</v>
      </c>
      <c r="G1251" s="257">
        <v>13.56</v>
      </c>
      <c r="H1251" s="252">
        <v>38.159999999999997</v>
      </c>
      <c r="I1251" s="252">
        <v>22.91</v>
      </c>
      <c r="J1251" s="257">
        <f>(90.49/(25/4.19))</f>
        <v>15.166124000000002</v>
      </c>
    </row>
    <row r="1252" spans="1:10">
      <c r="A1252" s="114">
        <v>40035</v>
      </c>
      <c r="B1252" s="264">
        <f>+VLOOKUP(A1252,'[2]X-SEMANA-AS-SC'!G$341:K937,2,FALSE)</f>
        <v>27.36</v>
      </c>
      <c r="C1252" s="264">
        <f>+VLOOKUP(A1252,'[2]X-SEMANA-AS-SC'!$G550:K937,3,FALSE)</f>
        <v>25.93</v>
      </c>
      <c r="D1252" s="264">
        <f>+VLOOKUP(A1252,'[2]X-SEMANA-AS-SC'!$G550:K937,4,FALSE)</f>
        <v>24.94</v>
      </c>
      <c r="E1252" s="264">
        <f>+VLOOKUP(A1252,'[2]X-SEMANA-AS-SC'!$G550:K937,5,FALSE)</f>
        <v>21.17</v>
      </c>
      <c r="F1252" s="257">
        <v>22.95</v>
      </c>
      <c r="G1252" s="257">
        <v>14.3</v>
      </c>
      <c r="H1252" s="252">
        <v>38.24</v>
      </c>
      <c r="I1252" s="252">
        <v>24.02</v>
      </c>
      <c r="J1252" s="257">
        <f>(90.49/(25/4.19))</f>
        <v>15.166124000000002</v>
      </c>
    </row>
    <row r="1253" spans="1:10">
      <c r="A1253" s="114">
        <v>40042</v>
      </c>
      <c r="B1253" s="264">
        <f>+VLOOKUP(A1253,'[2]X-SEMANA-AS-SC'!G$341:K938,2,FALSE)</f>
        <v>28.11</v>
      </c>
      <c r="C1253" s="264">
        <f>+VLOOKUP(A1253,'[2]X-SEMANA-AS-SC'!$G551:K938,3,FALSE)</f>
        <v>26.76</v>
      </c>
      <c r="D1253" s="264">
        <f>+VLOOKUP(A1253,'[2]X-SEMANA-AS-SC'!$G551:K938,4,FALSE)</f>
        <v>25.82</v>
      </c>
      <c r="E1253" s="264">
        <f>+VLOOKUP(A1253,'[2]X-SEMANA-AS-SC'!$G551:K938,5,FALSE)</f>
        <v>21.73</v>
      </c>
      <c r="F1253" s="257">
        <v>22.95</v>
      </c>
      <c r="G1253" s="257">
        <v>14.54</v>
      </c>
      <c r="H1253" s="257">
        <v>38.159999999999997</v>
      </c>
      <c r="I1253" s="257">
        <v>25.06</v>
      </c>
      <c r="J1253" s="257">
        <f>(90.49/(25/4.19))</f>
        <v>15.166124000000002</v>
      </c>
    </row>
    <row r="1254" spans="1:10">
      <c r="A1254" s="114">
        <v>40049</v>
      </c>
      <c r="B1254" s="264">
        <f>+VLOOKUP(A1254,'[2]X-SEMANA-AS-SC'!G$341:K936,2,FALSE)</f>
        <v>29.13</v>
      </c>
      <c r="C1254" s="264">
        <f>+VLOOKUP(A1254,'[2]X-SEMANA-AS-SC'!$G549:K936,3,FALSE)</f>
        <v>27.74</v>
      </c>
      <c r="D1254" s="264">
        <f>+VLOOKUP(A1254,'[2]X-SEMANA-AS-SC'!$G549:K936,4,FALSE)</f>
        <v>26.78</v>
      </c>
      <c r="E1254" s="264">
        <f>+VLOOKUP(A1254,'[2]X-SEMANA-AS-SC'!$G549:K936,5,FALSE)</f>
        <v>22.95</v>
      </c>
      <c r="F1254" s="257">
        <v>22.95</v>
      </c>
      <c r="G1254" s="257">
        <v>14.69</v>
      </c>
      <c r="H1254" s="257">
        <v>38.29</v>
      </c>
      <c r="I1254" s="257">
        <v>25.14</v>
      </c>
      <c r="J1254" s="257">
        <f>(90/(25/4.19))</f>
        <v>15.084000000000003</v>
      </c>
    </row>
    <row r="1255" spans="1:10">
      <c r="A1255" s="114">
        <v>40056</v>
      </c>
      <c r="B1255" s="264">
        <f>+VLOOKUP(A1255,'[2]X-SEMANA-AS-SC'!G$341:K937,2,FALSE)</f>
        <v>28.83</v>
      </c>
      <c r="C1255" s="264">
        <f>+VLOOKUP(A1255,'[2]X-SEMANA-AS-SC'!$G550:K937,3,FALSE)</f>
        <v>27.55</v>
      </c>
      <c r="D1255" s="264">
        <f>+VLOOKUP(A1255,'[2]X-SEMANA-AS-SC'!$G550:K937,4,FALSE)</f>
        <v>26.59</v>
      </c>
      <c r="E1255" s="264">
        <f>+VLOOKUP(A1255,'[2]X-SEMANA-AS-SC'!$G550:K937,5,FALSE)</f>
        <v>22.83</v>
      </c>
      <c r="F1255" s="257">
        <v>22.95</v>
      </c>
      <c r="G1255" s="257">
        <v>15.99</v>
      </c>
      <c r="H1255" s="257">
        <v>38.340000000000003</v>
      </c>
      <c r="I1255" s="257">
        <v>25.18</v>
      </c>
      <c r="J1255" s="257">
        <f>(90/(25/4.19))</f>
        <v>15.084000000000003</v>
      </c>
    </row>
    <row r="1256" spans="1:10">
      <c r="A1256" s="282" t="s">
        <v>102</v>
      </c>
      <c r="B1256" s="283">
        <f t="shared" ref="B1256:J1256" si="114">AVERAGE(B1251:B1255)</f>
        <v>27.927999999999997</v>
      </c>
      <c r="C1256" s="283">
        <f t="shared" si="114"/>
        <v>26.582000000000001</v>
      </c>
      <c r="D1256" s="283">
        <f t="shared" si="114"/>
        <v>25.619999999999997</v>
      </c>
      <c r="E1256" s="283">
        <f t="shared" si="114"/>
        <v>21.748000000000001</v>
      </c>
      <c r="F1256" s="283">
        <f t="shared" si="114"/>
        <v>22.95</v>
      </c>
      <c r="G1256" s="283">
        <f t="shared" si="114"/>
        <v>14.616</v>
      </c>
      <c r="H1256" s="283">
        <f t="shared" si="114"/>
        <v>38.238</v>
      </c>
      <c r="I1256" s="283">
        <f t="shared" si="114"/>
        <v>24.462</v>
      </c>
      <c r="J1256" s="283">
        <f t="shared" si="114"/>
        <v>15.133274400000001</v>
      </c>
    </row>
    <row r="1258" spans="1:10">
      <c r="A1258" s="1674" t="s">
        <v>1</v>
      </c>
      <c r="B1258" s="279" t="s">
        <v>139</v>
      </c>
      <c r="C1258" s="279" t="s">
        <v>140</v>
      </c>
      <c r="D1258" s="279" t="s">
        <v>5</v>
      </c>
      <c r="E1258" s="279" t="s">
        <v>6</v>
      </c>
      <c r="F1258" s="280" t="s">
        <v>57</v>
      </c>
      <c r="G1258" s="281" t="s">
        <v>154</v>
      </c>
      <c r="H1258" s="280" t="s">
        <v>149</v>
      </c>
      <c r="I1258" s="280" t="s">
        <v>145</v>
      </c>
      <c r="J1258" s="280" t="s">
        <v>61</v>
      </c>
    </row>
    <row r="1259" spans="1:10">
      <c r="A1259" s="1674"/>
      <c r="B1259" s="281" t="s">
        <v>146</v>
      </c>
      <c r="C1259" s="281" t="s">
        <v>146</v>
      </c>
      <c r="D1259" s="281" t="s">
        <v>146</v>
      </c>
      <c r="E1259" s="281" t="s">
        <v>146</v>
      </c>
      <c r="F1259" s="281" t="s">
        <v>146</v>
      </c>
      <c r="G1259" s="281" t="s">
        <v>146</v>
      </c>
      <c r="H1259" s="281" t="s">
        <v>146</v>
      </c>
      <c r="I1259" s="281" t="s">
        <v>146</v>
      </c>
      <c r="J1259" s="281" t="s">
        <v>146</v>
      </c>
    </row>
    <row r="1260" spans="1:10">
      <c r="A1260" s="114">
        <v>40063</v>
      </c>
      <c r="B1260" s="264">
        <f>+VLOOKUP(A1260,'[2]X-SEMANA-AS-SC'!G$341:K944,2,FALSE)</f>
        <v>28.31</v>
      </c>
      <c r="C1260" s="264">
        <f>+VLOOKUP(A1260,'[2]X-SEMANA-AS-SC'!$G557:K944,3,FALSE)</f>
        <v>26.99</v>
      </c>
      <c r="D1260" s="264">
        <f>+VLOOKUP(A1260,'[2]X-SEMANA-AS-SC'!$G557:K944,4,FALSE)</f>
        <v>26.05</v>
      </c>
      <c r="E1260" s="264">
        <f>+VLOOKUP(A1260,'[2]X-SEMANA-AS-SC'!$G557:K944,5,FALSE)</f>
        <v>22.26</v>
      </c>
      <c r="F1260" s="257">
        <v>22.95</v>
      </c>
      <c r="G1260" s="257">
        <v>16.21</v>
      </c>
      <c r="H1260" s="252">
        <v>38.340000000000003</v>
      </c>
      <c r="I1260" s="252">
        <v>25.18</v>
      </c>
      <c r="J1260" s="257">
        <f>(90/(25/4.19))</f>
        <v>15.084000000000003</v>
      </c>
    </row>
    <row r="1261" spans="1:10">
      <c r="A1261" s="114">
        <v>40070</v>
      </c>
      <c r="B1261" s="264">
        <f>+VLOOKUP(A1261,'[2]X-SEMANA-AS-SC'!G$341:K945,2,FALSE)</f>
        <v>28.2</v>
      </c>
      <c r="C1261" s="264">
        <f>+VLOOKUP(A1261,'[2]X-SEMANA-AS-SC'!$G558:K945,3,FALSE)</f>
        <v>26.84</v>
      </c>
      <c r="D1261" s="264">
        <f>+VLOOKUP(A1261,'[2]X-SEMANA-AS-SC'!$G558:K945,4,FALSE)</f>
        <v>25.89</v>
      </c>
      <c r="E1261" s="264">
        <f>+VLOOKUP(A1261,'[2]X-SEMANA-AS-SC'!$G558:K945,5,FALSE)</f>
        <v>21.95</v>
      </c>
      <c r="F1261" s="257">
        <v>22.95</v>
      </c>
      <c r="G1261" s="257">
        <v>16.13</v>
      </c>
      <c r="H1261" s="252">
        <v>38.4</v>
      </c>
      <c r="I1261" s="252">
        <v>24.89</v>
      </c>
      <c r="J1261" s="257">
        <f>(90/(25/4.19))</f>
        <v>15.084000000000003</v>
      </c>
    </row>
    <row r="1262" spans="1:10">
      <c r="A1262" s="114">
        <v>40077</v>
      </c>
      <c r="B1262" s="264">
        <f>+VLOOKUP(A1262,'[2]X-SEMANA-AS-SC'!G$341:K946,2,FALSE)</f>
        <v>28.09</v>
      </c>
      <c r="C1262" s="264">
        <f>+VLOOKUP(A1262,'[2]X-SEMANA-AS-SC'!$G559:K946,3,FALSE)</f>
        <v>26.76</v>
      </c>
      <c r="D1262" s="264">
        <f>+VLOOKUP(A1262,'[2]X-SEMANA-AS-SC'!$G559:K946,4,FALSE)</f>
        <v>25.81</v>
      </c>
      <c r="E1262" s="264">
        <f>+VLOOKUP(A1262,'[2]X-SEMANA-AS-SC'!$G559:K946,5,FALSE)</f>
        <v>21.82</v>
      </c>
      <c r="F1262" s="257">
        <v>22.95</v>
      </c>
      <c r="G1262" s="257">
        <v>16.29</v>
      </c>
      <c r="H1262" s="257">
        <v>39.69</v>
      </c>
      <c r="I1262" s="257">
        <v>23.93</v>
      </c>
      <c r="J1262" s="257">
        <f>(90/(25/4.19))</f>
        <v>15.084000000000003</v>
      </c>
    </row>
    <row r="1263" spans="1:10">
      <c r="A1263" s="114">
        <v>40084</v>
      </c>
      <c r="B1263" s="264">
        <f>+VLOOKUP(A1263,'[2]X-SEMANA-AS-SC'!G$341:K944,2,FALSE)</f>
        <v>27.41</v>
      </c>
      <c r="C1263" s="264">
        <f>+VLOOKUP(A1263,'[2]X-SEMANA-AS-SC'!$G557:K944,3,FALSE)</f>
        <v>26.25</v>
      </c>
      <c r="D1263" s="264">
        <f>+VLOOKUP(A1263,'[2]X-SEMANA-AS-SC'!$G557:K944,4,FALSE)</f>
        <v>25.3</v>
      </c>
      <c r="E1263" s="264">
        <f>+VLOOKUP(A1263,'[2]X-SEMANA-AS-SC'!$G557:K944,5,FALSE)</f>
        <v>21.39</v>
      </c>
      <c r="F1263" s="257">
        <v>22.95</v>
      </c>
      <c r="G1263" s="257">
        <v>16.25</v>
      </c>
      <c r="H1263" s="257">
        <v>39.880000000000003</v>
      </c>
      <c r="I1263" s="257">
        <v>24.05</v>
      </c>
      <c r="J1263" s="257">
        <f>(90/(25/4.19))</f>
        <v>15.084000000000003</v>
      </c>
    </row>
    <row r="1264" spans="1:10">
      <c r="A1264" s="282" t="s">
        <v>103</v>
      </c>
      <c r="B1264" s="283">
        <f t="shared" ref="B1264:J1264" si="115">AVERAGE(B1260:B1263)</f>
        <v>28.002499999999998</v>
      </c>
      <c r="C1264" s="283">
        <f t="shared" si="115"/>
        <v>26.71</v>
      </c>
      <c r="D1264" s="283">
        <f t="shared" si="115"/>
        <v>25.762499999999999</v>
      </c>
      <c r="E1264" s="283">
        <f t="shared" si="115"/>
        <v>21.855</v>
      </c>
      <c r="F1264" s="283">
        <f t="shared" si="115"/>
        <v>22.95</v>
      </c>
      <c r="G1264" s="283">
        <f t="shared" si="115"/>
        <v>16.22</v>
      </c>
      <c r="H1264" s="283">
        <f t="shared" si="115"/>
        <v>39.077500000000001</v>
      </c>
      <c r="I1264" s="283">
        <f t="shared" si="115"/>
        <v>24.512499999999999</v>
      </c>
      <c r="J1264" s="283">
        <f t="shared" si="115"/>
        <v>15.084000000000003</v>
      </c>
    </row>
    <row r="1266" spans="1:10">
      <c r="A1266" s="1674" t="s">
        <v>1</v>
      </c>
      <c r="B1266" s="279" t="s">
        <v>139</v>
      </c>
      <c r="C1266" s="279" t="s">
        <v>140</v>
      </c>
      <c r="D1266" s="279" t="s">
        <v>5</v>
      </c>
      <c r="E1266" s="279" t="s">
        <v>6</v>
      </c>
      <c r="F1266" s="280" t="s">
        <v>57</v>
      </c>
      <c r="G1266" s="281" t="s">
        <v>154</v>
      </c>
      <c r="H1266" s="280" t="s">
        <v>149</v>
      </c>
      <c r="I1266" s="280" t="s">
        <v>145</v>
      </c>
      <c r="J1266" s="280" t="s">
        <v>61</v>
      </c>
    </row>
    <row r="1267" spans="1:10">
      <c r="A1267" s="1674"/>
      <c r="B1267" s="281" t="s">
        <v>146</v>
      </c>
      <c r="C1267" s="281" t="s">
        <v>146</v>
      </c>
      <c r="D1267" s="281" t="s">
        <v>146</v>
      </c>
      <c r="E1267" s="281" t="s">
        <v>146</v>
      </c>
      <c r="F1267" s="281" t="s">
        <v>146</v>
      </c>
      <c r="G1267" s="281" t="s">
        <v>146</v>
      </c>
      <c r="H1267" s="281" t="s">
        <v>146</v>
      </c>
      <c r="I1267" s="281" t="s">
        <v>146</v>
      </c>
      <c r="J1267" s="281" t="s">
        <v>146</v>
      </c>
    </row>
    <row r="1268" spans="1:10">
      <c r="A1268" s="114">
        <v>40091</v>
      </c>
      <c r="B1268" s="264">
        <f>+VLOOKUP(A1268,'[2]X-SEMANA-AS-SC'!G$341:K952,2,FALSE)</f>
        <v>27.29</v>
      </c>
      <c r="C1268" s="264">
        <f>+VLOOKUP(A1268,'[2]X-SEMANA-AS-SC'!$G565:K952,3,FALSE)</f>
        <v>25.98</v>
      </c>
      <c r="D1268" s="264">
        <f>+VLOOKUP(A1268,'[2]X-SEMANA-AS-SC'!$G565:K952,4,FALSE)</f>
        <v>25.07</v>
      </c>
      <c r="E1268" s="264">
        <f>+VLOOKUP(A1268,'[2]X-SEMANA-AS-SC'!$G565:K952,5,FALSE)</f>
        <v>21.2</v>
      </c>
      <c r="F1268" s="257">
        <v>22.95</v>
      </c>
      <c r="G1268" s="257">
        <v>16.18</v>
      </c>
      <c r="H1268" s="252">
        <v>39.880000000000003</v>
      </c>
      <c r="I1268" s="252">
        <v>24.3</v>
      </c>
      <c r="J1268" s="257">
        <f>(90/(25/4.19))</f>
        <v>15.084000000000003</v>
      </c>
    </row>
    <row r="1269" spans="1:10">
      <c r="A1269" s="114">
        <v>40098</v>
      </c>
      <c r="B1269" s="264">
        <f>+VLOOKUP(A1269,'[2]X-SEMANA-AS-SC'!G$341:K953,2,FALSE)</f>
        <v>27.22</v>
      </c>
      <c r="C1269" s="264">
        <f>+VLOOKUP(A1269,'[2]X-SEMANA-AS-SC'!$G566:K953,3,FALSE)</f>
        <v>25.88</v>
      </c>
      <c r="D1269" s="264">
        <f>+VLOOKUP(A1269,'[2]X-SEMANA-AS-SC'!$G566:K953,4,FALSE)</f>
        <v>24.97</v>
      </c>
      <c r="E1269" s="264">
        <f>+VLOOKUP(A1269,'[2]X-SEMANA-AS-SC'!$G566:K953,5,FALSE)</f>
        <v>21.13</v>
      </c>
      <c r="F1269" s="257">
        <v>22.95</v>
      </c>
      <c r="G1269" s="257">
        <v>16.45</v>
      </c>
      <c r="H1269" s="252">
        <v>39.96</v>
      </c>
      <c r="I1269" s="252">
        <v>24.34</v>
      </c>
      <c r="J1269" s="257">
        <f>(90/(25/4.19))</f>
        <v>15.084000000000003</v>
      </c>
    </row>
    <row r="1270" spans="1:10">
      <c r="A1270" s="114">
        <v>40105</v>
      </c>
      <c r="B1270" s="264">
        <f>+VLOOKUP(A1270,'[2]X-SEMANA-AS-SC'!G$341:K954,2,FALSE)</f>
        <v>27.22</v>
      </c>
      <c r="C1270" s="264">
        <f>+VLOOKUP(A1270,'[2]X-SEMANA-AS-SC'!$G567:K954,3,FALSE)</f>
        <v>25.82</v>
      </c>
      <c r="D1270" s="264">
        <f>+VLOOKUP(A1270,'[2]X-SEMANA-AS-SC'!$G567:K954,4,FALSE)</f>
        <v>24.91</v>
      </c>
      <c r="E1270" s="264">
        <f>+VLOOKUP(A1270,'[2]X-SEMANA-AS-SC'!$G567:K954,5,FALSE)</f>
        <v>21.07</v>
      </c>
      <c r="F1270" s="257">
        <v>22.95</v>
      </c>
      <c r="G1270" s="257">
        <v>16.45</v>
      </c>
      <c r="H1270" s="257">
        <v>39.979999999999997</v>
      </c>
      <c r="I1270" s="257">
        <v>25.14</v>
      </c>
      <c r="J1270" s="257">
        <f>(90/(25/4.19))</f>
        <v>15.084000000000003</v>
      </c>
    </row>
    <row r="1271" spans="1:10">
      <c r="A1271" s="114">
        <v>40112</v>
      </c>
      <c r="B1271" s="264">
        <f>+VLOOKUP(A1271,'[2]X-SEMANA-AS-SC'!G$341:K952,2,FALSE)</f>
        <v>27.7</v>
      </c>
      <c r="C1271" s="264">
        <f>+VLOOKUP(A1271,'[2]X-SEMANA-AS-SC'!$G565:K952,3,FALSE)</f>
        <v>26.4</v>
      </c>
      <c r="D1271" s="264">
        <f>+VLOOKUP(A1271,'[2]X-SEMANA-AS-SC'!$G565:K952,4,FALSE)</f>
        <v>25.4</v>
      </c>
      <c r="E1271" s="264">
        <f>+VLOOKUP(A1271,'[2]X-SEMANA-AS-SC'!$G565:K952,5,FALSE)</f>
        <v>22.13</v>
      </c>
      <c r="F1271" s="257">
        <v>23.5</v>
      </c>
      <c r="G1271" s="257">
        <v>17.63</v>
      </c>
      <c r="H1271" s="257">
        <v>39.89</v>
      </c>
      <c r="I1271" s="257">
        <v>25.08</v>
      </c>
      <c r="J1271" s="257">
        <f>(110/(25/4.19))</f>
        <v>18.436000000000003</v>
      </c>
    </row>
    <row r="1272" spans="1:10">
      <c r="A1272" s="282" t="s">
        <v>104</v>
      </c>
      <c r="B1272" s="283">
        <f t="shared" ref="B1272:J1272" si="116">AVERAGE(B1268:B1271)</f>
        <v>27.357499999999998</v>
      </c>
      <c r="C1272" s="283">
        <f t="shared" si="116"/>
        <v>26.020000000000003</v>
      </c>
      <c r="D1272" s="283">
        <f t="shared" si="116"/>
        <v>25.087499999999999</v>
      </c>
      <c r="E1272" s="283">
        <f t="shared" si="116"/>
        <v>21.3825</v>
      </c>
      <c r="F1272" s="283">
        <f t="shared" si="116"/>
        <v>23.087499999999999</v>
      </c>
      <c r="G1272" s="283">
        <f t="shared" si="116"/>
        <v>16.677499999999998</v>
      </c>
      <c r="H1272" s="283">
        <f t="shared" si="116"/>
        <v>39.927499999999995</v>
      </c>
      <c r="I1272" s="283">
        <f t="shared" si="116"/>
        <v>24.715</v>
      </c>
      <c r="J1272" s="283">
        <f t="shared" si="116"/>
        <v>15.922000000000004</v>
      </c>
    </row>
    <row r="1274" spans="1:10">
      <c r="A1274" s="1674" t="s">
        <v>1</v>
      </c>
      <c r="B1274" s="279" t="s">
        <v>139</v>
      </c>
      <c r="C1274" s="279" t="s">
        <v>140</v>
      </c>
      <c r="D1274" s="279" t="s">
        <v>5</v>
      </c>
      <c r="E1274" s="279" t="s">
        <v>6</v>
      </c>
      <c r="F1274" s="280" t="s">
        <v>57</v>
      </c>
      <c r="G1274" s="281" t="s">
        <v>154</v>
      </c>
      <c r="H1274" s="280" t="s">
        <v>149</v>
      </c>
      <c r="I1274" s="280" t="s">
        <v>145</v>
      </c>
      <c r="J1274" s="280" t="s">
        <v>61</v>
      </c>
    </row>
    <row r="1275" spans="1:10">
      <c r="A1275" s="1674"/>
      <c r="B1275" s="281" t="s">
        <v>146</v>
      </c>
      <c r="C1275" s="281" t="s">
        <v>146</v>
      </c>
      <c r="D1275" s="281" t="s">
        <v>146</v>
      </c>
      <c r="E1275" s="281" t="s">
        <v>146</v>
      </c>
      <c r="F1275" s="281" t="s">
        <v>146</v>
      </c>
      <c r="G1275" s="281" t="s">
        <v>146</v>
      </c>
      <c r="H1275" s="281" t="s">
        <v>146</v>
      </c>
      <c r="I1275" s="281" t="s">
        <v>146</v>
      </c>
      <c r="J1275" s="281" t="s">
        <v>146</v>
      </c>
    </row>
    <row r="1276" spans="1:10">
      <c r="A1276" s="114">
        <v>40120</v>
      </c>
      <c r="B1276" s="264">
        <f>+VLOOKUP(A1276,'[2]X-SEMANA-AS-SC'!G$341:K960,2,FALSE)</f>
        <v>28.56</v>
      </c>
      <c r="C1276" s="264">
        <f>+VLOOKUP(A1276,'[2]X-SEMANA-AS-SC'!$G573:K960,3,FALSE)</f>
        <v>27.24</v>
      </c>
      <c r="D1276" s="264">
        <f>+VLOOKUP(A1276,'[2]X-SEMANA-AS-SC'!$G573:K960,4,FALSE)</f>
        <v>26.24</v>
      </c>
      <c r="E1276" s="264">
        <f>+VLOOKUP(A1276,'[2]X-SEMANA-AS-SC'!$G573:K960,5,FALSE)</f>
        <v>23.44</v>
      </c>
      <c r="F1276" s="257">
        <v>23.5</v>
      </c>
      <c r="G1276" s="257">
        <v>17.670000000000002</v>
      </c>
      <c r="H1276" s="252">
        <v>39.979999999999997</v>
      </c>
      <c r="I1276" s="252">
        <v>25.14</v>
      </c>
      <c r="J1276" s="257">
        <f>(110/(25/4.19))</f>
        <v>18.436000000000003</v>
      </c>
    </row>
    <row r="1277" spans="1:10">
      <c r="A1277" s="114">
        <v>40126</v>
      </c>
      <c r="B1277" s="264">
        <f>+VLOOKUP(A1277,'[2]X-SEMANA-AS-SC'!G$341:K961,2,FALSE)</f>
        <v>29.58</v>
      </c>
      <c r="C1277" s="264">
        <f>+VLOOKUP(A1277,'[2]X-SEMANA-AS-SC'!$G574:K961,3,FALSE)</f>
        <v>27.67</v>
      </c>
      <c r="D1277" s="264">
        <f>+VLOOKUP(A1277,'[2]X-SEMANA-AS-SC'!$G574:K961,4,FALSE)</f>
        <v>26.71</v>
      </c>
      <c r="E1277" s="264">
        <f>+VLOOKUP(A1277,'[2]X-SEMANA-AS-SC'!$G574:K961,5,FALSE)</f>
        <v>23.5</v>
      </c>
      <c r="F1277" s="257">
        <v>23.5</v>
      </c>
      <c r="G1277" s="257">
        <v>17.7</v>
      </c>
      <c r="H1277" s="252">
        <v>39.590000000000003</v>
      </c>
      <c r="I1277" s="252">
        <v>26.38</v>
      </c>
      <c r="J1277" s="257">
        <f>(110/(25/4.19))</f>
        <v>18.436000000000003</v>
      </c>
    </row>
    <row r="1278" spans="1:10">
      <c r="A1278" s="114">
        <v>40133</v>
      </c>
      <c r="B1278" s="264">
        <f>+VLOOKUP(A1278,'[2]X-SEMANA-AS-SC'!G$341:K962,2,FALSE)</f>
        <v>29.55</v>
      </c>
      <c r="C1278" s="264">
        <f>+VLOOKUP(A1278,'[2]X-SEMANA-AS-SC'!$G575:K962,3,FALSE)</f>
        <v>28.15</v>
      </c>
      <c r="D1278" s="264">
        <f>+VLOOKUP(A1278,'[2]X-SEMANA-AS-SC'!$G575:K962,4,FALSE)</f>
        <v>27.18</v>
      </c>
      <c r="E1278" s="264">
        <f>+VLOOKUP(A1278,'[2]X-SEMANA-AS-SC'!$G575:K962,5,FALSE)</f>
        <v>23.54</v>
      </c>
      <c r="F1278" s="257">
        <v>23.5</v>
      </c>
      <c r="G1278" s="257">
        <v>17.73</v>
      </c>
      <c r="H1278" s="257">
        <v>40.98</v>
      </c>
      <c r="I1278" s="257">
        <v>26.05</v>
      </c>
      <c r="J1278" s="257">
        <f>(110/(25/4.19))</f>
        <v>18.436000000000003</v>
      </c>
    </row>
    <row r="1279" spans="1:10">
      <c r="A1279" s="114">
        <v>40140</v>
      </c>
      <c r="B1279" s="264">
        <f>+VLOOKUP(A1279,'[2]X-SEMANA-AS-SC'!G$341:K959,2,FALSE)</f>
        <v>29.44</v>
      </c>
      <c r="C1279" s="264">
        <f>+VLOOKUP(A1279,'[2]X-SEMANA-AS-SC'!$G572:K959,3,FALSE)</f>
        <v>28.06</v>
      </c>
      <c r="D1279" s="264">
        <f>+VLOOKUP(A1279,'[2]X-SEMANA-AS-SC'!$G572:K959,4,FALSE)</f>
        <v>27.09</v>
      </c>
      <c r="E1279" s="264">
        <f>+VLOOKUP(A1279,'[2]X-SEMANA-AS-SC'!$G572:K959,5,FALSE)</f>
        <v>23.52</v>
      </c>
      <c r="F1279" s="257">
        <v>23.5</v>
      </c>
      <c r="G1279" s="257">
        <v>17.41</v>
      </c>
      <c r="H1279" s="257">
        <v>40.98</v>
      </c>
      <c r="I1279" s="257">
        <v>26.05</v>
      </c>
      <c r="J1279" s="257">
        <f>(110/(25/4.19))</f>
        <v>18.436000000000003</v>
      </c>
    </row>
    <row r="1280" spans="1:10">
      <c r="A1280" s="114">
        <v>40147</v>
      </c>
      <c r="B1280" s="264">
        <f>+VLOOKUP(A1280,'[2]X-SEMANA-AS-SC'!G$341:K960,2,FALSE)</f>
        <v>28.74</v>
      </c>
      <c r="C1280" s="264">
        <f>+VLOOKUP(A1280,'[2]X-SEMANA-AS-SC'!$G573:K960,3,FALSE)</f>
        <v>27.54</v>
      </c>
      <c r="D1280" s="264">
        <f>+VLOOKUP(A1280,'[2]X-SEMANA-AS-SC'!$G573:K960,4,FALSE)</f>
        <v>26.57</v>
      </c>
      <c r="E1280" s="264">
        <f>+VLOOKUP(A1280,'[2]X-SEMANA-AS-SC'!$G573:K960,5,FALSE)</f>
        <v>23.5</v>
      </c>
      <c r="F1280" s="257">
        <v>23.5</v>
      </c>
      <c r="G1280" s="257">
        <v>17.579999999999998</v>
      </c>
      <c r="H1280" s="257">
        <v>40.98</v>
      </c>
      <c r="I1280" s="257">
        <v>26.06</v>
      </c>
      <c r="J1280" s="257">
        <f>(110/(25/4.19))</f>
        <v>18.436000000000003</v>
      </c>
    </row>
    <row r="1281" spans="1:10">
      <c r="A1281" s="282" t="s">
        <v>105</v>
      </c>
      <c r="B1281" s="283">
        <f t="shared" ref="B1281:J1281" si="117">AVERAGE(B1276:B1280)</f>
        <v>29.173999999999999</v>
      </c>
      <c r="C1281" s="283">
        <f t="shared" si="117"/>
        <v>27.731999999999999</v>
      </c>
      <c r="D1281" s="283">
        <f t="shared" si="117"/>
        <v>26.757999999999999</v>
      </c>
      <c r="E1281" s="283">
        <f t="shared" si="117"/>
        <v>23.499999999999996</v>
      </c>
      <c r="F1281" s="283">
        <f t="shared" si="117"/>
        <v>23.5</v>
      </c>
      <c r="G1281" s="283">
        <f t="shared" si="117"/>
        <v>17.618000000000002</v>
      </c>
      <c r="H1281" s="283">
        <f t="shared" si="117"/>
        <v>40.501999999999995</v>
      </c>
      <c r="I1281" s="283">
        <f t="shared" si="117"/>
        <v>25.935999999999996</v>
      </c>
      <c r="J1281" s="283">
        <f t="shared" si="117"/>
        <v>18.436000000000003</v>
      </c>
    </row>
    <row r="1283" spans="1:10">
      <c r="A1283" s="1674" t="s">
        <v>1</v>
      </c>
      <c r="B1283" s="279" t="s">
        <v>139</v>
      </c>
      <c r="C1283" s="279" t="s">
        <v>140</v>
      </c>
      <c r="D1283" s="279" t="s">
        <v>5</v>
      </c>
      <c r="E1283" s="279" t="s">
        <v>6</v>
      </c>
      <c r="F1283" s="280" t="s">
        <v>57</v>
      </c>
      <c r="G1283" s="281" t="s">
        <v>154</v>
      </c>
      <c r="H1283" s="280" t="s">
        <v>149</v>
      </c>
      <c r="I1283" s="280" t="s">
        <v>145</v>
      </c>
      <c r="J1283" s="280" t="s">
        <v>61</v>
      </c>
    </row>
    <row r="1284" spans="1:10">
      <c r="A1284" s="1674"/>
      <c r="B1284" s="281" t="s">
        <v>146</v>
      </c>
      <c r="C1284" s="281" t="s">
        <v>146</v>
      </c>
      <c r="D1284" s="281" t="s">
        <v>146</v>
      </c>
      <c r="E1284" s="281" t="s">
        <v>146</v>
      </c>
      <c r="F1284" s="281" t="s">
        <v>146</v>
      </c>
      <c r="G1284" s="281" t="s">
        <v>146</v>
      </c>
      <c r="H1284" s="281" t="s">
        <v>146</v>
      </c>
      <c r="I1284" s="281" t="s">
        <v>146</v>
      </c>
      <c r="J1284" s="281" t="s">
        <v>146</v>
      </c>
    </row>
    <row r="1285" spans="1:10">
      <c r="A1285" s="114">
        <v>40154</v>
      </c>
      <c r="B1285" s="264">
        <f>+VLOOKUP(A1285,'[2]X-SEMANA-AS-SC'!G$341:K969,2,FALSE)</f>
        <v>28.72</v>
      </c>
      <c r="C1285" s="264">
        <f>+VLOOKUP(A1285,'[2]X-SEMANA-AS-SC'!$G582:K969,3,FALSE)</f>
        <v>27.46</v>
      </c>
      <c r="D1285" s="264">
        <f>+VLOOKUP(A1285,'[2]X-SEMANA-AS-SC'!$G582:K969,4,FALSE)</f>
        <v>26.5</v>
      </c>
      <c r="E1285" s="264">
        <f>+VLOOKUP(A1285,'[2]X-SEMANA-AS-SC'!$G582:K969,5,FALSE)</f>
        <v>23.52</v>
      </c>
      <c r="F1285" s="257">
        <v>23.5</v>
      </c>
      <c r="G1285" s="257">
        <v>17.78</v>
      </c>
      <c r="H1285" s="252">
        <v>41.03</v>
      </c>
      <c r="I1285" s="252">
        <v>26.11</v>
      </c>
      <c r="J1285" s="257">
        <f>(110/(25/4.19))</f>
        <v>18.436000000000003</v>
      </c>
    </row>
    <row r="1286" spans="1:10">
      <c r="A1286" s="114">
        <v>40161</v>
      </c>
      <c r="B1286" s="264">
        <f>+VLOOKUP(A1286,'[2]X-SEMANA-AS-SC'!G$341:K970,2,FALSE)</f>
        <v>28.7</v>
      </c>
      <c r="C1286" s="264">
        <f>+VLOOKUP(A1286,'[2]X-SEMANA-AS-SC'!$G583:K970,3,FALSE)</f>
        <v>27.42</v>
      </c>
      <c r="D1286" s="264">
        <f>+VLOOKUP(A1286,'[2]X-SEMANA-AS-SC'!$G583:K970,4,FALSE)</f>
        <v>26.46</v>
      </c>
      <c r="E1286" s="264">
        <f>+VLOOKUP(A1286,'[2]X-SEMANA-AS-SC'!$G583:K970,5,FALSE)</f>
        <v>23.49</v>
      </c>
      <c r="F1286" s="257">
        <v>23.5</v>
      </c>
      <c r="G1286" s="257">
        <v>17.16</v>
      </c>
      <c r="H1286" s="252">
        <v>41.13</v>
      </c>
      <c r="I1286" s="252">
        <v>25.96</v>
      </c>
      <c r="J1286" s="257">
        <f>(110/(25/4.19))</f>
        <v>18.436000000000003</v>
      </c>
    </row>
    <row r="1287" spans="1:10">
      <c r="A1287" s="114">
        <v>40168</v>
      </c>
      <c r="B1287" s="264">
        <f>+VLOOKUP(A1287,'[2]X-SEMANA-AS-SC'!G$341:K971,2,FALSE)</f>
        <v>28.7</v>
      </c>
      <c r="C1287" s="264">
        <f>+VLOOKUP(A1287,'[2]X-SEMANA-AS-SC'!$G584:K971,3,FALSE)</f>
        <v>27.39</v>
      </c>
      <c r="D1287" s="264">
        <f>+VLOOKUP(A1287,'[2]X-SEMANA-AS-SC'!$G584:K971,4,FALSE)</f>
        <v>26.42</v>
      </c>
      <c r="E1287" s="264">
        <f>+VLOOKUP(A1287,'[2]X-SEMANA-AS-SC'!$G584:K971,5,FALSE)</f>
        <v>23.43</v>
      </c>
      <c r="F1287" s="257">
        <v>23.5</v>
      </c>
      <c r="G1287" s="257">
        <v>18.12</v>
      </c>
      <c r="H1287" s="257">
        <v>41.13</v>
      </c>
      <c r="I1287" s="257">
        <v>25.96</v>
      </c>
      <c r="J1287" s="257">
        <f>(110/(25/4.19))</f>
        <v>18.436000000000003</v>
      </c>
    </row>
    <row r="1288" spans="1:10">
      <c r="A1288" s="114">
        <v>40175</v>
      </c>
      <c r="B1288" s="264">
        <f>+VLOOKUP(A1288,'[2]X-SEMANA-AS-SC'!G$341:K969,2,FALSE)</f>
        <v>28.69</v>
      </c>
      <c r="C1288" s="264">
        <f>+VLOOKUP(A1288,'[2]X-SEMANA-AS-SC'!$G582:K969,3,FALSE)</f>
        <v>27.4</v>
      </c>
      <c r="D1288" s="264">
        <f>+VLOOKUP(A1288,'[2]X-SEMANA-AS-SC'!$G582:K969,4,FALSE)</f>
        <v>26.43</v>
      </c>
      <c r="E1288" s="264">
        <f>+VLOOKUP(A1288,'[2]X-SEMANA-AS-SC'!$G582:K969,5,FALSE)</f>
        <v>23.44</v>
      </c>
      <c r="F1288" s="257">
        <v>23.5</v>
      </c>
      <c r="G1288" s="257">
        <v>18.39</v>
      </c>
      <c r="H1288" s="257">
        <v>41.13</v>
      </c>
      <c r="I1288" s="257">
        <v>25.96</v>
      </c>
      <c r="J1288" s="257">
        <f>(110/(25/4.19))</f>
        <v>18.436000000000003</v>
      </c>
    </row>
    <row r="1289" spans="1:10">
      <c r="A1289" s="282" t="s">
        <v>106</v>
      </c>
      <c r="B1289" s="283">
        <f t="shared" ref="B1289:J1289" si="118">AVERAGE(B1285:B1288)</f>
        <v>28.702500000000001</v>
      </c>
      <c r="C1289" s="283">
        <f t="shared" si="118"/>
        <v>27.417500000000004</v>
      </c>
      <c r="D1289" s="283">
        <f t="shared" si="118"/>
        <v>26.452500000000001</v>
      </c>
      <c r="E1289" s="283">
        <f t="shared" si="118"/>
        <v>23.47</v>
      </c>
      <c r="F1289" s="283">
        <f t="shared" si="118"/>
        <v>23.5</v>
      </c>
      <c r="G1289" s="283">
        <f t="shared" si="118"/>
        <v>17.862500000000001</v>
      </c>
      <c r="H1289" s="283">
        <f t="shared" si="118"/>
        <v>41.104999999999997</v>
      </c>
      <c r="I1289" s="283">
        <f t="shared" si="118"/>
        <v>25.997500000000002</v>
      </c>
      <c r="J1289" s="283">
        <f t="shared" si="118"/>
        <v>18.436000000000003</v>
      </c>
    </row>
    <row r="1291" spans="1:10">
      <c r="A1291" s="1680" t="s">
        <v>1</v>
      </c>
      <c r="B1291" s="284" t="s">
        <v>139</v>
      </c>
      <c r="C1291" s="284" t="s">
        <v>140</v>
      </c>
      <c r="D1291" s="284" t="s">
        <v>5</v>
      </c>
      <c r="E1291" s="284" t="s">
        <v>6</v>
      </c>
      <c r="F1291" s="285" t="s">
        <v>57</v>
      </c>
      <c r="G1291" s="286" t="s">
        <v>154</v>
      </c>
      <c r="H1291" s="285" t="s">
        <v>149</v>
      </c>
      <c r="I1291" s="286" t="s">
        <v>155</v>
      </c>
      <c r="J1291" s="285" t="s">
        <v>61</v>
      </c>
    </row>
    <row r="1292" spans="1:10">
      <c r="A1292" s="1680"/>
      <c r="B1292" s="286" t="s">
        <v>146</v>
      </c>
      <c r="C1292" s="286" t="s">
        <v>146</v>
      </c>
      <c r="D1292" s="286" t="s">
        <v>146</v>
      </c>
      <c r="E1292" s="286" t="s">
        <v>146</v>
      </c>
      <c r="F1292" s="286" t="s">
        <v>146</v>
      </c>
      <c r="G1292" s="286" t="s">
        <v>146</v>
      </c>
      <c r="H1292" s="286" t="s">
        <v>146</v>
      </c>
      <c r="I1292" s="286" t="s">
        <v>146</v>
      </c>
      <c r="J1292" s="286" t="s">
        <v>146</v>
      </c>
    </row>
    <row r="1293" spans="1:10">
      <c r="A1293" s="114">
        <v>40182</v>
      </c>
      <c r="B1293" s="264">
        <f>+VLOOKUP(A1293,'[2]X-SEMANA-AS-SC'!G$341:K977,2,FALSE)</f>
        <v>28.67</v>
      </c>
      <c r="C1293" s="264">
        <f>+VLOOKUP(A1293,'[2]X-SEMANA-AS-SC'!$G590:K977,3,FALSE)</f>
        <v>27.38</v>
      </c>
      <c r="D1293" s="264">
        <f>+VLOOKUP(A1293,'[2]X-SEMANA-AS-SC'!$G590:K977,4,FALSE)</f>
        <v>26.44</v>
      </c>
      <c r="E1293" s="264">
        <f>+VLOOKUP(A1293,'[2]X-SEMANA-AS-SC'!$G590:K977,5,FALSE)</f>
        <v>23.42</v>
      </c>
      <c r="F1293" s="257">
        <v>24.5</v>
      </c>
      <c r="G1293" s="257">
        <v>17.88</v>
      </c>
      <c r="H1293" s="252">
        <v>41.32</v>
      </c>
      <c r="I1293" s="252">
        <v>26.08</v>
      </c>
      <c r="J1293" s="257">
        <f>(110/(25/4.19))</f>
        <v>18.436000000000003</v>
      </c>
    </row>
    <row r="1294" spans="1:10">
      <c r="A1294" s="114">
        <v>40189</v>
      </c>
      <c r="B1294" s="264">
        <f>+VLOOKUP(A1294,'[2]X-SEMANA-AS-SC'!G$341:K978,2,FALSE)</f>
        <v>29.35</v>
      </c>
      <c r="C1294" s="264">
        <f>+VLOOKUP(A1294,'[2]X-SEMANA-AS-SC'!$G591:K978,3,FALSE)</f>
        <v>28.16</v>
      </c>
      <c r="D1294" s="264">
        <f>+VLOOKUP(A1294,'[2]X-SEMANA-AS-SC'!$G591:K978,4,FALSE)</f>
        <v>27.23</v>
      </c>
      <c r="E1294" s="264">
        <f>+VLOOKUP(A1294,'[2]X-SEMANA-AS-SC'!$G591:K978,5,FALSE)</f>
        <v>24.15</v>
      </c>
      <c r="F1294" s="257">
        <v>25</v>
      </c>
      <c r="G1294" s="257">
        <v>18.64</v>
      </c>
      <c r="H1294" s="252">
        <v>40.36</v>
      </c>
      <c r="I1294" s="252">
        <v>27.5</v>
      </c>
      <c r="J1294" s="257">
        <f>(110/(25/4.19))</f>
        <v>18.436000000000003</v>
      </c>
    </row>
    <row r="1295" spans="1:10">
      <c r="A1295" s="114">
        <v>40196</v>
      </c>
      <c r="B1295" s="264">
        <f>+VLOOKUP(A1295,'[2]X-SEMANA-AS-SC'!G$341:K979,2,FALSE)</f>
        <v>30.24</v>
      </c>
      <c r="C1295" s="264">
        <f>+VLOOKUP(A1295,'[2]X-SEMANA-AS-SC'!$G592:K979,3,FALSE)</f>
        <v>28.96</v>
      </c>
      <c r="D1295" s="264">
        <f>+VLOOKUP(A1295,'[2]X-SEMANA-AS-SC'!$G592:K979,4,FALSE)</f>
        <v>28.05</v>
      </c>
      <c r="E1295" s="264">
        <f>+VLOOKUP(A1295,'[2]X-SEMANA-AS-SC'!$G592:K979,5,FALSE)</f>
        <v>25.35</v>
      </c>
      <c r="F1295" s="257">
        <v>25</v>
      </c>
      <c r="G1295" s="257">
        <v>18.5</v>
      </c>
      <c r="H1295" s="257">
        <v>39.979999999999997</v>
      </c>
      <c r="I1295" s="257">
        <v>27.24</v>
      </c>
      <c r="J1295" s="257">
        <f>(110/(25/4.19))</f>
        <v>18.436000000000003</v>
      </c>
    </row>
    <row r="1296" spans="1:10">
      <c r="A1296" s="114">
        <v>40203</v>
      </c>
      <c r="B1296" s="264">
        <f>+VLOOKUP(A1296,'[2]X-SEMANA-AS-SC'!G$341:K977,2,FALSE)</f>
        <v>30.2</v>
      </c>
      <c r="C1296" s="264">
        <f>+VLOOKUP(A1296,'[2]X-SEMANA-AS-SC'!$G590:K977,3,FALSE)</f>
        <v>28.92</v>
      </c>
      <c r="D1296" s="264">
        <f>+VLOOKUP(A1296,'[2]X-SEMANA-AS-SC'!$G590:K977,4,FALSE)</f>
        <v>27.98</v>
      </c>
      <c r="E1296" s="264">
        <f>+VLOOKUP(A1296,'[2]X-SEMANA-AS-SC'!$G590:K977,5,FALSE)</f>
        <v>25.04</v>
      </c>
      <c r="F1296" s="257">
        <v>26</v>
      </c>
      <c r="G1296" s="257">
        <v>18.190000000000001</v>
      </c>
      <c r="H1296" s="257">
        <v>39.979999999999997</v>
      </c>
      <c r="I1296" s="257">
        <v>27.24</v>
      </c>
      <c r="J1296" s="257">
        <f>(110/(25/4.19))</f>
        <v>18.436000000000003</v>
      </c>
    </row>
    <row r="1297" spans="1:10">
      <c r="A1297" s="287" t="s">
        <v>82</v>
      </c>
      <c r="B1297" s="288">
        <f t="shared" ref="B1297:J1297" si="119">AVERAGE(B1293:B1296)</f>
        <v>29.615000000000002</v>
      </c>
      <c r="C1297" s="288">
        <f t="shared" si="119"/>
        <v>28.355</v>
      </c>
      <c r="D1297" s="288">
        <f t="shared" si="119"/>
        <v>27.425000000000001</v>
      </c>
      <c r="E1297" s="288">
        <f t="shared" si="119"/>
        <v>24.490000000000002</v>
      </c>
      <c r="F1297" s="288">
        <f t="shared" si="119"/>
        <v>25.125</v>
      </c>
      <c r="G1297" s="288">
        <f t="shared" si="119"/>
        <v>18.302499999999998</v>
      </c>
      <c r="H1297" s="288">
        <f t="shared" si="119"/>
        <v>40.409999999999997</v>
      </c>
      <c r="I1297" s="288">
        <f t="shared" si="119"/>
        <v>27.014999999999997</v>
      </c>
      <c r="J1297" s="288">
        <f t="shared" si="119"/>
        <v>18.436000000000003</v>
      </c>
    </row>
    <row r="1299" spans="1:10">
      <c r="A1299" s="1680" t="s">
        <v>1</v>
      </c>
      <c r="B1299" s="284" t="s">
        <v>139</v>
      </c>
      <c r="C1299" s="284" t="s">
        <v>140</v>
      </c>
      <c r="D1299" s="284" t="s">
        <v>5</v>
      </c>
      <c r="E1299" s="284" t="s">
        <v>6</v>
      </c>
      <c r="F1299" s="285" t="s">
        <v>57</v>
      </c>
      <c r="G1299" s="286" t="s">
        <v>154</v>
      </c>
      <c r="H1299" s="285" t="s">
        <v>149</v>
      </c>
      <c r="I1299" s="286" t="s">
        <v>155</v>
      </c>
      <c r="J1299" s="285" t="s">
        <v>61</v>
      </c>
    </row>
    <row r="1300" spans="1:10">
      <c r="A1300" s="1680"/>
      <c r="B1300" s="286" t="s">
        <v>146</v>
      </c>
      <c r="C1300" s="286" t="s">
        <v>146</v>
      </c>
      <c r="D1300" s="286" t="s">
        <v>146</v>
      </c>
      <c r="E1300" s="286" t="s">
        <v>146</v>
      </c>
      <c r="F1300" s="286" t="s">
        <v>146</v>
      </c>
      <c r="G1300" s="286" t="s">
        <v>146</v>
      </c>
      <c r="H1300" s="286" t="s">
        <v>146</v>
      </c>
      <c r="I1300" s="286" t="s">
        <v>146</v>
      </c>
      <c r="J1300" s="286" t="s">
        <v>146</v>
      </c>
    </row>
    <row r="1301" spans="1:10">
      <c r="A1301" s="114">
        <v>40210</v>
      </c>
      <c r="B1301" s="264">
        <f>+VLOOKUP(A1301,'[2]X-SEMANA-AS-SC'!G$341:K985,2,FALSE)</f>
        <v>29.76</v>
      </c>
      <c r="C1301" s="264">
        <f>+VLOOKUP(A1301,'[2]X-SEMANA-AS-SC'!$G598:K985,3,FALSE)</f>
        <v>28.57</v>
      </c>
      <c r="D1301" s="264">
        <f>+VLOOKUP(A1301,'[2]X-SEMANA-AS-SC'!$G598:K985,4,FALSE)</f>
        <v>27.71</v>
      </c>
      <c r="E1301" s="264">
        <f>+VLOOKUP(A1301,'[2]X-SEMANA-AS-SC'!$G598:K985,5,FALSE)</f>
        <v>24.7</v>
      </c>
      <c r="F1301" s="257">
        <v>26</v>
      </c>
      <c r="G1301" s="257">
        <v>17.829999999999998</v>
      </c>
      <c r="H1301" s="252">
        <v>39.61</v>
      </c>
      <c r="I1301" s="252">
        <v>26.99</v>
      </c>
      <c r="J1301" s="257">
        <f>(110/(25/4.19))</f>
        <v>18.436000000000003</v>
      </c>
    </row>
    <row r="1302" spans="1:10">
      <c r="A1302" s="114">
        <v>40217</v>
      </c>
      <c r="B1302" s="264">
        <f>+VLOOKUP(A1302,'[2]X-SEMANA-AS-SC'!G$341:K986,2,FALSE)</f>
        <v>29.27</v>
      </c>
      <c r="C1302" s="264">
        <f>+VLOOKUP(A1302,'[2]X-SEMANA-AS-SC'!$G599:K986,3,FALSE)</f>
        <v>28.17</v>
      </c>
      <c r="D1302" s="264">
        <f>+VLOOKUP(A1302,'[2]X-SEMANA-AS-SC'!$G599:K986,4,FALSE)</f>
        <v>27.33</v>
      </c>
      <c r="E1302" s="264">
        <f>+VLOOKUP(A1302,'[2]X-SEMANA-AS-SC'!$G599:K986,5,FALSE)</f>
        <v>24.3</v>
      </c>
      <c r="F1302" s="257">
        <v>26</v>
      </c>
      <c r="G1302" s="257">
        <v>17.8</v>
      </c>
      <c r="H1302" s="252">
        <v>39.61</v>
      </c>
      <c r="I1302" s="252">
        <v>26.99</v>
      </c>
      <c r="J1302" s="257">
        <f>(110/(25/4.19))</f>
        <v>18.436000000000003</v>
      </c>
    </row>
    <row r="1303" spans="1:10">
      <c r="A1303" s="114">
        <v>40224</v>
      </c>
      <c r="B1303" s="264">
        <f>+VLOOKUP(A1303,'[2]X-SEMANA-AS-SC'!G$341:K987,2,FALSE)</f>
        <v>28.79</v>
      </c>
      <c r="C1303" s="264">
        <f>+VLOOKUP(A1303,'[2]X-SEMANA-AS-SC'!$G601:K987,3,FALSE)</f>
        <v>27.72</v>
      </c>
      <c r="D1303" s="264">
        <f>+VLOOKUP(A1303,'[2]X-SEMANA-AS-SC'!$G601:K987,4,FALSE)</f>
        <v>26.88</v>
      </c>
      <c r="E1303" s="264">
        <f>+VLOOKUP(A1303,'[2]X-SEMANA-AS-SC'!$G601:K987,5,FALSE)</f>
        <v>23.73</v>
      </c>
      <c r="F1303" s="257">
        <v>26</v>
      </c>
      <c r="G1303" s="257">
        <v>17.62</v>
      </c>
      <c r="H1303" s="257">
        <v>38.409999999999997</v>
      </c>
      <c r="I1303" s="257">
        <v>24.85</v>
      </c>
      <c r="J1303" s="257">
        <f>(110/(25/4.19))</f>
        <v>18.436000000000003</v>
      </c>
    </row>
    <row r="1304" spans="1:10">
      <c r="A1304" s="114">
        <v>40231</v>
      </c>
      <c r="B1304" s="264">
        <f>+VLOOKUP(A1304,'[2]X-SEMANA-AS-SC'!G$341:K985,2,FALSE)</f>
        <v>28.72</v>
      </c>
      <c r="C1304" s="264">
        <f>+VLOOKUP(A1304,'[2]X-SEMANA-AS-SC'!$G598:K985,3,FALSE)</f>
        <v>27.5</v>
      </c>
      <c r="D1304" s="264">
        <f>+VLOOKUP(A1304,'[2]X-SEMANA-AS-SC'!$G598:K985,4,FALSE)</f>
        <v>26.65</v>
      </c>
      <c r="E1304" s="264">
        <f>+VLOOKUP(A1304,'[2]X-SEMANA-AS-SC'!$G598:K985,5,FALSE)</f>
        <v>23.4</v>
      </c>
      <c r="F1304" s="257">
        <v>26</v>
      </c>
      <c r="G1304" s="257">
        <v>17.5</v>
      </c>
      <c r="H1304" s="257">
        <v>38.409999999999997</v>
      </c>
      <c r="I1304" s="257">
        <v>24.85</v>
      </c>
      <c r="J1304" s="257">
        <f>(110/(25/4.19))</f>
        <v>18.436000000000003</v>
      </c>
    </row>
    <row r="1305" spans="1:10">
      <c r="A1305" s="287" t="s">
        <v>83</v>
      </c>
      <c r="B1305" s="288">
        <f t="shared" ref="B1305:J1305" si="120">AVERAGE(B1301:B1304)</f>
        <v>29.134999999999998</v>
      </c>
      <c r="C1305" s="288">
        <f t="shared" si="120"/>
        <v>27.990000000000002</v>
      </c>
      <c r="D1305" s="288">
        <f t="shared" si="120"/>
        <v>27.142499999999998</v>
      </c>
      <c r="E1305" s="288">
        <f t="shared" si="120"/>
        <v>24.032499999999999</v>
      </c>
      <c r="F1305" s="288">
        <f t="shared" si="120"/>
        <v>26</v>
      </c>
      <c r="G1305" s="288">
        <f t="shared" si="120"/>
        <v>17.6875</v>
      </c>
      <c r="H1305" s="288">
        <f t="shared" si="120"/>
        <v>39.01</v>
      </c>
      <c r="I1305" s="288">
        <f t="shared" si="120"/>
        <v>25.92</v>
      </c>
      <c r="J1305" s="288">
        <f t="shared" si="120"/>
        <v>18.436000000000003</v>
      </c>
    </row>
    <row r="1307" spans="1:10">
      <c r="A1307" s="1680" t="s">
        <v>1</v>
      </c>
      <c r="B1307" s="284" t="s">
        <v>139</v>
      </c>
      <c r="C1307" s="284" t="s">
        <v>140</v>
      </c>
      <c r="D1307" s="284" t="s">
        <v>5</v>
      </c>
      <c r="E1307" s="284" t="s">
        <v>6</v>
      </c>
      <c r="F1307" s="285" t="s">
        <v>57</v>
      </c>
      <c r="G1307" s="286" t="s">
        <v>154</v>
      </c>
      <c r="H1307" s="285" t="s">
        <v>149</v>
      </c>
      <c r="I1307" s="286" t="s">
        <v>155</v>
      </c>
      <c r="J1307" s="285" t="s">
        <v>61</v>
      </c>
    </row>
    <row r="1308" spans="1:10">
      <c r="A1308" s="1680"/>
      <c r="B1308" s="286" t="s">
        <v>146</v>
      </c>
      <c r="C1308" s="286" t="s">
        <v>146</v>
      </c>
      <c r="D1308" s="286" t="s">
        <v>146</v>
      </c>
      <c r="E1308" s="286" t="s">
        <v>146</v>
      </c>
      <c r="F1308" s="286" t="s">
        <v>146</v>
      </c>
      <c r="G1308" s="286" t="s">
        <v>146</v>
      </c>
      <c r="H1308" s="286" t="s">
        <v>146</v>
      </c>
      <c r="I1308" s="286" t="s">
        <v>146</v>
      </c>
      <c r="J1308" s="286" t="s">
        <v>146</v>
      </c>
    </row>
    <row r="1309" spans="1:10">
      <c r="A1309" s="114">
        <v>40238</v>
      </c>
      <c r="B1309" s="264">
        <f>+VLOOKUP(A1309,'[2]X-SEMANA-AS-SC'!G$341:K993,2,FALSE)</f>
        <v>28.73</v>
      </c>
      <c r="C1309" s="264">
        <f>+VLOOKUP(A1309,'[2]X-SEMANA-AS-SC'!$G607:K993,3,FALSE)</f>
        <v>28.16</v>
      </c>
      <c r="D1309" s="264">
        <f>+VLOOKUP(A1309,'[2]X-SEMANA-AS-SC'!$G607:K993,4,FALSE)</f>
        <v>27.314</v>
      </c>
      <c r="E1309" s="264">
        <f>+VLOOKUP(A1309,'[2]X-SEMANA-AS-SC'!$G607:K993,5,FALSE)</f>
        <v>23.72</v>
      </c>
      <c r="F1309" s="257">
        <v>26</v>
      </c>
      <c r="G1309" s="257">
        <v>17.510000000000002</v>
      </c>
      <c r="H1309" s="252">
        <v>38.700000000000003</v>
      </c>
      <c r="I1309" s="252">
        <v>25.81</v>
      </c>
      <c r="J1309" s="257">
        <f>(110/(25/4.19))</f>
        <v>18.436000000000003</v>
      </c>
    </row>
    <row r="1310" spans="1:10">
      <c r="A1310" s="114">
        <v>40245</v>
      </c>
      <c r="B1310" s="264">
        <f>+VLOOKUP(A1310,'[2]X-SEMANA-AS-SC'!G$341:K994,2,FALSE)</f>
        <v>30.01</v>
      </c>
      <c r="C1310" s="264">
        <f>+VLOOKUP(A1310,'[2]X-SEMANA-AS-SC'!$G608:K994,3,FALSE)</f>
        <v>28.66</v>
      </c>
      <c r="D1310" s="264">
        <f>+VLOOKUP(A1310,'[2]X-SEMANA-AS-SC'!$G608:K994,4,FALSE)</f>
        <v>27.79</v>
      </c>
      <c r="E1310" s="264">
        <f>+VLOOKUP(A1310,'[2]X-SEMANA-AS-SC'!$G608:K994,5,FALSE)</f>
        <v>24.09</v>
      </c>
      <c r="F1310" s="257">
        <v>25</v>
      </c>
      <c r="G1310" s="257">
        <v>17.71</v>
      </c>
      <c r="H1310" s="252">
        <v>38.700000000000003</v>
      </c>
      <c r="I1310" s="252">
        <v>25.81</v>
      </c>
      <c r="J1310" s="257">
        <f>(110/(25/4.19))</f>
        <v>18.436000000000003</v>
      </c>
    </row>
    <row r="1311" spans="1:10">
      <c r="A1311" s="114">
        <v>40252</v>
      </c>
      <c r="B1311" s="264">
        <f>+VLOOKUP(A1311,'[2]X-SEMANA-AS-SC'!G$341:K995,2,FALSE)</f>
        <v>31.02</v>
      </c>
      <c r="C1311" s="264">
        <f>+VLOOKUP(A1311,'[2]X-SEMANA-AS-SC'!$G609:K995,3,FALSE)</f>
        <v>29.55</v>
      </c>
      <c r="D1311" s="264">
        <f>+VLOOKUP(A1311,'[2]X-SEMANA-AS-SC'!$G609:K995,4,FALSE)</f>
        <v>28.32</v>
      </c>
      <c r="E1311" s="264">
        <f>+VLOOKUP(A1311,'[2]X-SEMANA-AS-SC'!$G609:K995,5,FALSE)</f>
        <v>24.31</v>
      </c>
      <c r="F1311" s="257">
        <v>25</v>
      </c>
      <c r="G1311" s="257">
        <v>17.670000000000002</v>
      </c>
      <c r="H1311" s="257">
        <v>38.58</v>
      </c>
      <c r="I1311" s="257">
        <v>25.73</v>
      </c>
      <c r="J1311" s="257">
        <f>(110/(25/4.19))</f>
        <v>18.436000000000003</v>
      </c>
    </row>
    <row r="1312" spans="1:10">
      <c r="A1312" s="114">
        <v>40259</v>
      </c>
      <c r="B1312" s="264">
        <f>+VLOOKUP(A1312,'[2]X-SEMANA-AS-SC'!G$341:K992,2,FALSE)</f>
        <v>31.9</v>
      </c>
      <c r="C1312" s="264">
        <f>+VLOOKUP(A1312,'[2]X-SEMANA-AS-SC'!$G606:K992,3,FALSE)</f>
        <v>30.09</v>
      </c>
      <c r="D1312" s="264">
        <f>+VLOOKUP(A1312,'[2]X-SEMANA-AS-SC'!$G606:K992,4,FALSE)</f>
        <v>28.81</v>
      </c>
      <c r="E1312" s="264">
        <f>+VLOOKUP(A1312,'[2]X-SEMANA-AS-SC'!$G606:K992,5,FALSE)</f>
        <v>24.57</v>
      </c>
      <c r="F1312" s="257">
        <v>25</v>
      </c>
      <c r="G1312" s="257">
        <v>17.54</v>
      </c>
      <c r="H1312" s="257">
        <v>38.74</v>
      </c>
      <c r="I1312" s="257">
        <v>26.31</v>
      </c>
      <c r="J1312" s="257">
        <f>(110/(25/4.19))</f>
        <v>18.436000000000003</v>
      </c>
    </row>
    <row r="1313" spans="1:10">
      <c r="A1313" s="114">
        <v>40266</v>
      </c>
      <c r="B1313" s="264">
        <f>+VLOOKUP(A1313,'[2]X-SEMANA-AS-SC'!G$341:K993,2,FALSE)</f>
        <v>31.9</v>
      </c>
      <c r="C1313" s="264">
        <f>+VLOOKUP(A1313,'[2]X-SEMANA-AS-SC'!$G607:K993,3,FALSE)</f>
        <v>30.49</v>
      </c>
      <c r="D1313" s="264">
        <f>+VLOOKUP(A1313,'[2]X-SEMANA-AS-SC'!$G607:K993,4,FALSE)</f>
        <v>29.2</v>
      </c>
      <c r="E1313" s="264">
        <f>+VLOOKUP(A1313,'[2]X-SEMANA-AS-SC'!$G607:K993,5,FALSE)</f>
        <v>24.75</v>
      </c>
      <c r="F1313" s="257">
        <v>25</v>
      </c>
      <c r="G1313" s="257">
        <v>17.54</v>
      </c>
      <c r="H1313" s="257">
        <v>38.74</v>
      </c>
      <c r="I1313" s="257">
        <v>26.31</v>
      </c>
      <c r="J1313" s="257">
        <f>(110/(25/4.19))</f>
        <v>18.436000000000003</v>
      </c>
    </row>
    <row r="1314" spans="1:10">
      <c r="A1314" s="287" t="s">
        <v>84</v>
      </c>
      <c r="B1314" s="288">
        <f t="shared" ref="B1314:J1314" si="121">AVERAGE(B1309:B1313)</f>
        <v>30.712</v>
      </c>
      <c r="C1314" s="288">
        <f t="shared" si="121"/>
        <v>29.390000000000004</v>
      </c>
      <c r="D1314" s="288">
        <f t="shared" si="121"/>
        <v>28.286799999999999</v>
      </c>
      <c r="E1314" s="288">
        <f t="shared" si="121"/>
        <v>24.288</v>
      </c>
      <c r="F1314" s="288">
        <f t="shared" si="121"/>
        <v>25.2</v>
      </c>
      <c r="G1314" s="288">
        <f t="shared" si="121"/>
        <v>17.594000000000001</v>
      </c>
      <c r="H1314" s="288">
        <f t="shared" si="121"/>
        <v>38.692</v>
      </c>
      <c r="I1314" s="288">
        <f t="shared" si="121"/>
        <v>25.994</v>
      </c>
      <c r="J1314" s="288">
        <f t="shared" si="121"/>
        <v>18.436000000000003</v>
      </c>
    </row>
    <row r="1316" spans="1:10">
      <c r="A1316" s="1680" t="s">
        <v>1</v>
      </c>
      <c r="B1316" s="284" t="s">
        <v>139</v>
      </c>
      <c r="C1316" s="284" t="s">
        <v>140</v>
      </c>
      <c r="D1316" s="284" t="s">
        <v>5</v>
      </c>
      <c r="E1316" s="284" t="s">
        <v>6</v>
      </c>
      <c r="F1316" s="285" t="s">
        <v>57</v>
      </c>
      <c r="G1316" s="286" t="s">
        <v>154</v>
      </c>
      <c r="H1316" s="285" t="s">
        <v>149</v>
      </c>
      <c r="I1316" s="286" t="s">
        <v>155</v>
      </c>
      <c r="J1316" s="285" t="s">
        <v>61</v>
      </c>
    </row>
    <row r="1317" spans="1:10">
      <c r="A1317" s="1680"/>
      <c r="B1317" s="286" t="s">
        <v>146</v>
      </c>
      <c r="C1317" s="286" t="s">
        <v>146</v>
      </c>
      <c r="D1317" s="286" t="s">
        <v>146</v>
      </c>
      <c r="E1317" s="286" t="s">
        <v>146</v>
      </c>
      <c r="F1317" s="286" t="s">
        <v>146</v>
      </c>
      <c r="G1317" s="286" t="s">
        <v>146</v>
      </c>
      <c r="H1317" s="286" t="s">
        <v>146</v>
      </c>
      <c r="I1317" s="286" t="s">
        <v>146</v>
      </c>
      <c r="J1317" s="286" t="s">
        <v>146</v>
      </c>
    </row>
    <row r="1318" spans="1:10">
      <c r="A1318" s="114">
        <v>40273</v>
      </c>
      <c r="B1318" s="264">
        <f>+VLOOKUP(A1318,'[2]X-SEMANA-AS-SC'!G$341:K1002,2,FALSE)</f>
        <v>31.99</v>
      </c>
      <c r="C1318" s="264">
        <f>+VLOOKUP(A1318,'[2]X-SEMANA-AS-SC'!$G616:K1002,3,FALSE)</f>
        <v>30.6</v>
      </c>
      <c r="D1318" s="264">
        <f>+VLOOKUP(A1318,'[2]X-SEMANA-AS-SC'!$G616:K1002,4,FALSE)</f>
        <v>29.35</v>
      </c>
      <c r="E1318" s="264">
        <f>+VLOOKUP(A1318,'[2]X-SEMANA-AS-SC'!$G616:K1002,5,FALSE)</f>
        <v>24.81</v>
      </c>
      <c r="F1318" s="257">
        <v>25</v>
      </c>
      <c r="G1318" s="257">
        <v>17.54</v>
      </c>
      <c r="H1318" s="252">
        <v>40.75</v>
      </c>
      <c r="I1318" s="252">
        <v>26.48</v>
      </c>
      <c r="J1318" s="257">
        <f>(110/(25/4.19))</f>
        <v>18.436000000000003</v>
      </c>
    </row>
    <row r="1319" spans="1:10">
      <c r="A1319" s="114">
        <v>40280</v>
      </c>
      <c r="B1319" s="264">
        <f>+VLOOKUP(A1319,'[2]X-SEMANA-AS-SC'!G$341:K1003,2,FALSE)</f>
        <v>31.94</v>
      </c>
      <c r="C1319" s="264">
        <f>+VLOOKUP(A1319,'[2]X-SEMANA-AS-SC'!$G617:K1003,3,FALSE)</f>
        <v>30.6</v>
      </c>
      <c r="D1319" s="264">
        <f>+VLOOKUP(A1319,'[2]X-SEMANA-AS-SC'!$G617:K1003,4,FALSE)</f>
        <v>29.33</v>
      </c>
      <c r="E1319" s="264">
        <f>+VLOOKUP(A1319,'[2]X-SEMANA-AS-SC'!$G617:K1003,5,FALSE)</f>
        <v>24.82</v>
      </c>
      <c r="F1319" s="257">
        <v>25</v>
      </c>
      <c r="G1319" s="257">
        <v>17.38</v>
      </c>
      <c r="H1319" s="252">
        <v>40.68</v>
      </c>
      <c r="I1319" s="252">
        <v>26.44</v>
      </c>
      <c r="J1319" s="257">
        <f>(110/(25/4.19))</f>
        <v>18.436000000000003</v>
      </c>
    </row>
    <row r="1320" spans="1:10">
      <c r="A1320" s="114">
        <v>40287</v>
      </c>
      <c r="B1320" s="264">
        <f>+VLOOKUP(A1320,'[2]X-SEMANA-AS-SC'!G$341:K1004,2,FALSE)</f>
        <v>31.92</v>
      </c>
      <c r="C1320" s="264">
        <f>+VLOOKUP(A1320,'[2]X-SEMANA-AS-SC'!$G618:K1004,3,FALSE)</f>
        <v>30.58</v>
      </c>
      <c r="D1320" s="264">
        <f>+VLOOKUP(A1320,'[2]X-SEMANA-AS-SC'!$G618:K1004,4,FALSE)</f>
        <v>29.31</v>
      </c>
      <c r="E1320" s="264">
        <f>+VLOOKUP(A1320,'[2]X-SEMANA-AS-SC'!$G618:K1004,5,FALSE)</f>
        <v>24.8</v>
      </c>
      <c r="F1320" s="257">
        <v>25</v>
      </c>
      <c r="G1320" s="257">
        <v>17.45</v>
      </c>
      <c r="H1320" s="257">
        <v>40.630000000000003</v>
      </c>
      <c r="I1320" s="257">
        <v>27.53</v>
      </c>
      <c r="J1320" s="257">
        <f>(110/(25/4.19))</f>
        <v>18.436000000000003</v>
      </c>
    </row>
    <row r="1321" spans="1:10">
      <c r="A1321" s="114">
        <v>40294</v>
      </c>
      <c r="B1321" s="264">
        <f>+VLOOKUP(A1321,'[2]X-SEMANA-AS-SC'!G$341:K1002,2,FALSE)</f>
        <v>31.65</v>
      </c>
      <c r="C1321" s="264">
        <f>+VLOOKUP(A1321,'[2]X-SEMANA-AS-SC'!$G616:K1002,3,FALSE)</f>
        <v>30.45</v>
      </c>
      <c r="D1321" s="264">
        <f>+VLOOKUP(A1321,'[2]X-SEMANA-AS-SC'!$G616:K1002,4,FALSE)</f>
        <v>29.33</v>
      </c>
      <c r="E1321" s="264">
        <f>+VLOOKUP(A1321,'[2]X-SEMANA-AS-SC'!$G616:K1002,5,FALSE)</f>
        <v>25.3</v>
      </c>
      <c r="F1321" s="257">
        <v>25</v>
      </c>
      <c r="G1321" s="257">
        <v>17.22</v>
      </c>
      <c r="H1321" s="257">
        <v>40.75</v>
      </c>
      <c r="I1321" s="257">
        <v>27.62</v>
      </c>
      <c r="J1321" s="257">
        <f>(110/(25/4.19))</f>
        <v>18.436000000000003</v>
      </c>
    </row>
    <row r="1322" spans="1:10">
      <c r="A1322" s="287" t="s">
        <v>85</v>
      </c>
      <c r="B1322" s="288">
        <f t="shared" ref="B1322:J1322" si="122">AVERAGE(B1318:B1321)</f>
        <v>31.875</v>
      </c>
      <c r="C1322" s="288">
        <f t="shared" si="122"/>
        <v>30.557500000000001</v>
      </c>
      <c r="D1322" s="288">
        <f t="shared" si="122"/>
        <v>29.33</v>
      </c>
      <c r="E1322" s="288">
        <f t="shared" si="122"/>
        <v>24.932499999999997</v>
      </c>
      <c r="F1322" s="288">
        <f t="shared" si="122"/>
        <v>25</v>
      </c>
      <c r="G1322" s="288">
        <f t="shared" si="122"/>
        <v>17.397500000000001</v>
      </c>
      <c r="H1322" s="288">
        <f t="shared" si="122"/>
        <v>40.702500000000001</v>
      </c>
      <c r="I1322" s="288">
        <f t="shared" si="122"/>
        <v>27.017500000000002</v>
      </c>
      <c r="J1322" s="288">
        <f t="shared" si="122"/>
        <v>18.436000000000003</v>
      </c>
    </row>
    <row r="1324" spans="1:10">
      <c r="A1324" s="1680" t="s">
        <v>1</v>
      </c>
      <c r="B1324" s="284" t="s">
        <v>139</v>
      </c>
      <c r="C1324" s="284" t="s">
        <v>140</v>
      </c>
      <c r="D1324" s="284" t="s">
        <v>5</v>
      </c>
      <c r="E1324" s="284" t="s">
        <v>6</v>
      </c>
      <c r="F1324" s="285" t="s">
        <v>57</v>
      </c>
      <c r="G1324" s="286" t="s">
        <v>154</v>
      </c>
      <c r="H1324" s="285" t="s">
        <v>149</v>
      </c>
      <c r="I1324" s="286" t="s">
        <v>155</v>
      </c>
      <c r="J1324" s="285" t="s">
        <v>61</v>
      </c>
    </row>
    <row r="1325" spans="1:10">
      <c r="A1325" s="1680"/>
      <c r="B1325" s="286" t="s">
        <v>146</v>
      </c>
      <c r="C1325" s="286" t="s">
        <v>146</v>
      </c>
      <c r="D1325" s="286" t="s">
        <v>146</v>
      </c>
      <c r="E1325" s="286" t="s">
        <v>146</v>
      </c>
      <c r="F1325" s="286" t="s">
        <v>146</v>
      </c>
      <c r="G1325" s="286" t="s">
        <v>146</v>
      </c>
      <c r="H1325" s="286" t="s">
        <v>146</v>
      </c>
      <c r="I1325" s="286" t="s">
        <v>146</v>
      </c>
      <c r="J1325" s="286" t="s">
        <v>146</v>
      </c>
    </row>
    <row r="1326" spans="1:10">
      <c r="A1326" s="114">
        <v>40301</v>
      </c>
      <c r="B1326" s="264">
        <f>+VLOOKUP(A1326,'[2]X-SEMANA-AS-SC'!G$341:K1010,2,FALSE)</f>
        <v>31.61</v>
      </c>
      <c r="C1326" s="264">
        <f>+VLOOKUP(A1326,'[2]X-SEMANA-AS-SC'!$G601:K1010,3,FALSE)</f>
        <v>30.39</v>
      </c>
      <c r="D1326" s="264">
        <f>+VLOOKUP(A1326,'[2]X-SEMANA-AS-SC'!$G601:K1010,4,FALSE)</f>
        <v>29.33</v>
      </c>
      <c r="E1326" s="264">
        <f>+VLOOKUP(A1326,'[2]X-SEMANA-AS-SC'!$G601:K1010,5,FALSE)</f>
        <v>25.3</v>
      </c>
      <c r="F1326" s="257">
        <v>25</v>
      </c>
      <c r="G1326" s="257">
        <v>17.54</v>
      </c>
      <c r="H1326" s="252">
        <v>40.75</v>
      </c>
      <c r="I1326" s="252">
        <v>27.62</v>
      </c>
      <c r="J1326" s="257">
        <f>(110/(25/4.19))</f>
        <v>18.436000000000003</v>
      </c>
    </row>
    <row r="1327" spans="1:10">
      <c r="A1327" s="114">
        <v>40308</v>
      </c>
      <c r="B1327" s="264">
        <f>+VLOOKUP(A1327,'[2]X-SEMANA-AS-SC'!G$341:K1011,2,FALSE)</f>
        <v>31.58</v>
      </c>
      <c r="C1327" s="264">
        <f>+VLOOKUP(A1327,'[2]X-SEMANA-AS-SC'!$G602:K1011,3,FALSE)</f>
        <v>30.38</v>
      </c>
      <c r="D1327" s="264">
        <f>+VLOOKUP(A1327,'[2]X-SEMANA-AS-SC'!$G602:K1011,4,FALSE)</f>
        <v>29.35</v>
      </c>
      <c r="E1327" s="264">
        <f>+VLOOKUP(A1327,'[2]X-SEMANA-AS-SC'!$G602:K1011,5,FALSE)</f>
        <v>25.34</v>
      </c>
      <c r="F1327" s="257">
        <v>25</v>
      </c>
      <c r="G1327" s="257">
        <v>17.579999999999998</v>
      </c>
      <c r="H1327" s="252">
        <v>40.65</v>
      </c>
      <c r="I1327" s="252">
        <v>27.55</v>
      </c>
      <c r="J1327" s="257">
        <f>(110/(25/4.19))</f>
        <v>18.436000000000003</v>
      </c>
    </row>
    <row r="1328" spans="1:10">
      <c r="A1328" s="114">
        <v>40315</v>
      </c>
      <c r="B1328" s="264">
        <f>+VLOOKUP(A1328,'[2]X-SEMANA-AS-SC'!G$341:K1012,2,FALSE)</f>
        <v>31.35</v>
      </c>
      <c r="C1328" s="264">
        <f>+VLOOKUP(A1328,'[2]X-SEMANA-AS-SC'!$G603:K1012,3,FALSE)</f>
        <v>30.25</v>
      </c>
      <c r="D1328" s="264">
        <f>+VLOOKUP(A1328,'[2]X-SEMANA-AS-SC'!$G603:K1012,4,FALSE)</f>
        <v>29.23</v>
      </c>
      <c r="E1328" s="264">
        <f>+VLOOKUP(A1328,'[2]X-SEMANA-AS-SC'!$G603:K1012,5,FALSE)</f>
        <v>25.23</v>
      </c>
      <c r="F1328" s="257">
        <v>25</v>
      </c>
      <c r="G1328" s="257">
        <v>17.350000000000001</v>
      </c>
      <c r="H1328" s="252">
        <v>40.65</v>
      </c>
      <c r="I1328" s="257">
        <v>27.43</v>
      </c>
      <c r="J1328" s="257">
        <f>(110/(25/4.19))</f>
        <v>18.436000000000003</v>
      </c>
    </row>
    <row r="1329" spans="1:10">
      <c r="A1329" s="114">
        <v>40322</v>
      </c>
      <c r="B1329" s="264">
        <f>+VLOOKUP(A1329,'[2]X-SEMANA-AS-SC'!G$341:K1013,2,FALSE)</f>
        <v>30.35</v>
      </c>
      <c r="C1329" s="264">
        <f>+VLOOKUP(A1329,'[2]X-SEMANA-AS-SC'!$G604:K1013,3,FALSE)</f>
        <v>29.4</v>
      </c>
      <c r="D1329" s="264">
        <f>+VLOOKUP(A1329,'[2]X-SEMANA-AS-SC'!$G604:K1013,4,FALSE)</f>
        <v>28.43</v>
      </c>
      <c r="E1329" s="264">
        <f>+VLOOKUP(A1329,'[2]X-SEMANA-AS-SC'!$G604:K1013,5,FALSE)</f>
        <v>24.55</v>
      </c>
      <c r="F1329" s="257">
        <v>26</v>
      </c>
      <c r="G1329" s="257">
        <v>16.91</v>
      </c>
      <c r="H1329" s="257">
        <v>40.65</v>
      </c>
      <c r="I1329" s="257">
        <v>26.92</v>
      </c>
      <c r="J1329" s="257">
        <f>(110/(25/4.19))</f>
        <v>18.436000000000003</v>
      </c>
    </row>
    <row r="1330" spans="1:10">
      <c r="A1330" s="114">
        <v>40329</v>
      </c>
      <c r="B1330" s="264">
        <f>+VLOOKUP(A1330,'[2]X-SEMANA-AS-SC'!G$341:K1014,2,FALSE)</f>
        <v>29.71</v>
      </c>
      <c r="C1330" s="264">
        <f>+VLOOKUP(A1330,'[2]X-SEMANA-AS-SC'!$G605:K1014,3,FALSE)</f>
        <v>28.78</v>
      </c>
      <c r="D1330" s="264">
        <f>+VLOOKUP(A1330,'[2]X-SEMANA-AS-SC'!$G605:K1014,4,FALSE)</f>
        <v>27.82</v>
      </c>
      <c r="E1330" s="264">
        <f>+VLOOKUP(A1330,'[2]X-SEMANA-AS-SC'!$G605:K1014,5,FALSE)</f>
        <v>23.82</v>
      </c>
      <c r="F1330" s="257">
        <v>26</v>
      </c>
      <c r="G1330" s="257">
        <v>16.91</v>
      </c>
      <c r="H1330" s="257">
        <v>38.409999999999997</v>
      </c>
      <c r="I1330" s="257">
        <v>25.65</v>
      </c>
      <c r="J1330" s="257">
        <f>(110/(25/4.19))</f>
        <v>18.436000000000003</v>
      </c>
    </row>
    <row r="1331" spans="1:10">
      <c r="A1331" s="287" t="s">
        <v>86</v>
      </c>
      <c r="B1331" s="288">
        <f t="shared" ref="B1331:J1331" si="123">AVERAGE(B1326:B1330)</f>
        <v>30.919999999999998</v>
      </c>
      <c r="C1331" s="288">
        <f t="shared" si="123"/>
        <v>29.839999999999996</v>
      </c>
      <c r="D1331" s="288">
        <f t="shared" si="123"/>
        <v>28.832000000000001</v>
      </c>
      <c r="E1331" s="288">
        <f t="shared" si="123"/>
        <v>24.848000000000003</v>
      </c>
      <c r="F1331" s="288">
        <f t="shared" si="123"/>
        <v>25.4</v>
      </c>
      <c r="G1331" s="288">
        <f t="shared" si="123"/>
        <v>17.257999999999999</v>
      </c>
      <c r="H1331" s="288">
        <f t="shared" si="123"/>
        <v>40.222000000000001</v>
      </c>
      <c r="I1331" s="288">
        <f t="shared" si="123"/>
        <v>27.033999999999999</v>
      </c>
      <c r="J1331" s="288">
        <f t="shared" si="123"/>
        <v>18.436000000000003</v>
      </c>
    </row>
    <row r="1332" spans="1:10" ht="13.5" customHeight="1"/>
    <row r="1333" spans="1:10">
      <c r="A1333" s="1680" t="s">
        <v>1</v>
      </c>
      <c r="B1333" s="284" t="s">
        <v>139</v>
      </c>
      <c r="C1333" s="284" t="s">
        <v>140</v>
      </c>
      <c r="D1333" s="284" t="s">
        <v>5</v>
      </c>
      <c r="E1333" s="284" t="s">
        <v>6</v>
      </c>
      <c r="F1333" s="285" t="s">
        <v>57</v>
      </c>
      <c r="G1333" s="286" t="s">
        <v>154</v>
      </c>
      <c r="H1333" s="285" t="s">
        <v>149</v>
      </c>
      <c r="I1333" s="286" t="s">
        <v>155</v>
      </c>
      <c r="J1333" s="285" t="s">
        <v>61</v>
      </c>
    </row>
    <row r="1334" spans="1:10">
      <c r="A1334" s="1680"/>
      <c r="B1334" s="286" t="s">
        <v>146</v>
      </c>
      <c r="C1334" s="286" t="s">
        <v>146</v>
      </c>
      <c r="D1334" s="286" t="s">
        <v>146</v>
      </c>
      <c r="E1334" s="286" t="s">
        <v>146</v>
      </c>
      <c r="F1334" s="286" t="s">
        <v>146</v>
      </c>
      <c r="G1334" s="286" t="s">
        <v>146</v>
      </c>
      <c r="H1334" s="286" t="s">
        <v>146</v>
      </c>
      <c r="I1334" s="286" t="s">
        <v>146</v>
      </c>
      <c r="J1334" s="286" t="s">
        <v>146</v>
      </c>
    </row>
    <row r="1335" spans="1:10">
      <c r="A1335" s="114">
        <v>40336</v>
      </c>
      <c r="B1335" s="264">
        <f>+VLOOKUP(A1335,'[2]X-SEMANA-AS-SC'!G$341:K1019,2,FALSE)</f>
        <v>29.23</v>
      </c>
      <c r="C1335" s="264">
        <f>+VLOOKUP(A1335,'[2]X-SEMANA-AS-SC'!$G332:K1019,3,FALSE)</f>
        <v>28.2</v>
      </c>
      <c r="D1335" s="264">
        <f>+VLOOKUP(A1335,'[2]X-SEMANA-AS-SC'!$G332:K1019,4,FALSE)</f>
        <v>27.22</v>
      </c>
      <c r="E1335" s="264">
        <f>+VLOOKUP(A1335,'[2]X-SEMANA-AS-SC'!$G332:K1019,5,FALSE)</f>
        <v>23.25</v>
      </c>
      <c r="F1335" s="257">
        <v>26</v>
      </c>
      <c r="G1335" s="257">
        <v>16.899999999999999</v>
      </c>
      <c r="H1335" s="252">
        <v>39.85</v>
      </c>
      <c r="I1335" s="252">
        <v>25.65</v>
      </c>
      <c r="J1335" s="257">
        <f>(110/(25/4.19))</f>
        <v>18.436000000000003</v>
      </c>
    </row>
    <row r="1336" spans="1:10">
      <c r="A1336" s="114">
        <v>40343</v>
      </c>
      <c r="B1336" s="264">
        <f>+VLOOKUP(A1336,'[2]X-SEMANA-AS-SC'!G$341:K1020,2,FALSE)</f>
        <v>28.88</v>
      </c>
      <c r="C1336" s="264">
        <f>+VLOOKUP(A1336,'[2]X-SEMANA-AS-SC'!$G333:K1020,3,FALSE)</f>
        <v>27.84</v>
      </c>
      <c r="D1336" s="264">
        <f>+VLOOKUP(A1336,'[2]X-SEMANA-AS-SC'!$G333:K1020,4,FALSE)</f>
        <v>26.82</v>
      </c>
      <c r="E1336" s="264">
        <f>+VLOOKUP(A1336,'[2]X-SEMANA-AS-SC'!$G333:K1020,5,FALSE)</f>
        <v>22.96</v>
      </c>
      <c r="F1336" s="257">
        <v>26</v>
      </c>
      <c r="G1336" s="257">
        <v>17.05</v>
      </c>
      <c r="H1336" s="252">
        <v>39.72</v>
      </c>
      <c r="I1336" s="252">
        <v>26.56</v>
      </c>
      <c r="J1336" s="257">
        <f>(110/(25/4.19))</f>
        <v>18.436000000000003</v>
      </c>
    </row>
    <row r="1337" spans="1:10">
      <c r="A1337" s="114">
        <v>40350</v>
      </c>
      <c r="B1337" s="264">
        <f>+VLOOKUP(A1337,'[2]X-SEMANA-AS-SC'!G$341:K1021,2,FALSE)</f>
        <v>29.36</v>
      </c>
      <c r="C1337" s="264">
        <f>+VLOOKUP(A1337,'[2]X-SEMANA-AS-SC'!$G334:K1021,3,FALSE)</f>
        <v>27.96</v>
      </c>
      <c r="D1337" s="264">
        <f>+VLOOKUP(A1337,'[2]X-SEMANA-AS-SC'!$G334:K1021,4,FALSE)</f>
        <v>26.96</v>
      </c>
      <c r="E1337" s="264">
        <f>+VLOOKUP(A1337,'[2]X-SEMANA-AS-SC'!$G334:K1021,5,FALSE)</f>
        <v>23.17</v>
      </c>
      <c r="F1337" s="257">
        <v>26</v>
      </c>
      <c r="G1337" s="257">
        <v>16.559999999999999</v>
      </c>
      <c r="H1337" s="257">
        <v>39.85</v>
      </c>
      <c r="I1337" s="257">
        <v>26.1</v>
      </c>
      <c r="J1337" s="257">
        <f>(110/(25/4.19))</f>
        <v>18.436000000000003</v>
      </c>
    </row>
    <row r="1338" spans="1:10">
      <c r="A1338" s="114">
        <v>40357</v>
      </c>
      <c r="B1338" s="264">
        <f>+VLOOKUP(A1338,'[2]X-SEMANA-AS-SC'!G$341:K1019,2,FALSE)</f>
        <v>29.3</v>
      </c>
      <c r="C1338" s="264">
        <f>+VLOOKUP(A1338,'[2]X-SEMANA-AS-SC'!$G335:K1022,3,FALSE)</f>
        <v>28.13</v>
      </c>
      <c r="D1338" s="264">
        <f>+VLOOKUP(A1338,'[2]X-SEMANA-AS-SC'!$G335:K1022,4,FALSE)</f>
        <v>27.14</v>
      </c>
      <c r="E1338" s="264">
        <f>+VLOOKUP(A1338,'[2]X-SEMANA-AS-SC'!$G335:K1022,5,FALSE)</f>
        <v>23.35</v>
      </c>
      <c r="F1338" s="257">
        <v>26</v>
      </c>
      <c r="G1338" s="257">
        <v>16.59</v>
      </c>
      <c r="H1338" s="257">
        <v>39.89</v>
      </c>
      <c r="I1338" s="257">
        <v>26.13</v>
      </c>
      <c r="J1338" s="257">
        <f>(110/(25/4.19))</f>
        <v>18.436000000000003</v>
      </c>
    </row>
    <row r="1339" spans="1:10">
      <c r="A1339" s="287" t="s">
        <v>87</v>
      </c>
      <c r="B1339" s="288">
        <f t="shared" ref="B1339:J1339" si="124">AVERAGE(B1335:B1338)</f>
        <v>29.192499999999999</v>
      </c>
      <c r="C1339" s="288">
        <f t="shared" si="124"/>
        <v>28.032499999999999</v>
      </c>
      <c r="D1339" s="288">
        <f t="shared" si="124"/>
        <v>27.035</v>
      </c>
      <c r="E1339" s="288">
        <f t="shared" si="124"/>
        <v>23.182499999999997</v>
      </c>
      <c r="F1339" s="288">
        <f t="shared" si="124"/>
        <v>26</v>
      </c>
      <c r="G1339" s="288">
        <f t="shared" si="124"/>
        <v>16.775000000000002</v>
      </c>
      <c r="H1339" s="288">
        <f t="shared" si="124"/>
        <v>39.827500000000001</v>
      </c>
      <c r="I1339" s="288">
        <f t="shared" si="124"/>
        <v>26.11</v>
      </c>
      <c r="J1339" s="288">
        <f t="shared" si="124"/>
        <v>18.436000000000003</v>
      </c>
    </row>
    <row r="1341" spans="1:10">
      <c r="A1341" s="1680" t="s">
        <v>1</v>
      </c>
      <c r="B1341" s="284" t="s">
        <v>139</v>
      </c>
      <c r="C1341" s="284" t="s">
        <v>140</v>
      </c>
      <c r="D1341" s="284" t="s">
        <v>5</v>
      </c>
      <c r="E1341" s="284" t="s">
        <v>6</v>
      </c>
      <c r="F1341" s="285" t="s">
        <v>57</v>
      </c>
      <c r="G1341" s="286" t="s">
        <v>154</v>
      </c>
      <c r="H1341" s="285" t="s">
        <v>149</v>
      </c>
      <c r="I1341" s="286" t="s">
        <v>155</v>
      </c>
      <c r="J1341" s="285" t="s">
        <v>61</v>
      </c>
    </row>
    <row r="1342" spans="1:10">
      <c r="A1342" s="1680"/>
      <c r="B1342" s="286" t="s">
        <v>146</v>
      </c>
      <c r="C1342" s="286" t="s">
        <v>146</v>
      </c>
      <c r="D1342" s="286" t="s">
        <v>146</v>
      </c>
      <c r="E1342" s="286" t="s">
        <v>146</v>
      </c>
      <c r="F1342" s="286" t="s">
        <v>146</v>
      </c>
      <c r="G1342" s="286" t="s">
        <v>146</v>
      </c>
      <c r="H1342" s="286" t="s">
        <v>146</v>
      </c>
      <c r="I1342" s="286" t="s">
        <v>146</v>
      </c>
      <c r="J1342" s="286" t="s">
        <v>146</v>
      </c>
    </row>
    <row r="1343" spans="1:10">
      <c r="A1343" s="114">
        <v>40364</v>
      </c>
      <c r="B1343" s="264">
        <f>+VLOOKUP(A1343,'[2]X-SEMANA-AS-SC'!G$341:K1027,2,FALSE)</f>
        <v>29.22</v>
      </c>
      <c r="C1343" s="264">
        <f>+VLOOKUP(A1343,'[2]X-SEMANA-AS-SC'!$G340:K1027,3,FALSE)</f>
        <v>28.3</v>
      </c>
      <c r="D1343" s="264">
        <f>+VLOOKUP(A1343,'[2]X-SEMANA-AS-SC'!$G340:K1027,4,FALSE)</f>
        <v>27.32</v>
      </c>
      <c r="E1343" s="264">
        <f>+VLOOKUP(A1343,'[2]X-SEMANA-AS-SC'!$G340:K1027,5,FALSE)</f>
        <v>23.72</v>
      </c>
      <c r="F1343" s="257">
        <v>26</v>
      </c>
      <c r="G1343" s="257">
        <v>16.46</v>
      </c>
      <c r="H1343" s="252">
        <v>39.89</v>
      </c>
      <c r="I1343" s="252">
        <v>26.68</v>
      </c>
      <c r="J1343" s="257">
        <f>(110/(25/4.19))</f>
        <v>18.436000000000003</v>
      </c>
    </row>
    <row r="1344" spans="1:10">
      <c r="A1344" s="114">
        <v>40371</v>
      </c>
      <c r="B1344" s="264">
        <f>+VLOOKUP(A1344,'[2]X-SEMANA-AS-SC'!G$341:K1028,2,FALSE)</f>
        <v>28.91</v>
      </c>
      <c r="C1344" s="264">
        <f>+VLOOKUP(A1344,'[2]X-SEMANA-AS-SC'!$G341:K1028,3,FALSE)</f>
        <v>27.99</v>
      </c>
      <c r="D1344" s="264">
        <f>+VLOOKUP(A1344,'[2]X-SEMANA-AS-SC'!$G341:K1028,4,FALSE)</f>
        <v>26.99</v>
      </c>
      <c r="E1344" s="264">
        <f>+VLOOKUP(A1344,'[2]X-SEMANA-AS-SC'!$G341:K1028,5,FALSE)</f>
        <v>23.45</v>
      </c>
      <c r="F1344" s="257">
        <v>26</v>
      </c>
      <c r="G1344" s="257">
        <v>16.309999999999999</v>
      </c>
      <c r="H1344" s="252">
        <v>39.72</v>
      </c>
      <c r="I1344" s="252">
        <v>26.56</v>
      </c>
      <c r="J1344" s="257">
        <f>(110/(25/4.19))</f>
        <v>18.436000000000003</v>
      </c>
    </row>
    <row r="1345" spans="1:10">
      <c r="A1345" s="114">
        <v>40379</v>
      </c>
      <c r="B1345" s="264">
        <f>+VLOOKUP(A1345,'[2]X-SEMANA-AS-SC'!G$341:K1029,2,FALSE)</f>
        <v>28.59</v>
      </c>
      <c r="C1345" s="264">
        <f>+VLOOKUP(A1345,'[2]X-SEMANA-AS-SC'!$G342:K1029,3,FALSE)</f>
        <v>27.56</v>
      </c>
      <c r="D1345" s="264">
        <f>+VLOOKUP(A1345,'[2]X-SEMANA-AS-SC'!$G342:K1029,4,FALSE)</f>
        <v>26.48</v>
      </c>
      <c r="E1345" s="264">
        <f>+VLOOKUP(A1345,'[2]X-SEMANA-AS-SC'!$G342:K1029,5,FALSE)</f>
        <v>23.04</v>
      </c>
      <c r="F1345" s="257">
        <v>26</v>
      </c>
      <c r="G1345" s="257">
        <v>16.989999999999998</v>
      </c>
      <c r="H1345" s="257">
        <v>39.72</v>
      </c>
      <c r="I1345" s="257">
        <v>25.9</v>
      </c>
      <c r="J1345" s="257">
        <f>(110/(25/4.19))</f>
        <v>18.436000000000003</v>
      </c>
    </row>
    <row r="1346" spans="1:10">
      <c r="A1346" s="114">
        <v>40386</v>
      </c>
      <c r="B1346" s="264">
        <f>+VLOOKUP(A1346,'[2]X-SEMANA-AS-SC'!G$341:K1030,2,FALSE)</f>
        <v>29.07</v>
      </c>
      <c r="C1346" s="264">
        <f>+VLOOKUP(A1346,'[2]X-SEMANA-AS-SC'!$G343:K1030,3,FALSE)</f>
        <v>27.87</v>
      </c>
      <c r="D1346" s="264">
        <f>+VLOOKUP(A1346,'[2]X-SEMANA-AS-SC'!$G343:K1030,4,FALSE)</f>
        <v>26.86</v>
      </c>
      <c r="E1346" s="264">
        <f>+VLOOKUP(A1346,'[2]X-SEMANA-AS-SC'!$G343:K1030,5,FALSE)</f>
        <v>23.32</v>
      </c>
      <c r="F1346" s="257">
        <v>26</v>
      </c>
      <c r="G1346" s="257">
        <v>16.489999999999998</v>
      </c>
      <c r="H1346" s="257">
        <v>39.72</v>
      </c>
      <c r="I1346" s="257">
        <v>25.9</v>
      </c>
      <c r="J1346" s="257">
        <f>(110/(25/4.19))</f>
        <v>18.436000000000003</v>
      </c>
    </row>
    <row r="1347" spans="1:10">
      <c r="A1347" s="287" t="s">
        <v>88</v>
      </c>
      <c r="B1347" s="288">
        <f t="shared" ref="B1347:J1347" si="125">AVERAGE(B1343:B1346)</f>
        <v>28.947499999999998</v>
      </c>
      <c r="C1347" s="288">
        <f t="shared" si="125"/>
        <v>27.93</v>
      </c>
      <c r="D1347" s="288">
        <f t="shared" si="125"/>
        <v>26.912500000000001</v>
      </c>
      <c r="E1347" s="288">
        <f t="shared" si="125"/>
        <v>23.3825</v>
      </c>
      <c r="F1347" s="288">
        <f t="shared" si="125"/>
        <v>26</v>
      </c>
      <c r="G1347" s="288">
        <f t="shared" si="125"/>
        <v>16.562499999999996</v>
      </c>
      <c r="H1347" s="288">
        <f t="shared" si="125"/>
        <v>39.762500000000003</v>
      </c>
      <c r="I1347" s="288">
        <f t="shared" si="125"/>
        <v>26.259999999999998</v>
      </c>
      <c r="J1347" s="288">
        <f t="shared" si="125"/>
        <v>18.436000000000003</v>
      </c>
    </row>
    <row r="1349" spans="1:10">
      <c r="A1349" s="1680" t="s">
        <v>1</v>
      </c>
      <c r="B1349" s="284" t="s">
        <v>139</v>
      </c>
      <c r="C1349" s="284" t="s">
        <v>140</v>
      </c>
      <c r="D1349" s="284" t="s">
        <v>5</v>
      </c>
      <c r="E1349" s="284" t="s">
        <v>6</v>
      </c>
      <c r="F1349" s="285" t="s">
        <v>57</v>
      </c>
      <c r="G1349" s="286" t="s">
        <v>154</v>
      </c>
      <c r="H1349" s="285" t="s">
        <v>149</v>
      </c>
      <c r="I1349" s="286" t="s">
        <v>155</v>
      </c>
      <c r="J1349" s="285" t="s">
        <v>61</v>
      </c>
    </row>
    <row r="1350" spans="1:10">
      <c r="A1350" s="1680"/>
      <c r="B1350" s="286" t="s">
        <v>146</v>
      </c>
      <c r="C1350" s="286" t="s">
        <v>146</v>
      </c>
      <c r="D1350" s="286" t="s">
        <v>146</v>
      </c>
      <c r="E1350" s="286" t="s">
        <v>146</v>
      </c>
      <c r="F1350" s="286" t="s">
        <v>146</v>
      </c>
      <c r="G1350" s="286" t="s">
        <v>146</v>
      </c>
      <c r="H1350" s="286" t="s">
        <v>146</v>
      </c>
      <c r="I1350" s="286" t="s">
        <v>146</v>
      </c>
      <c r="J1350" s="286" t="s">
        <v>146</v>
      </c>
    </row>
    <row r="1351" spans="1:10">
      <c r="A1351" s="114">
        <v>40393</v>
      </c>
      <c r="B1351" s="264">
        <f>+VLOOKUP(A1351,'[2]X-SEMANA-AS-SC'!G$341:K1035,2,FALSE)</f>
        <v>29.02</v>
      </c>
      <c r="C1351" s="264">
        <f>+VLOOKUP(A1351,'[2]X-SEMANA-AS-SC'!$G626:K1035,3,FALSE)</f>
        <v>27.8</v>
      </c>
      <c r="D1351" s="264">
        <f>+VLOOKUP(A1351,'[2]X-SEMANA-AS-SC'!$G626:K1035,4,FALSE)</f>
        <v>26.81</v>
      </c>
      <c r="E1351" s="264">
        <f>+VLOOKUP(A1351,'[2]X-SEMANA-AS-SC'!$G626:K1035,5,FALSE)</f>
        <v>23.28</v>
      </c>
      <c r="F1351" s="257">
        <v>26</v>
      </c>
      <c r="G1351" s="257">
        <v>16.53</v>
      </c>
      <c r="H1351" s="252">
        <v>39.31</v>
      </c>
      <c r="I1351" s="252">
        <v>26.45</v>
      </c>
      <c r="J1351" s="257">
        <f>(110/(25/4.19))</f>
        <v>18.436000000000003</v>
      </c>
    </row>
    <row r="1352" spans="1:10">
      <c r="A1352" s="114">
        <v>40400</v>
      </c>
      <c r="B1352" s="264">
        <f>+VLOOKUP(A1352,'[2]X-SEMANA-AS-SC'!G$341:K1036,2,FALSE)</f>
        <v>30.21</v>
      </c>
      <c r="C1352" s="264">
        <f>+VLOOKUP(A1352,'[2]X-SEMANA-AS-SC'!$G627:K1036,3,FALSE)</f>
        <v>28.67</v>
      </c>
      <c r="D1352" s="264">
        <f>+VLOOKUP(A1352,'[2]X-SEMANA-AS-SC'!$G627:K1036,4,FALSE)</f>
        <v>27.68</v>
      </c>
      <c r="E1352" s="264">
        <f>+VLOOKUP(A1352,'[2]X-SEMANA-AS-SC'!$G627:K1036,5,FALSE)</f>
        <v>24.09</v>
      </c>
      <c r="F1352" s="257">
        <v>26</v>
      </c>
      <c r="G1352" s="257">
        <v>16.59</v>
      </c>
      <c r="H1352" s="252">
        <v>39.25</v>
      </c>
      <c r="I1352" s="252">
        <v>26.41</v>
      </c>
      <c r="J1352" s="257">
        <f>(110/(25/4.19))</f>
        <v>18.436000000000003</v>
      </c>
    </row>
    <row r="1353" spans="1:10">
      <c r="A1353" s="114">
        <v>40407</v>
      </c>
      <c r="B1353" s="264">
        <f>+VLOOKUP(A1353,'[2]X-SEMANA-AS-SC'!G$341:K1037,2,FALSE)</f>
        <v>29.69</v>
      </c>
      <c r="C1353" s="264">
        <f>+VLOOKUP(A1353,'[2]X-SEMANA-AS-SC'!$G628:K1037,3,FALSE)</f>
        <v>28.52</v>
      </c>
      <c r="D1353" s="264">
        <f>+VLOOKUP(A1353,'[2]X-SEMANA-AS-SC'!$G628:K1037,4,FALSE)</f>
        <v>27.52</v>
      </c>
      <c r="E1353" s="264">
        <f>+VLOOKUP(A1353,'[2]X-SEMANA-AS-SC'!$G628:K1037,5,FALSE)</f>
        <v>23.97</v>
      </c>
      <c r="F1353" s="257">
        <v>26</v>
      </c>
      <c r="G1353" s="257">
        <v>16.7</v>
      </c>
      <c r="H1353" s="252">
        <v>39.25</v>
      </c>
      <c r="I1353" s="257">
        <v>26.41</v>
      </c>
      <c r="J1353" s="257">
        <f>(110/(25/4.19))</f>
        <v>18.436000000000003</v>
      </c>
    </row>
    <row r="1354" spans="1:10">
      <c r="A1354" s="114">
        <v>40414</v>
      </c>
      <c r="B1354" s="264">
        <f>+VLOOKUP(A1354,'[2]X-SEMANA-AS-SC'!G$341:K1038,2,FALSE)</f>
        <v>29.03</v>
      </c>
      <c r="C1354" s="264">
        <f>+VLOOKUP(A1354,'[2]X-SEMANA-AS-SC'!$G629:K1038,3,FALSE)</f>
        <v>28.23</v>
      </c>
      <c r="D1354" s="264">
        <f>+VLOOKUP(A1354,'[2]X-SEMANA-AS-SC'!$G629:K1038,4,FALSE)</f>
        <v>27.13</v>
      </c>
      <c r="E1354" s="264">
        <f>+VLOOKUP(A1354,'[2]X-SEMANA-AS-SC'!$G629:K1038,5,FALSE)</f>
        <v>23.62</v>
      </c>
      <c r="F1354" s="257">
        <v>26</v>
      </c>
      <c r="G1354" s="257">
        <v>16.45</v>
      </c>
      <c r="H1354" s="257">
        <v>39.54</v>
      </c>
      <c r="I1354" s="257">
        <v>27.32</v>
      </c>
      <c r="J1354" s="257">
        <f>(110/(25/4.19))</f>
        <v>18.436000000000003</v>
      </c>
    </row>
    <row r="1355" spans="1:10">
      <c r="A1355" s="114">
        <v>40421</v>
      </c>
      <c r="B1355" s="264">
        <f>+VLOOKUP(A1355,'[2]X-SEMANA-AS-SC'!G$341:K1039,2,FALSE)</f>
        <v>28.25</v>
      </c>
      <c r="C1355" s="264">
        <f>+VLOOKUP(A1355,'[2]X-SEMANA-AS-SC'!$G630:K1039,3,FALSE)</f>
        <v>27.45</v>
      </c>
      <c r="D1355" s="264">
        <f>+VLOOKUP(A1355,'[2]X-SEMANA-AS-SC'!$G630:K1039,4,FALSE)</f>
        <v>26.51</v>
      </c>
      <c r="E1355" s="264">
        <f>+VLOOKUP(A1355,'[2]X-SEMANA-AS-SC'!$G630:K1039,5,FALSE)</f>
        <v>23.03</v>
      </c>
      <c r="F1355" s="257">
        <v>26</v>
      </c>
      <c r="G1355" s="257">
        <v>16.36</v>
      </c>
      <c r="H1355" s="257">
        <v>39.54</v>
      </c>
      <c r="I1355" s="257">
        <v>27.32</v>
      </c>
      <c r="J1355" s="257">
        <f>(110/(25/4.19))</f>
        <v>18.436000000000003</v>
      </c>
    </row>
    <row r="1356" spans="1:10">
      <c r="A1356" s="287" t="s">
        <v>89</v>
      </c>
      <c r="B1356" s="288">
        <f t="shared" ref="B1356:J1356" si="126">AVERAGE(B1351:B1355)</f>
        <v>29.24</v>
      </c>
      <c r="C1356" s="288">
        <f t="shared" si="126"/>
        <v>28.133999999999997</v>
      </c>
      <c r="D1356" s="288">
        <f t="shared" si="126"/>
        <v>27.129999999999995</v>
      </c>
      <c r="E1356" s="288">
        <f t="shared" si="126"/>
        <v>23.598000000000003</v>
      </c>
      <c r="F1356" s="288">
        <f t="shared" si="126"/>
        <v>26</v>
      </c>
      <c r="G1356" s="288">
        <f t="shared" si="126"/>
        <v>16.526000000000003</v>
      </c>
      <c r="H1356" s="288">
        <f t="shared" si="126"/>
        <v>39.378</v>
      </c>
      <c r="I1356" s="288">
        <f t="shared" si="126"/>
        <v>26.782</v>
      </c>
      <c r="J1356" s="288">
        <f t="shared" si="126"/>
        <v>18.436000000000003</v>
      </c>
    </row>
    <row r="1358" spans="1:10">
      <c r="A1358" s="1680" t="s">
        <v>1</v>
      </c>
      <c r="B1358" s="284" t="s">
        <v>139</v>
      </c>
      <c r="C1358" s="284" t="s">
        <v>140</v>
      </c>
      <c r="D1358" s="284" t="s">
        <v>5</v>
      </c>
      <c r="E1358" s="284" t="s">
        <v>6</v>
      </c>
      <c r="F1358" s="285" t="s">
        <v>57</v>
      </c>
      <c r="G1358" s="286" t="s">
        <v>154</v>
      </c>
      <c r="H1358" s="285" t="s">
        <v>149</v>
      </c>
      <c r="I1358" s="286" t="s">
        <v>155</v>
      </c>
      <c r="J1358" s="285" t="s">
        <v>61</v>
      </c>
    </row>
    <row r="1359" spans="1:10">
      <c r="A1359" s="1680"/>
      <c r="B1359" s="286" t="s">
        <v>146</v>
      </c>
      <c r="C1359" s="286" t="s">
        <v>146</v>
      </c>
      <c r="D1359" s="286" t="s">
        <v>146</v>
      </c>
      <c r="E1359" s="286" t="s">
        <v>146</v>
      </c>
      <c r="F1359" s="286" t="s">
        <v>146</v>
      </c>
      <c r="G1359" s="286" t="s">
        <v>146</v>
      </c>
      <c r="H1359" s="286" t="s">
        <v>146</v>
      </c>
      <c r="I1359" s="286" t="s">
        <v>146</v>
      </c>
      <c r="J1359" s="286" t="s">
        <v>146</v>
      </c>
    </row>
    <row r="1360" spans="1:10">
      <c r="A1360" s="114">
        <v>40428</v>
      </c>
      <c r="B1360" s="264">
        <f>+VLOOKUP(A1360,'[2]X-SEMANA-AS-SC'!G$341:K1044,2,FALSE)</f>
        <v>28.13</v>
      </c>
      <c r="C1360" s="264">
        <f>+VLOOKUP(A1360,'[2]X-SEMANA-AS-SC'!$G357:K1044,3,FALSE)</f>
        <v>27.33</v>
      </c>
      <c r="D1360" s="264">
        <f>+VLOOKUP(A1360,'[2]X-SEMANA-AS-SC'!$G357:K1044,4,FALSE)</f>
        <v>26.33</v>
      </c>
      <c r="E1360" s="264">
        <f>+VLOOKUP(A1360,'[2]X-SEMANA-AS-SC'!$G357:K1044,5,FALSE)</f>
        <v>22.83</v>
      </c>
      <c r="F1360" s="257">
        <v>26</v>
      </c>
      <c r="G1360" s="257">
        <v>16.37</v>
      </c>
      <c r="H1360" s="252">
        <v>39.409999999999997</v>
      </c>
      <c r="I1360" s="252">
        <v>26.61</v>
      </c>
      <c r="J1360" s="257">
        <f>(110/(25/4.19))</f>
        <v>18.436000000000003</v>
      </c>
    </row>
    <row r="1361" spans="1:10">
      <c r="A1361" s="114">
        <v>40435</v>
      </c>
      <c r="B1361" s="264">
        <f>+VLOOKUP(A1361,'[2]X-SEMANA-AS-SC'!G$341:K1045,2,FALSE)</f>
        <v>27.900000000000002</v>
      </c>
      <c r="C1361" s="264">
        <f>+VLOOKUP(A1361,'[2]X-SEMANA-AS-SC'!$G358:K1045,3,FALSE)</f>
        <v>27.1</v>
      </c>
      <c r="D1361" s="264">
        <f>+VLOOKUP(A1361,'[2]X-SEMANA-AS-SC'!$G358:K1045,4,FALSE)</f>
        <v>26.12</v>
      </c>
      <c r="E1361" s="264">
        <f>+VLOOKUP(A1361,'[2]X-SEMANA-AS-SC'!$G358:K1045,5,FALSE)</f>
        <v>22.73</v>
      </c>
      <c r="F1361" s="257">
        <v>26</v>
      </c>
      <c r="G1361" s="257">
        <v>16.350000000000001</v>
      </c>
      <c r="H1361" s="252">
        <v>39.549999999999997</v>
      </c>
      <c r="I1361" s="252">
        <v>26.71</v>
      </c>
      <c r="J1361" s="257">
        <f>(110/(25/4.19))</f>
        <v>18.436000000000003</v>
      </c>
    </row>
    <row r="1362" spans="1:10">
      <c r="A1362" s="114">
        <v>40442</v>
      </c>
      <c r="B1362" s="264">
        <f>+VLOOKUP(A1362,'[2]X-SEMANA-AS-SC'!G$341:K1046,2,FALSE)</f>
        <v>27.87</v>
      </c>
      <c r="C1362" s="264">
        <f>+VLOOKUP(A1362,'[2]X-SEMANA-AS-SC'!$G359:K1046,3,FALSE)</f>
        <v>27.07</v>
      </c>
      <c r="D1362" s="264">
        <f>+VLOOKUP(A1362,'[2]X-SEMANA-AS-SC'!$G359:K1046,4,FALSE)</f>
        <v>26.08</v>
      </c>
      <c r="E1362" s="264">
        <f>+VLOOKUP(A1362,'[2]X-SEMANA-AS-SC'!$G359:K1046,5,FALSE)</f>
        <v>22.73</v>
      </c>
      <c r="F1362" s="257">
        <v>26</v>
      </c>
      <c r="G1362" s="257">
        <v>16.440000000000001</v>
      </c>
      <c r="H1362" s="257">
        <v>39.700000000000003</v>
      </c>
      <c r="I1362" s="257">
        <v>26.81</v>
      </c>
      <c r="J1362" s="257">
        <f>(110/(25/4.19))</f>
        <v>18.436000000000003</v>
      </c>
    </row>
    <row r="1363" spans="1:10">
      <c r="A1363" s="114">
        <v>40449</v>
      </c>
      <c r="B1363" s="264">
        <f>+VLOOKUP(A1363,'[2]X-SEMANA-AS-SC'!G$341:K1047,2,FALSE)</f>
        <v>28.19</v>
      </c>
      <c r="C1363" s="264">
        <f>+VLOOKUP(A1363,'[2]X-SEMANA-AS-SC'!$G360:K1047,3,FALSE)</f>
        <v>27.39</v>
      </c>
      <c r="D1363" s="264">
        <f>+VLOOKUP(A1363,'[2]X-SEMANA-AS-SC'!$G360:K1047,4,FALSE)</f>
        <v>26.39</v>
      </c>
      <c r="E1363" s="264">
        <f>+VLOOKUP(A1363,'[2]X-SEMANA-AS-SC'!$G360:K1047,5,FALSE)</f>
        <v>23.27</v>
      </c>
      <c r="F1363" s="257">
        <v>26</v>
      </c>
      <c r="G1363" s="257">
        <v>16.489999999999998</v>
      </c>
      <c r="H1363" s="257">
        <v>39.86</v>
      </c>
      <c r="I1363" s="257">
        <v>26.92</v>
      </c>
      <c r="J1363" s="257">
        <f>(110/(25/4.19))</f>
        <v>18.436000000000003</v>
      </c>
    </row>
    <row r="1364" spans="1:10">
      <c r="A1364" s="287" t="s">
        <v>90</v>
      </c>
      <c r="B1364" s="288">
        <f t="shared" ref="B1364:J1364" si="127">AVERAGE(B1360:B1363)</f>
        <v>28.022500000000001</v>
      </c>
      <c r="C1364" s="288">
        <f t="shared" si="127"/>
        <v>27.2225</v>
      </c>
      <c r="D1364" s="288">
        <f t="shared" si="127"/>
        <v>26.23</v>
      </c>
      <c r="E1364" s="288">
        <f t="shared" si="127"/>
        <v>22.89</v>
      </c>
      <c r="F1364" s="288">
        <f t="shared" si="127"/>
        <v>26</v>
      </c>
      <c r="G1364" s="288">
        <f t="shared" si="127"/>
        <v>16.412499999999998</v>
      </c>
      <c r="H1364" s="288">
        <f t="shared" si="127"/>
        <v>39.629999999999995</v>
      </c>
      <c r="I1364" s="288">
        <f t="shared" si="127"/>
        <v>26.762499999999999</v>
      </c>
      <c r="J1364" s="288">
        <f t="shared" si="127"/>
        <v>18.436000000000003</v>
      </c>
    </row>
    <row r="1366" spans="1:10">
      <c r="A1366" s="1680" t="s">
        <v>1</v>
      </c>
      <c r="B1366" s="284" t="s">
        <v>139</v>
      </c>
      <c r="C1366" s="284" t="s">
        <v>140</v>
      </c>
      <c r="D1366" s="284" t="s">
        <v>5</v>
      </c>
      <c r="E1366" s="284" t="s">
        <v>6</v>
      </c>
      <c r="F1366" s="285" t="s">
        <v>57</v>
      </c>
      <c r="G1366" s="286" t="s">
        <v>154</v>
      </c>
      <c r="H1366" s="285" t="s">
        <v>149</v>
      </c>
      <c r="I1366" s="286" t="s">
        <v>155</v>
      </c>
      <c r="J1366" s="285" t="s">
        <v>61</v>
      </c>
    </row>
    <row r="1367" spans="1:10">
      <c r="A1367" s="1680"/>
      <c r="B1367" s="286" t="s">
        <v>146</v>
      </c>
      <c r="C1367" s="286" t="s">
        <v>146</v>
      </c>
      <c r="D1367" s="286" t="s">
        <v>146</v>
      </c>
      <c r="E1367" s="286" t="s">
        <v>146</v>
      </c>
      <c r="F1367" s="286" t="s">
        <v>146</v>
      </c>
      <c r="G1367" s="286" t="s">
        <v>146</v>
      </c>
      <c r="H1367" s="286" t="s">
        <v>146</v>
      </c>
      <c r="I1367" s="286" t="s">
        <v>146</v>
      </c>
      <c r="J1367" s="286" t="s">
        <v>146</v>
      </c>
    </row>
    <row r="1368" spans="1:10">
      <c r="A1368" s="114">
        <v>40456</v>
      </c>
      <c r="B1368" s="264">
        <f>+VLOOKUP(A1368,'[2]X-SEMANA-AS-SC'!G$341:K1052,2,FALSE)</f>
        <v>28.830000000000002</v>
      </c>
      <c r="C1368" s="264">
        <f>+VLOOKUP(A1368,'[2]X-SEMANA-AS-SC'!$G365:K1052,3,FALSE)</f>
        <v>28.03</v>
      </c>
      <c r="D1368" s="264">
        <f>+VLOOKUP(A1368,'[2]X-SEMANA-AS-SC'!$G365:K1052,4,FALSE)</f>
        <v>27</v>
      </c>
      <c r="E1368" s="264">
        <f>+VLOOKUP(A1368,'[2]X-SEMANA-AS-SC'!$G365:K1052,5,FALSE)</f>
        <v>23.98</v>
      </c>
      <c r="F1368" s="257">
        <v>27</v>
      </c>
      <c r="G1368" s="257">
        <v>16.57</v>
      </c>
      <c r="H1368" s="252">
        <v>39.840000000000003</v>
      </c>
      <c r="I1368" s="252">
        <v>26.91</v>
      </c>
      <c r="J1368" s="257">
        <f>(110/(25/4.19))</f>
        <v>18.436000000000003</v>
      </c>
    </row>
    <row r="1369" spans="1:10">
      <c r="A1369" s="114">
        <v>40458</v>
      </c>
      <c r="B1369" s="264">
        <f>+VLOOKUP(A1369,'[2]X-SEMANA-AS-SC'!G$341:K1052,2,FALSE)</f>
        <v>29.44</v>
      </c>
      <c r="C1369" s="264">
        <f>+VLOOKUP(A1369,'[2]X-SEMANA-AS-SC'!$G365:K1052,3,FALSE)</f>
        <v>28.64</v>
      </c>
      <c r="D1369" s="264">
        <f>+VLOOKUP(A1369,'[2]X-SEMANA-AS-SC'!$G365:K1052,4,FALSE)</f>
        <v>27.64</v>
      </c>
      <c r="E1369" s="264">
        <f>+VLOOKUP(A1369,'[2]X-SEMANA-AS-SC'!$G365:K1052,5,FALSE)</f>
        <v>24.7</v>
      </c>
      <c r="F1369" s="257">
        <v>27</v>
      </c>
      <c r="G1369" s="257">
        <v>16.57</v>
      </c>
      <c r="H1369" s="252">
        <v>39.17</v>
      </c>
      <c r="I1369" s="252">
        <v>27.12</v>
      </c>
      <c r="J1369" s="257">
        <f>(110/(25/4.19))</f>
        <v>18.436000000000003</v>
      </c>
    </row>
    <row r="1370" spans="1:10">
      <c r="A1370" s="114">
        <v>40463</v>
      </c>
      <c r="B1370" s="264">
        <f>+VLOOKUP(A1370,'[2]X-SEMANA-AS-SC'!G$341:K1053,2,FALSE)</f>
        <v>30.16</v>
      </c>
      <c r="C1370" s="264">
        <f>+VLOOKUP(A1370,'[2]X-SEMANA-AS-SC'!$G366:K1053,3,FALSE)</f>
        <v>28.81</v>
      </c>
      <c r="D1370" s="264">
        <f>+VLOOKUP(A1370,'[2]X-SEMANA-AS-SC'!$G366:K1053,4,FALSE)</f>
        <v>27.82</v>
      </c>
      <c r="E1370" s="264">
        <f>+VLOOKUP(A1370,'[2]X-SEMANA-AS-SC'!$G366:K1053,5,FALSE)</f>
        <v>24.92</v>
      </c>
      <c r="F1370" s="257">
        <v>27</v>
      </c>
      <c r="G1370" s="257">
        <v>16.63</v>
      </c>
      <c r="H1370" s="252">
        <v>39.17</v>
      </c>
      <c r="I1370" s="252">
        <v>27.12</v>
      </c>
      <c r="J1370" s="257">
        <f>(110/(25/4.19))</f>
        <v>18.436000000000003</v>
      </c>
    </row>
    <row r="1371" spans="1:10">
      <c r="A1371" s="114">
        <v>40472</v>
      </c>
      <c r="B1371" s="264">
        <f>+VLOOKUP(A1371,'[2]X-SEMANA-AS-SC'!G$341:K1054,2,FALSE)</f>
        <v>30.67</v>
      </c>
      <c r="C1371" s="264">
        <f>+VLOOKUP(A1371,'[2]X-SEMANA-AS-SC'!$G367:K1054,3,FALSE)</f>
        <v>29.35</v>
      </c>
      <c r="D1371" s="264">
        <f>+VLOOKUP(A1371,'[2]X-SEMANA-AS-SC'!$G367:K1054,4,FALSE)</f>
        <v>28.34</v>
      </c>
      <c r="E1371" s="264">
        <f>+VLOOKUP(A1371,'[2]X-SEMANA-AS-SC'!$G367:K1054,5,FALSE)</f>
        <v>25.32</v>
      </c>
      <c r="F1371" s="257">
        <v>27</v>
      </c>
      <c r="G1371" s="257">
        <v>16.75</v>
      </c>
      <c r="H1371" s="257">
        <v>39.299999999999997</v>
      </c>
      <c r="I1371" s="257">
        <v>27.21</v>
      </c>
      <c r="J1371" s="257">
        <f>(110/(25/4.19))</f>
        <v>18.436000000000003</v>
      </c>
    </row>
    <row r="1372" spans="1:10">
      <c r="A1372" s="114">
        <v>40477</v>
      </c>
      <c r="B1372" s="264">
        <f>+VLOOKUP(A1372,'[2]X-SEMANA-AS-SC'!G$341:K1055,2,FALSE)</f>
        <v>30.44</v>
      </c>
      <c r="C1372" s="264">
        <f>+VLOOKUP(A1372,'[2]X-SEMANA-AS-SC'!$G368:K1055,3,FALSE)</f>
        <v>29.18</v>
      </c>
      <c r="D1372" s="264">
        <f>+VLOOKUP(A1372,'[2]X-SEMANA-AS-SC'!$G368:K1055,4,FALSE)</f>
        <v>28.19</v>
      </c>
      <c r="E1372" s="264">
        <f>+VLOOKUP(A1372,'[2]X-SEMANA-AS-SC'!$G368:K1055,5,FALSE)</f>
        <v>25.22</v>
      </c>
      <c r="F1372" s="257">
        <v>27</v>
      </c>
      <c r="G1372" s="257">
        <v>17.22</v>
      </c>
      <c r="H1372" s="257">
        <v>39.57</v>
      </c>
      <c r="I1372" s="257">
        <v>27.39</v>
      </c>
      <c r="J1372" s="257">
        <f>(110/(25/4.19))</f>
        <v>18.436000000000003</v>
      </c>
    </row>
    <row r="1373" spans="1:10">
      <c r="A1373" s="287" t="s">
        <v>91</v>
      </c>
      <c r="B1373" s="288">
        <f t="shared" ref="B1373:J1373" si="128">AVERAGE(B1368:B1372)</f>
        <v>29.908000000000005</v>
      </c>
      <c r="C1373" s="288">
        <f t="shared" si="128"/>
        <v>28.802000000000003</v>
      </c>
      <c r="D1373" s="288">
        <f t="shared" si="128"/>
        <v>27.798000000000002</v>
      </c>
      <c r="E1373" s="288">
        <f t="shared" si="128"/>
        <v>24.827999999999996</v>
      </c>
      <c r="F1373" s="288">
        <f t="shared" si="128"/>
        <v>27</v>
      </c>
      <c r="G1373" s="288">
        <f t="shared" si="128"/>
        <v>16.747999999999998</v>
      </c>
      <c r="H1373" s="288">
        <f t="shared" si="128"/>
        <v>39.410000000000004</v>
      </c>
      <c r="I1373" s="288">
        <f t="shared" si="128"/>
        <v>27.15</v>
      </c>
      <c r="J1373" s="288">
        <f t="shared" si="128"/>
        <v>18.436000000000003</v>
      </c>
    </row>
    <row r="1375" spans="1:10">
      <c r="A1375" s="1680" t="s">
        <v>1</v>
      </c>
      <c r="B1375" s="284" t="s">
        <v>139</v>
      </c>
      <c r="C1375" s="284" t="s">
        <v>140</v>
      </c>
      <c r="D1375" s="284" t="s">
        <v>5</v>
      </c>
      <c r="E1375" s="284" t="s">
        <v>6</v>
      </c>
      <c r="F1375" s="285" t="s">
        <v>57</v>
      </c>
      <c r="G1375" s="286" t="s">
        <v>154</v>
      </c>
      <c r="H1375" s="285" t="s">
        <v>149</v>
      </c>
      <c r="I1375" s="286" t="s">
        <v>155</v>
      </c>
      <c r="J1375" s="285" t="s">
        <v>61</v>
      </c>
    </row>
    <row r="1376" spans="1:10">
      <c r="A1376" s="1680"/>
      <c r="B1376" s="286" t="s">
        <v>146</v>
      </c>
      <c r="C1376" s="286" t="s">
        <v>146</v>
      </c>
      <c r="D1376" s="286" t="s">
        <v>146</v>
      </c>
      <c r="E1376" s="286" t="s">
        <v>146</v>
      </c>
      <c r="F1376" s="286" t="s">
        <v>146</v>
      </c>
      <c r="G1376" s="286" t="s">
        <v>146</v>
      </c>
      <c r="H1376" s="286" t="s">
        <v>146</v>
      </c>
      <c r="I1376" s="286" t="s">
        <v>146</v>
      </c>
      <c r="J1376" s="286" t="s">
        <v>146</v>
      </c>
    </row>
    <row r="1377" spans="1:10">
      <c r="A1377" s="114">
        <v>40484</v>
      </c>
      <c r="B1377" s="264">
        <f>+VLOOKUP(A1377,'[2]X-SEMANA-AS-SC'!G$341:K1061,2,FALSE)</f>
        <v>30.02</v>
      </c>
      <c r="C1377" s="264">
        <f>+VLOOKUP(A1377,'[2]X-SEMANA-AS-SC'!$G374:K1061,3,FALSE)</f>
        <v>28.87</v>
      </c>
      <c r="D1377" s="264">
        <f>+VLOOKUP(A1377,'[2]X-SEMANA-AS-SC'!$G374:K1061,4,FALSE)</f>
        <v>27.88</v>
      </c>
      <c r="E1377" s="264">
        <f>+VLOOKUP(A1377,'[2]X-SEMANA-AS-SC'!$G374:K1061,5,FALSE)</f>
        <v>25.01</v>
      </c>
      <c r="F1377" s="257">
        <v>27</v>
      </c>
      <c r="G1377" s="257">
        <v>17.420000000000002</v>
      </c>
      <c r="H1377" s="252">
        <v>39.31</v>
      </c>
      <c r="I1377" s="252">
        <v>27.21</v>
      </c>
      <c r="J1377" s="257">
        <f>(110/(25/4.19))</f>
        <v>18.436000000000003</v>
      </c>
    </row>
    <row r="1378" spans="1:10">
      <c r="A1378" s="114">
        <v>40491</v>
      </c>
      <c r="B1378" s="264">
        <f>+VLOOKUP(A1378,'[2]X-SEMANA-AS-SC'!G$341:K1061,2,FALSE)</f>
        <v>30.02</v>
      </c>
      <c r="C1378" s="264">
        <f>+VLOOKUP(A1378,'[2]X-SEMANA-AS-SC'!$G374:K1061,3,FALSE)</f>
        <v>28.81</v>
      </c>
      <c r="D1378" s="264">
        <f>+VLOOKUP(A1378,'[2]X-SEMANA-AS-SC'!$G374:K1061,4,FALSE)</f>
        <v>27.81</v>
      </c>
      <c r="E1378" s="264">
        <f>+VLOOKUP(A1378,'[2]X-SEMANA-AS-SC'!$G374:K1061,5,FALSE)</f>
        <v>25</v>
      </c>
      <c r="F1378" s="257">
        <v>27</v>
      </c>
      <c r="G1378" s="257">
        <v>17.75</v>
      </c>
      <c r="H1378" s="252">
        <v>39.47</v>
      </c>
      <c r="I1378" s="252">
        <v>27.32</v>
      </c>
      <c r="J1378" s="257">
        <f>(110/(25/4.19))</f>
        <v>18.436000000000003</v>
      </c>
    </row>
    <row r="1379" spans="1:10">
      <c r="A1379" s="114">
        <v>40498</v>
      </c>
      <c r="B1379" s="264">
        <f>+VLOOKUP(A1379,'[2]X-SEMANA-AS-SC'!G$341:K1062,2,FALSE)</f>
        <v>30.03</v>
      </c>
      <c r="C1379" s="264">
        <f>+VLOOKUP(A1379,'[2]X-SEMANA-AS-SC'!$G375:K1062,3,FALSE)</f>
        <v>28.83</v>
      </c>
      <c r="D1379" s="264">
        <f>+VLOOKUP(A1379,'[2]X-SEMANA-AS-SC'!$G375:K1062,4,FALSE)</f>
        <v>27.84</v>
      </c>
      <c r="E1379" s="264">
        <f>+VLOOKUP(A1379,'[2]X-SEMANA-AS-SC'!$G375:K1062,5,FALSE)</f>
        <v>25.72</v>
      </c>
      <c r="F1379" s="257">
        <v>27</v>
      </c>
      <c r="G1379" s="257">
        <v>17.670000000000002</v>
      </c>
      <c r="H1379" s="252">
        <v>39.47</v>
      </c>
      <c r="I1379" s="252">
        <v>27.32</v>
      </c>
      <c r="J1379" s="257">
        <f>(120/(25/4.19))</f>
        <v>20.112000000000002</v>
      </c>
    </row>
    <row r="1380" spans="1:10">
      <c r="A1380" s="114">
        <v>40505</v>
      </c>
      <c r="B1380" s="264">
        <f>+VLOOKUP(A1380,'[2]X-SEMANA-AS-SC'!G$341:K1063,2,FALSE)</f>
        <v>30.62</v>
      </c>
      <c r="C1380" s="264">
        <f>+VLOOKUP(A1380,'[2]X-SEMANA-AS-SC'!$G376:K1063,3,FALSE)</f>
        <v>29.13</v>
      </c>
      <c r="D1380" s="264">
        <f>+VLOOKUP(A1380,'[2]X-SEMANA-AS-SC'!$G376:K1063,4,FALSE)</f>
        <v>28.15</v>
      </c>
      <c r="E1380" s="264">
        <f>+VLOOKUP(A1380,'[2]X-SEMANA-AS-SC'!$G376:K1063,5,FALSE)</f>
        <v>26</v>
      </c>
      <c r="F1380" s="257">
        <v>27</v>
      </c>
      <c r="G1380" s="257">
        <v>17.53</v>
      </c>
      <c r="H1380" s="257">
        <v>39.47</v>
      </c>
      <c r="I1380" s="257">
        <v>27.32</v>
      </c>
      <c r="J1380" s="257">
        <f>(120/(25/4.19))</f>
        <v>20.112000000000002</v>
      </c>
    </row>
    <row r="1381" spans="1:10">
      <c r="A1381" s="114">
        <v>40512</v>
      </c>
      <c r="B1381" s="264">
        <f>+VLOOKUP(A1381,'[2]X-SEMANA-AS-SC'!G$341:K1064,2,FALSE)</f>
        <v>30.02</v>
      </c>
      <c r="C1381" s="264">
        <f>+VLOOKUP(A1381,'[2]X-SEMANA-AS-SC'!$G377:K1064,3,FALSE)</f>
        <v>29.15</v>
      </c>
      <c r="D1381" s="264">
        <f>+VLOOKUP(A1381,'[2]X-SEMANA-AS-SC'!$G377:K1064,4,FALSE)</f>
        <v>28.17</v>
      </c>
      <c r="E1381" s="264">
        <f>+VLOOKUP(A1381,'[2]X-SEMANA-AS-SC'!$G377:K1064,5,FALSE)</f>
        <v>26.69</v>
      </c>
      <c r="F1381" s="257">
        <v>27</v>
      </c>
      <c r="G1381" s="257">
        <v>17.39</v>
      </c>
      <c r="H1381" s="257">
        <v>39.119999999999997</v>
      </c>
      <c r="I1381" s="257">
        <v>28.82</v>
      </c>
      <c r="J1381" s="257">
        <f>(120/(25/4.19))</f>
        <v>20.112000000000002</v>
      </c>
    </row>
    <row r="1382" spans="1:10">
      <c r="A1382" s="287" t="s">
        <v>92</v>
      </c>
      <c r="B1382" s="288">
        <f t="shared" ref="B1382:J1382" si="129">AVERAGE(B1377:B1381)</f>
        <v>30.142000000000003</v>
      </c>
      <c r="C1382" s="288">
        <f t="shared" si="129"/>
        <v>28.957999999999998</v>
      </c>
      <c r="D1382" s="288">
        <f t="shared" si="129"/>
        <v>27.970000000000006</v>
      </c>
      <c r="E1382" s="288">
        <f t="shared" si="129"/>
        <v>25.684000000000005</v>
      </c>
      <c r="F1382" s="288">
        <f t="shared" si="129"/>
        <v>27</v>
      </c>
      <c r="G1382" s="288">
        <f t="shared" si="129"/>
        <v>17.552</v>
      </c>
      <c r="H1382" s="288">
        <f t="shared" si="129"/>
        <v>39.368000000000002</v>
      </c>
      <c r="I1382" s="288">
        <f t="shared" si="129"/>
        <v>27.597999999999995</v>
      </c>
      <c r="J1382" s="288">
        <f t="shared" si="129"/>
        <v>19.441600000000001</v>
      </c>
    </row>
    <row r="1384" spans="1:10">
      <c r="A1384" s="1680" t="s">
        <v>1</v>
      </c>
      <c r="B1384" s="284" t="s">
        <v>139</v>
      </c>
      <c r="C1384" s="284" t="s">
        <v>140</v>
      </c>
      <c r="D1384" s="284" t="s">
        <v>5</v>
      </c>
      <c r="E1384" s="284" t="s">
        <v>6</v>
      </c>
      <c r="F1384" s="285" t="s">
        <v>57</v>
      </c>
      <c r="G1384" s="286" t="s">
        <v>154</v>
      </c>
      <c r="H1384" s="285" t="s">
        <v>149</v>
      </c>
      <c r="I1384" s="286" t="s">
        <v>155</v>
      </c>
      <c r="J1384" s="285" t="s">
        <v>61</v>
      </c>
    </row>
    <row r="1385" spans="1:10">
      <c r="A1385" s="1680"/>
      <c r="B1385" s="286" t="s">
        <v>146</v>
      </c>
      <c r="C1385" s="286" t="s">
        <v>146</v>
      </c>
      <c r="D1385" s="286" t="s">
        <v>146</v>
      </c>
      <c r="E1385" s="286" t="s">
        <v>146</v>
      </c>
      <c r="F1385" s="286" t="s">
        <v>146</v>
      </c>
      <c r="G1385" s="286" t="s">
        <v>146</v>
      </c>
      <c r="H1385" s="286" t="s">
        <v>146</v>
      </c>
      <c r="I1385" s="286" t="s">
        <v>146</v>
      </c>
      <c r="J1385" s="286" t="s">
        <v>146</v>
      </c>
    </row>
    <row r="1386" spans="1:10">
      <c r="A1386" s="114">
        <v>40519</v>
      </c>
      <c r="B1386" s="264">
        <f>+VLOOKUP(A1386,'[2]X-SEMANA-AS-SC'!G$341:K1070,2,FALSE)</f>
        <v>30.8</v>
      </c>
      <c r="C1386" s="264">
        <f>+VLOOKUP(A1386,'[2]X-SEMANA-AS-SC'!$G383:K1070,3,FALSE)</f>
        <v>29.28</v>
      </c>
      <c r="D1386" s="264">
        <f>+VLOOKUP(A1386,'[2]X-SEMANA-AS-SC'!$G383:K1070,4,FALSE)</f>
        <v>28.3</v>
      </c>
      <c r="E1386" s="264">
        <f>+VLOOKUP(A1386,'[2]X-SEMANA-AS-SC'!$G383:K1070,5,FALSE)</f>
        <v>26.27</v>
      </c>
      <c r="F1386" s="257">
        <v>27</v>
      </c>
      <c r="G1386" s="257">
        <v>17.47</v>
      </c>
      <c r="H1386" s="252">
        <v>40.18</v>
      </c>
      <c r="I1386" s="252">
        <v>28.4</v>
      </c>
      <c r="J1386" s="257">
        <f>(120/(25/4.19))</f>
        <v>20.112000000000002</v>
      </c>
    </row>
    <row r="1387" spans="1:10">
      <c r="A1387" s="114">
        <v>40526</v>
      </c>
      <c r="B1387" s="264">
        <f>+VLOOKUP(A1387,'[2]X-SEMANA-AS-SC'!G$341:K1071,2,FALSE)</f>
        <v>30.79</v>
      </c>
      <c r="C1387" s="264">
        <f>+VLOOKUP(A1387,'[2]X-SEMANA-AS-SC'!$G384:K1071,3,FALSE)</f>
        <v>29.7</v>
      </c>
      <c r="D1387" s="264">
        <f>+VLOOKUP(A1387,'[2]X-SEMANA-AS-SC'!$G384:K1071,4,FALSE)</f>
        <v>28.72</v>
      </c>
      <c r="E1387" s="264">
        <f>+VLOOKUP(A1387,'[2]X-SEMANA-AS-SC'!$G384:K1071,5,FALSE)</f>
        <v>26.74</v>
      </c>
      <c r="F1387" s="257">
        <v>27</v>
      </c>
      <c r="G1387" s="257">
        <v>17.62</v>
      </c>
      <c r="H1387" s="252">
        <v>40.18</v>
      </c>
      <c r="I1387" s="252">
        <v>28.4</v>
      </c>
      <c r="J1387" s="257">
        <f>(120/(25/4.19))</f>
        <v>20.112000000000002</v>
      </c>
    </row>
    <row r="1388" spans="1:10">
      <c r="A1388" s="114">
        <v>40534</v>
      </c>
      <c r="B1388" s="264">
        <f>+VLOOKUP(A1388,'[2]X-SEMANA-AS-SC'!G$341:K1072,2,FALSE)</f>
        <v>31.17</v>
      </c>
      <c r="C1388" s="264">
        <f>+VLOOKUP(A1388,'[2]X-SEMANA-AS-SC'!$G385:K1072,3,FALSE)</f>
        <v>29.96</v>
      </c>
      <c r="D1388" s="264">
        <f>+VLOOKUP(A1388,'[2]X-SEMANA-AS-SC'!$G385:K1072,4,FALSE)</f>
        <v>28.97</v>
      </c>
      <c r="E1388" s="264">
        <f>+VLOOKUP(A1388,'[2]X-SEMANA-AS-SC'!$G385:K1072,5,FALSE)</f>
        <v>27.05</v>
      </c>
      <c r="F1388" s="257">
        <v>27</v>
      </c>
      <c r="G1388" s="257">
        <v>18.010000000000002</v>
      </c>
      <c r="H1388" s="252">
        <v>40.18</v>
      </c>
      <c r="I1388" s="252">
        <v>28.4</v>
      </c>
      <c r="J1388" s="257">
        <f>(120/(25/4.19))</f>
        <v>20.112000000000002</v>
      </c>
    </row>
    <row r="1389" spans="1:10">
      <c r="A1389" s="114">
        <v>40540</v>
      </c>
      <c r="B1389" s="264">
        <f>+VLOOKUP(A1389,'[2]X-SEMANA-AS-SC'!G$341:K1073,2,FALSE)</f>
        <v>31.57</v>
      </c>
      <c r="C1389" s="264">
        <f>+VLOOKUP(A1389,'[2]X-SEMANA-AS-SC'!$G386:K1073,3,FALSE)</f>
        <v>30.32</v>
      </c>
      <c r="D1389" s="264">
        <f>+VLOOKUP(A1389,'[2]X-SEMANA-AS-SC'!$G386:K1073,4,FALSE)</f>
        <v>29.35</v>
      </c>
      <c r="E1389" s="264">
        <f>+VLOOKUP(A1389,'[2]X-SEMANA-AS-SC'!$G386:K1073,5,FALSE)</f>
        <v>27.46</v>
      </c>
      <c r="F1389" s="257">
        <v>27</v>
      </c>
      <c r="G1389" s="257">
        <v>18</v>
      </c>
      <c r="H1389" s="257">
        <v>40.18</v>
      </c>
      <c r="I1389" s="257">
        <v>28.4</v>
      </c>
      <c r="J1389" s="257">
        <f>(120/(25/4.19))</f>
        <v>20.112000000000002</v>
      </c>
    </row>
    <row r="1390" spans="1:10">
      <c r="A1390" s="287" t="s">
        <v>93</v>
      </c>
      <c r="B1390" s="288">
        <f t="shared" ref="B1390:J1390" si="130">AVERAGE(B1386:B1389)</f>
        <v>31.082500000000003</v>
      </c>
      <c r="C1390" s="288">
        <f t="shared" si="130"/>
        <v>29.814999999999998</v>
      </c>
      <c r="D1390" s="288">
        <f t="shared" si="130"/>
        <v>28.835000000000001</v>
      </c>
      <c r="E1390" s="288">
        <f t="shared" si="130"/>
        <v>26.880000000000003</v>
      </c>
      <c r="F1390" s="288">
        <f t="shared" si="130"/>
        <v>27</v>
      </c>
      <c r="G1390" s="288">
        <f t="shared" si="130"/>
        <v>17.775000000000002</v>
      </c>
      <c r="H1390" s="288">
        <f t="shared" si="130"/>
        <v>40.18</v>
      </c>
      <c r="I1390" s="288">
        <f t="shared" si="130"/>
        <v>28.4</v>
      </c>
      <c r="J1390" s="288">
        <f t="shared" si="130"/>
        <v>20.112000000000002</v>
      </c>
    </row>
    <row r="1392" spans="1:10">
      <c r="A1392" s="1679" t="s">
        <v>1</v>
      </c>
      <c r="B1392" s="289" t="s">
        <v>139</v>
      </c>
      <c r="C1392" s="289" t="s">
        <v>140</v>
      </c>
      <c r="D1392" s="289" t="s">
        <v>5</v>
      </c>
      <c r="E1392" s="289" t="s">
        <v>6</v>
      </c>
      <c r="F1392" s="290" t="s">
        <v>57</v>
      </c>
      <c r="G1392" s="291" t="s">
        <v>154</v>
      </c>
      <c r="H1392" s="290" t="s">
        <v>149</v>
      </c>
      <c r="I1392" s="291" t="s">
        <v>155</v>
      </c>
      <c r="J1392" s="290" t="s">
        <v>61</v>
      </c>
    </row>
    <row r="1393" spans="1:13">
      <c r="A1393" s="1679"/>
      <c r="B1393" s="291" t="s">
        <v>146</v>
      </c>
      <c r="C1393" s="291" t="s">
        <v>146</v>
      </c>
      <c r="D1393" s="291" t="s">
        <v>146</v>
      </c>
      <c r="E1393" s="291" t="s">
        <v>146</v>
      </c>
      <c r="F1393" s="291" t="s">
        <v>146</v>
      </c>
      <c r="G1393" s="291" t="s">
        <v>146</v>
      </c>
      <c r="H1393" s="291" t="s">
        <v>146</v>
      </c>
      <c r="I1393" s="291" t="s">
        <v>146</v>
      </c>
      <c r="J1393" s="291" t="s">
        <v>146</v>
      </c>
    </row>
    <row r="1394" spans="1:13">
      <c r="A1394" s="114">
        <v>40547</v>
      </c>
      <c r="B1394" s="264">
        <f>+VLOOKUP(A1394,'[2]X-SEMANA-AS-SC'!G$341:K1078,2,FALSE)</f>
        <v>31.57</v>
      </c>
      <c r="C1394" s="264">
        <f>+VLOOKUP(A1394,'[2]X-SEMANA-AS-SC'!$G391:K1078,3,FALSE)</f>
        <v>30.32</v>
      </c>
      <c r="D1394" s="264">
        <f>+VLOOKUP(A1394,'[2]X-SEMANA-AS-SC'!$G391:K1078,4,FALSE)</f>
        <v>29.35</v>
      </c>
      <c r="E1394" s="264">
        <f>+VLOOKUP(A1394,'[2]X-SEMANA-AS-SC'!$G391:K1078,5,FALSE)</f>
        <v>27.46</v>
      </c>
      <c r="F1394" s="257">
        <v>27</v>
      </c>
      <c r="G1394" s="257">
        <f>18.09</f>
        <v>18.09</v>
      </c>
      <c r="H1394" s="252">
        <v>40.18</v>
      </c>
      <c r="I1394" s="252">
        <v>28.4</v>
      </c>
      <c r="J1394" s="257">
        <f>(120/(25/4.19))</f>
        <v>20.112000000000002</v>
      </c>
      <c r="K1394" s="564" t="s">
        <v>156</v>
      </c>
    </row>
    <row r="1395" spans="1:13">
      <c r="A1395" s="114">
        <v>40554</v>
      </c>
      <c r="B1395" s="264">
        <f>+VLOOKUP(A1395,'[2]X-SEMANA-AS-SC'!G$341:K1079,2,FALSE)</f>
        <v>31.72</v>
      </c>
      <c r="C1395" s="264">
        <f>+VLOOKUP(A1395,'[2]X-SEMANA-AS-SC'!$G392:K1079,3,FALSE)</f>
        <v>30.49</v>
      </c>
      <c r="D1395" s="264">
        <f>+VLOOKUP(A1395,'[2]X-SEMANA-AS-SC'!$G392:K1079,4,FALSE)</f>
        <v>29.48</v>
      </c>
      <c r="E1395" s="264">
        <f>+VLOOKUP(A1395,'[2]X-SEMANA-AS-SC'!$G392:K1079,5,FALSE)</f>
        <v>27.65</v>
      </c>
      <c r="F1395" s="257">
        <v>27</v>
      </c>
      <c r="G1395" s="257">
        <f>18.02</f>
        <v>18.02</v>
      </c>
      <c r="H1395" s="252">
        <v>40.18</v>
      </c>
      <c r="I1395" s="252">
        <v>28.4</v>
      </c>
      <c r="J1395" s="257">
        <f>(130/(25/4.19))</f>
        <v>21.788000000000004</v>
      </c>
    </row>
    <row r="1396" spans="1:13">
      <c r="A1396" s="114">
        <v>40561</v>
      </c>
      <c r="B1396" s="264">
        <f>+VLOOKUP(A1396,'[2]X-SEMANA-AS-SC'!G$341:K1080,2,FALSE)</f>
        <v>32.71</v>
      </c>
      <c r="C1396" s="264">
        <f>+VLOOKUP(A1396,'[2]X-SEMANA-AS-SC'!$G393:K1080,3,FALSE)</f>
        <v>31.37</v>
      </c>
      <c r="D1396" s="264">
        <f>+VLOOKUP(A1396,'[2]X-SEMANA-AS-SC'!$G393:K1080,4,FALSE)</f>
        <v>30.4</v>
      </c>
      <c r="E1396" s="264">
        <f>+VLOOKUP(A1396,'[2]X-SEMANA-AS-SC'!$G393:K1080,5,FALSE)</f>
        <v>28.06</v>
      </c>
      <c r="F1396" s="257">
        <v>27</v>
      </c>
      <c r="G1396" s="257">
        <f>18.35</f>
        <v>18.350000000000001</v>
      </c>
      <c r="H1396" s="257">
        <v>40.01</v>
      </c>
      <c r="I1396" s="257">
        <v>28.28</v>
      </c>
      <c r="J1396" s="257">
        <f>(130/(25/4.19))</f>
        <v>21.788000000000004</v>
      </c>
    </row>
    <row r="1397" spans="1:13">
      <c r="A1397" s="114">
        <v>40568</v>
      </c>
      <c r="B1397" s="264">
        <f>+VLOOKUP(A1397,'[2]X-SEMANA-AS-SC'!G$341:K1081,2,FALSE)</f>
        <v>32.71</v>
      </c>
      <c r="C1397" s="264">
        <f>+VLOOKUP(A1397,'[2]X-SEMANA-AS-SC'!$G394:K1081,3,FALSE)</f>
        <v>31.36</v>
      </c>
      <c r="D1397" s="264">
        <f>+VLOOKUP(A1397,'[2]X-SEMANA-AS-SC'!$G394:K1081,4,FALSE)</f>
        <v>30.38</v>
      </c>
      <c r="E1397" s="264">
        <f>+VLOOKUP(A1397,'[2]X-SEMANA-AS-SC'!$G394:K1081,5,FALSE)</f>
        <v>28.06</v>
      </c>
      <c r="F1397" s="257">
        <v>28</v>
      </c>
      <c r="G1397" s="257">
        <f>18.42</f>
        <v>18.420000000000002</v>
      </c>
      <c r="H1397" s="257">
        <v>40.01</v>
      </c>
      <c r="I1397" s="257">
        <v>28.28</v>
      </c>
      <c r="J1397" s="257">
        <f>(130/(25/4.19))</f>
        <v>21.788000000000004</v>
      </c>
    </row>
    <row r="1398" spans="1:13">
      <c r="A1398" s="114">
        <v>40574</v>
      </c>
      <c r="B1398" s="264">
        <f>+VLOOKUP(A1398,'[2]X-SEMANA-AS-SC'!G$341:K1082,2,FALSE)</f>
        <v>31.67</v>
      </c>
      <c r="C1398" s="264">
        <f>+VLOOKUP(A1398,'[2]X-SEMANA-AS-SC'!$G395:K1082,3,FALSE)</f>
        <v>30.69</v>
      </c>
      <c r="D1398" s="264">
        <f>+VLOOKUP(A1398,'[2]X-SEMANA-AS-SC'!$G395:K1082,4,FALSE)</f>
        <v>28.38</v>
      </c>
      <c r="E1398" s="264">
        <f>+VLOOKUP(A1398,'[2]X-SEMANA-AS-SC'!$G395:K1082,5,FALSE)</f>
        <v>28.5</v>
      </c>
      <c r="F1398" s="257">
        <v>28</v>
      </c>
      <c r="G1398" s="257">
        <f>18.29</f>
        <v>18.29</v>
      </c>
      <c r="H1398" s="257">
        <v>40.01</v>
      </c>
      <c r="I1398" s="257">
        <v>28.28</v>
      </c>
      <c r="J1398" s="257">
        <f>(130/(25/4.19))</f>
        <v>21.788000000000004</v>
      </c>
    </row>
    <row r="1399" spans="1:13">
      <c r="A1399" s="292" t="s">
        <v>76</v>
      </c>
      <c r="B1399" s="293">
        <f t="shared" ref="B1399:J1399" si="131">AVERAGE(B1394:B1397)</f>
        <v>32.177500000000002</v>
      </c>
      <c r="C1399" s="293">
        <f t="shared" si="131"/>
        <v>30.885000000000002</v>
      </c>
      <c r="D1399" s="293">
        <f t="shared" si="131"/>
        <v>29.902499999999996</v>
      </c>
      <c r="E1399" s="293">
        <f t="shared" si="131"/>
        <v>27.807500000000001</v>
      </c>
      <c r="F1399" s="293">
        <f t="shared" si="131"/>
        <v>27.25</v>
      </c>
      <c r="G1399" s="293">
        <f t="shared" si="131"/>
        <v>18.22</v>
      </c>
      <c r="H1399" s="293">
        <f t="shared" si="131"/>
        <v>40.094999999999999</v>
      </c>
      <c r="I1399" s="293">
        <f t="shared" si="131"/>
        <v>28.34</v>
      </c>
      <c r="J1399" s="293">
        <f t="shared" si="131"/>
        <v>21.369000000000003</v>
      </c>
    </row>
    <row r="1401" spans="1:13">
      <c r="A1401" s="1679" t="s">
        <v>1</v>
      </c>
      <c r="B1401" s="289" t="s">
        <v>139</v>
      </c>
      <c r="C1401" s="289" t="s">
        <v>140</v>
      </c>
      <c r="D1401" s="289" t="s">
        <v>5</v>
      </c>
      <c r="E1401" s="289" t="s">
        <v>6</v>
      </c>
      <c r="F1401" s="290" t="s">
        <v>57</v>
      </c>
      <c r="G1401" s="291" t="s">
        <v>154</v>
      </c>
      <c r="H1401" s="290" t="s">
        <v>149</v>
      </c>
      <c r="I1401" s="291" t="s">
        <v>155</v>
      </c>
      <c r="J1401" s="290" t="s">
        <v>61</v>
      </c>
    </row>
    <row r="1402" spans="1:13">
      <c r="A1402" s="1679"/>
      <c r="B1402" s="291" t="s">
        <v>146</v>
      </c>
      <c r="C1402" s="291" t="s">
        <v>146</v>
      </c>
      <c r="D1402" s="291" t="s">
        <v>146</v>
      </c>
      <c r="E1402" s="291" t="s">
        <v>146</v>
      </c>
      <c r="F1402" s="291" t="s">
        <v>146</v>
      </c>
      <c r="G1402" s="291" t="s">
        <v>146</v>
      </c>
      <c r="H1402" s="291" t="s">
        <v>146</v>
      </c>
      <c r="I1402" s="291" t="s">
        <v>146</v>
      </c>
      <c r="J1402" s="291" t="s">
        <v>146</v>
      </c>
    </row>
    <row r="1403" spans="1:13" ht="13.5" thickBot="1">
      <c r="A1403" s="114">
        <v>40582</v>
      </c>
      <c r="B1403" s="264">
        <f>+VLOOKUP(A1403,'[2]X-SEMANA-AS-SC'!G$341:K1086,2,FALSE)</f>
        <v>32.82</v>
      </c>
      <c r="C1403" s="264">
        <f>+VLOOKUP(A1403,'[2]X-SEMANA-AS-SC'!$G399:K1086,3,FALSE)</f>
        <v>31.78</v>
      </c>
      <c r="D1403" s="264">
        <f>+VLOOKUP(A1403,'[2]X-SEMANA-AS-SC'!$G399:K1086,4,FALSE)</f>
        <v>30.81</v>
      </c>
      <c r="E1403" s="264">
        <f>+VLOOKUP(A1403,'[2]X-SEMANA-AS-SC'!$G399:K1086,5,FALSE)</f>
        <v>28.5</v>
      </c>
      <c r="F1403" s="257">
        <v>28.5</v>
      </c>
      <c r="G1403" s="257">
        <f>18.56</f>
        <v>18.559999999999999</v>
      </c>
      <c r="H1403" s="252">
        <v>39.409999999999997</v>
      </c>
      <c r="I1403" s="252">
        <v>30.9</v>
      </c>
      <c r="J1403" s="257">
        <f>(130/(25/4.19))</f>
        <v>21.788000000000004</v>
      </c>
    </row>
    <row r="1404" spans="1:13">
      <c r="A1404" s="114">
        <v>40588</v>
      </c>
      <c r="B1404" s="264">
        <f>+VLOOKUP(A1404,'[2]X-SEMANA-AS-SC'!G$341:K1087,2,FALSE)</f>
        <v>32.75</v>
      </c>
      <c r="C1404" s="264">
        <f>+VLOOKUP(A1404,'[2]X-SEMANA-AS-SC'!$G400:K1087,3,FALSE)</f>
        <v>31.79</v>
      </c>
      <c r="D1404" s="264">
        <f>+VLOOKUP(A1404,'[2]X-SEMANA-AS-SC'!$G400:K1087,4,FALSE)</f>
        <v>30.86</v>
      </c>
      <c r="E1404" s="264">
        <f>+VLOOKUP(A1404,'[2]X-SEMANA-AS-SC'!$G400:K1087,5,FALSE)</f>
        <v>28.55</v>
      </c>
      <c r="F1404" s="257">
        <v>28.5</v>
      </c>
      <c r="G1404" s="257">
        <f>18.6</f>
        <v>18.600000000000001</v>
      </c>
      <c r="H1404" s="252">
        <v>39.130000000000003</v>
      </c>
      <c r="I1404" s="252">
        <v>30.67</v>
      </c>
      <c r="J1404" s="257">
        <f>(130/(25/4.19))</f>
        <v>21.788000000000004</v>
      </c>
      <c r="L1404" s="99"/>
      <c r="M1404" s="540"/>
    </row>
    <row r="1405" spans="1:13">
      <c r="A1405" s="114">
        <v>40596</v>
      </c>
      <c r="B1405" s="264">
        <f>+VLOOKUP(A1405,'[2]X-SEMANA-AS-SC'!G$341:K1088,2,FALSE)</f>
        <v>32.74</v>
      </c>
      <c r="C1405" s="264">
        <f>+VLOOKUP(A1405,'[2]X-SEMANA-AS-SC'!$G401:K1088,3,FALSE)</f>
        <v>31.72</v>
      </c>
      <c r="D1405" s="264">
        <f>+VLOOKUP(A1405,'[2]X-SEMANA-AS-SC'!$G401:K1088,4,FALSE)</f>
        <v>30.75</v>
      </c>
      <c r="E1405" s="264">
        <f>+VLOOKUP(A1405,'[2]X-SEMANA-AS-SC'!$G401:K1088,5,FALSE)</f>
        <v>28.53</v>
      </c>
      <c r="F1405" s="257">
        <v>28.5</v>
      </c>
      <c r="G1405" s="257">
        <f>18.9</f>
        <v>18.899999999999999</v>
      </c>
      <c r="H1405" s="257">
        <v>39.39</v>
      </c>
      <c r="I1405" s="257">
        <v>31.87</v>
      </c>
      <c r="J1405" s="257">
        <f>(130/(25/4.19))</f>
        <v>21.788000000000004</v>
      </c>
      <c r="L1405" s="64"/>
      <c r="M1405" s="541"/>
    </row>
    <row r="1406" spans="1:13">
      <c r="A1406" s="114">
        <v>40602</v>
      </c>
      <c r="B1406" s="264">
        <f>+VLOOKUP(A1406,'[2]X-SEMANA-AS-SC'!G$341:K1089,2,FALSE)</f>
        <v>33.29</v>
      </c>
      <c r="C1406" s="264">
        <f>+VLOOKUP(A1406,'[2]X-SEMANA-AS-SC'!$G402:K1089,3,FALSE)</f>
        <v>32.14</v>
      </c>
      <c r="D1406" s="264">
        <f>+VLOOKUP(A1406,'[2]X-SEMANA-AS-SC'!$G402:K1089,4,FALSE)</f>
        <v>31.16</v>
      </c>
      <c r="E1406" s="264">
        <f>+VLOOKUP(A1406,'[2]X-SEMANA-AS-SC'!$G402:K1089,5,FALSE)</f>
        <v>29.19</v>
      </c>
      <c r="F1406" s="257">
        <v>28.5</v>
      </c>
      <c r="G1406" s="257">
        <f>18.81</f>
        <v>18.809999999999999</v>
      </c>
      <c r="H1406" s="257">
        <v>39.090000000000003</v>
      </c>
      <c r="I1406" s="257">
        <v>31.54</v>
      </c>
      <c r="J1406" s="257">
        <f>(130/(25/4.19))</f>
        <v>21.788000000000004</v>
      </c>
      <c r="L1406" s="64"/>
      <c r="M1406" s="541"/>
    </row>
    <row r="1407" spans="1:13">
      <c r="A1407" s="292" t="s">
        <v>77</v>
      </c>
      <c r="B1407" s="293">
        <f t="shared" ref="B1407:J1407" si="132">AVERAGE(B1403:B1406)</f>
        <v>32.9</v>
      </c>
      <c r="C1407" s="293">
        <f t="shared" si="132"/>
        <v>31.857499999999998</v>
      </c>
      <c r="D1407" s="293">
        <f t="shared" si="132"/>
        <v>30.895</v>
      </c>
      <c r="E1407" s="293">
        <f t="shared" si="132"/>
        <v>28.692499999999999</v>
      </c>
      <c r="F1407" s="293">
        <f t="shared" si="132"/>
        <v>28.5</v>
      </c>
      <c r="G1407" s="293">
        <f t="shared" si="132"/>
        <v>18.717499999999998</v>
      </c>
      <c r="H1407" s="293">
        <f t="shared" si="132"/>
        <v>39.254999999999995</v>
      </c>
      <c r="I1407" s="293">
        <f t="shared" si="132"/>
        <v>31.244999999999997</v>
      </c>
      <c r="J1407" s="293">
        <f t="shared" si="132"/>
        <v>21.788000000000004</v>
      </c>
      <c r="L1407" s="64"/>
      <c r="M1407" s="541"/>
    </row>
    <row r="1408" spans="1:13">
      <c r="L1408" s="64"/>
      <c r="M1408" s="541"/>
    </row>
    <row r="1409" spans="1:13" ht="13.5" thickBot="1">
      <c r="A1409" s="1679" t="s">
        <v>1</v>
      </c>
      <c r="B1409" s="289" t="s">
        <v>139</v>
      </c>
      <c r="C1409" s="289" t="s">
        <v>140</v>
      </c>
      <c r="D1409" s="289" t="s">
        <v>5</v>
      </c>
      <c r="E1409" s="289" t="s">
        <v>6</v>
      </c>
      <c r="F1409" s="290" t="s">
        <v>57</v>
      </c>
      <c r="G1409" s="291" t="s">
        <v>154</v>
      </c>
      <c r="H1409" s="290" t="s">
        <v>149</v>
      </c>
      <c r="I1409" s="291" t="s">
        <v>155</v>
      </c>
      <c r="J1409" s="290" t="s">
        <v>61</v>
      </c>
      <c r="L1409" s="538"/>
      <c r="M1409" s="363"/>
    </row>
    <row r="1410" spans="1:13">
      <c r="A1410" s="1679"/>
      <c r="B1410" s="291" t="s">
        <v>146</v>
      </c>
      <c r="C1410" s="291" t="s">
        <v>146</v>
      </c>
      <c r="D1410" s="291" t="s">
        <v>146</v>
      </c>
      <c r="E1410" s="291" t="s">
        <v>146</v>
      </c>
      <c r="F1410" s="291" t="s">
        <v>146</v>
      </c>
      <c r="G1410" s="291" t="s">
        <v>146</v>
      </c>
      <c r="H1410" s="291" t="s">
        <v>146</v>
      </c>
      <c r="I1410" s="291" t="s">
        <v>146</v>
      </c>
      <c r="J1410" s="291" t="s">
        <v>146</v>
      </c>
    </row>
    <row r="1411" spans="1:13">
      <c r="A1411" s="114">
        <v>40609</v>
      </c>
      <c r="B1411" s="264">
        <f>+VLOOKUP(A1411,'[2]X-SEMANA-AS-SC'!G$341:K1094,2,FALSE)</f>
        <v>34.56</v>
      </c>
      <c r="C1411" s="264">
        <f>+VLOOKUP(A1411,'[2]X-SEMANA-AS-SC'!$G407:K1094,3,FALSE)</f>
        <v>33.24</v>
      </c>
      <c r="D1411" s="264">
        <f>+VLOOKUP(A1411,'[2]X-SEMANA-AS-SC'!$G407:K1094,4,FALSE)</f>
        <v>32.26</v>
      </c>
      <c r="E1411" s="264">
        <f>+VLOOKUP(A1411,'[2]X-SEMANA-AS-SC'!$G407:K1094,5,FALSE)</f>
        <v>30.56</v>
      </c>
      <c r="F1411" s="257">
        <v>28.5</v>
      </c>
      <c r="G1411" s="257">
        <v>20.12</v>
      </c>
      <c r="H1411" s="252">
        <v>38.76</v>
      </c>
      <c r="I1411" s="252">
        <v>32.28</v>
      </c>
      <c r="J1411" s="257">
        <f>(130/(25/4.19))</f>
        <v>21.788000000000004</v>
      </c>
    </row>
    <row r="1412" spans="1:13">
      <c r="A1412" s="114">
        <v>40616</v>
      </c>
      <c r="B1412" s="264">
        <f>+VLOOKUP(A1412,'[2]X-SEMANA-AS-SC'!G$341:K1095,2,FALSE)</f>
        <v>36.130000000000003</v>
      </c>
      <c r="C1412" s="264">
        <f>+VLOOKUP(A1412,'[2]X-SEMANA-AS-SC'!$G408:K1095,3,FALSE)</f>
        <v>34.78</v>
      </c>
      <c r="D1412" s="264">
        <f>+VLOOKUP(A1412,'[2]X-SEMANA-AS-SC'!$G408:K1095,4,FALSE)</f>
        <v>34.130000000000003</v>
      </c>
      <c r="E1412" s="264">
        <f>+VLOOKUP(A1412,'[2]X-SEMANA-AS-SC'!$G408:K1095,5,FALSE)</f>
        <v>31.95</v>
      </c>
      <c r="F1412" s="257">
        <v>28.5</v>
      </c>
      <c r="G1412" s="257">
        <v>20.25</v>
      </c>
      <c r="H1412" s="252">
        <v>38.65</v>
      </c>
      <c r="I1412" s="252">
        <v>32.19</v>
      </c>
      <c r="J1412" s="257">
        <f>(130/(25/4.19))</f>
        <v>21.788000000000004</v>
      </c>
    </row>
    <row r="1413" spans="1:13">
      <c r="A1413" s="114">
        <v>40623</v>
      </c>
      <c r="B1413" s="264">
        <f>+VLOOKUP(A1413,'[2]X-SEMANA-AS-SC'!G$341:K1096,2,FALSE)</f>
        <v>36</v>
      </c>
      <c r="C1413" s="264">
        <f>+VLOOKUP(A1413,'[2]X-SEMANA-AS-SC'!$G409:K1096,3,FALSE)</f>
        <v>35.1</v>
      </c>
      <c r="D1413" s="264">
        <f>+VLOOKUP(A1413,'[2]X-SEMANA-AS-SC'!$G409:K1096,4,FALSE)</f>
        <v>34.549999999999997</v>
      </c>
      <c r="E1413" s="264">
        <f>+VLOOKUP(A1413,'[2]X-SEMANA-AS-SC'!$G409:K1096,5,FALSE)</f>
        <v>32.17</v>
      </c>
      <c r="F1413" s="257">
        <v>28.5</v>
      </c>
      <c r="G1413" s="257">
        <v>20.420000000000002</v>
      </c>
      <c r="H1413" s="257">
        <v>43.27</v>
      </c>
      <c r="I1413" s="257">
        <v>33.75</v>
      </c>
      <c r="J1413" s="257">
        <f>(130/(25/4.19))</f>
        <v>21.788000000000004</v>
      </c>
    </row>
    <row r="1414" spans="1:13">
      <c r="A1414" s="114">
        <v>40630</v>
      </c>
      <c r="B1414" s="264">
        <f>+VLOOKUP(A1414,'[2]X-SEMANA-AS-SC'!G$341:K1097,2,FALSE)</f>
        <v>35.67</v>
      </c>
      <c r="C1414" s="264">
        <f>+VLOOKUP(A1414,'[2]X-SEMANA-AS-SC'!$G410:K1097,3,FALSE)</f>
        <v>34.94</v>
      </c>
      <c r="D1414" s="264">
        <f>+VLOOKUP(A1414,'[2]X-SEMANA-AS-SC'!$G410:K1097,4,FALSE)</f>
        <v>34.35</v>
      </c>
      <c r="E1414" s="264">
        <f>+VLOOKUP(A1414,'[2]X-SEMANA-AS-SC'!$G410:K1097,5,FALSE)</f>
        <v>32</v>
      </c>
      <c r="F1414" s="257">
        <v>28.5</v>
      </c>
      <c r="G1414" s="257">
        <v>21.03</v>
      </c>
      <c r="H1414" s="257">
        <v>43.12</v>
      </c>
      <c r="I1414" s="257">
        <v>33.630000000000003</v>
      </c>
      <c r="J1414" s="257">
        <f>(130/(25/4.19))</f>
        <v>21.788000000000004</v>
      </c>
    </row>
    <row r="1415" spans="1:13">
      <c r="A1415" s="292" t="s">
        <v>78</v>
      </c>
      <c r="B1415" s="293">
        <f t="shared" ref="B1415:J1415" si="133">AVERAGE(B1411:B1414)</f>
        <v>35.590000000000003</v>
      </c>
      <c r="C1415" s="293">
        <f t="shared" si="133"/>
        <v>34.515000000000001</v>
      </c>
      <c r="D1415" s="293">
        <f t="shared" si="133"/>
        <v>33.822499999999998</v>
      </c>
      <c r="E1415" s="293">
        <f t="shared" si="133"/>
        <v>31.67</v>
      </c>
      <c r="F1415" s="293">
        <f t="shared" si="133"/>
        <v>28.5</v>
      </c>
      <c r="G1415" s="293">
        <f t="shared" si="133"/>
        <v>20.455000000000002</v>
      </c>
      <c r="H1415" s="293">
        <f t="shared" si="133"/>
        <v>40.950000000000003</v>
      </c>
      <c r="I1415" s="293">
        <f t="shared" si="133"/>
        <v>32.962499999999999</v>
      </c>
      <c r="J1415" s="293">
        <f t="shared" si="133"/>
        <v>21.788000000000004</v>
      </c>
    </row>
    <row r="1417" spans="1:13">
      <c r="A1417" s="1679" t="s">
        <v>1</v>
      </c>
      <c r="B1417" s="289" t="s">
        <v>139</v>
      </c>
      <c r="C1417" s="289" t="s">
        <v>140</v>
      </c>
      <c r="D1417" s="289" t="s">
        <v>5</v>
      </c>
      <c r="E1417" s="289" t="s">
        <v>6</v>
      </c>
      <c r="F1417" s="290" t="s">
        <v>57</v>
      </c>
      <c r="G1417" s="291" t="s">
        <v>154</v>
      </c>
      <c r="H1417" s="290" t="s">
        <v>149</v>
      </c>
      <c r="I1417" s="291" t="s">
        <v>155</v>
      </c>
      <c r="J1417" s="290" t="s">
        <v>61</v>
      </c>
    </row>
    <row r="1418" spans="1:13">
      <c r="A1418" s="1679"/>
      <c r="B1418" s="291" t="s">
        <v>146</v>
      </c>
      <c r="C1418" s="291" t="s">
        <v>146</v>
      </c>
      <c r="D1418" s="291" t="s">
        <v>146</v>
      </c>
      <c r="E1418" s="291" t="s">
        <v>146</v>
      </c>
      <c r="F1418" s="291" t="s">
        <v>146</v>
      </c>
      <c r="G1418" s="291" t="s">
        <v>146</v>
      </c>
      <c r="H1418" s="291" t="s">
        <v>146</v>
      </c>
      <c r="I1418" s="291" t="s">
        <v>146</v>
      </c>
      <c r="J1418" s="291" t="s">
        <v>146</v>
      </c>
    </row>
    <row r="1419" spans="1:13">
      <c r="A1419" s="114">
        <v>40637</v>
      </c>
      <c r="B1419" s="264">
        <f>+VLOOKUP(A1419,'[2]X-SEMANA-AS-SC'!G$341:K1102,2,FALSE)</f>
        <v>35.51</v>
      </c>
      <c r="C1419" s="264">
        <f>+VLOOKUP(A1419,'[2]X-SEMANA-AS-SC'!$G415:K1102,3,FALSE)</f>
        <v>34.619999999999997</v>
      </c>
      <c r="D1419" s="264">
        <f>+VLOOKUP(A1419,'[2]X-SEMANA-AS-SC'!$G415:K1102,4,FALSE)</f>
        <v>34.03</v>
      </c>
      <c r="E1419" s="264">
        <f>+VLOOKUP(A1419,'[2]X-SEMANA-AS-SC'!$G415:K1102,5,FALSE)</f>
        <v>31.76</v>
      </c>
      <c r="F1419" s="257">
        <v>32</v>
      </c>
      <c r="G1419" s="252">
        <v>20.93</v>
      </c>
      <c r="H1419" s="252">
        <v>43.05</v>
      </c>
      <c r="I1419" s="252">
        <v>33.72</v>
      </c>
      <c r="J1419" s="257">
        <f>(130/(25/4.19))</f>
        <v>21.788000000000004</v>
      </c>
    </row>
    <row r="1420" spans="1:13">
      <c r="A1420" s="114">
        <v>40644</v>
      </c>
      <c r="B1420" s="264">
        <f>+VLOOKUP(A1420,'[2]X-SEMANA-AS-SC'!G$341:K1103,2,FALSE)</f>
        <v>36.659999999999997</v>
      </c>
      <c r="C1420" s="264">
        <f>+VLOOKUP(A1420,'[2]X-SEMANA-AS-SC'!$G416:K1103,3,FALSE)</f>
        <v>35.51</v>
      </c>
      <c r="D1420" s="264">
        <f>+VLOOKUP(A1420,'[2]X-SEMANA-AS-SC'!$G416:K1103,4,FALSE)</f>
        <v>34.9</v>
      </c>
      <c r="E1420" s="264">
        <f>+VLOOKUP(A1420,'[2]X-SEMANA-AS-SC'!$G416:K1103,5,FALSE)</f>
        <v>32.619999999999997</v>
      </c>
      <c r="F1420" s="257">
        <v>32</v>
      </c>
      <c r="G1420" s="252">
        <v>21.86</v>
      </c>
      <c r="H1420" s="252">
        <v>42.95</v>
      </c>
      <c r="I1420" s="252">
        <v>33.630000000000003</v>
      </c>
      <c r="J1420" s="257">
        <f>(130/(25/4.19))</f>
        <v>21.788000000000004</v>
      </c>
    </row>
    <row r="1421" spans="1:13">
      <c r="A1421" s="114">
        <v>40651</v>
      </c>
      <c r="B1421" s="264">
        <f>+VLOOKUP(A1421,'[2]X-SEMANA-AS-SC'!G$341:K1104,2,FALSE)</f>
        <v>36.770000000000003</v>
      </c>
      <c r="C1421" s="264">
        <f>+VLOOKUP(A1421,'[2]X-SEMANA-AS-SC'!$G417:K1104,3,FALSE)</f>
        <v>35.880000000000003</v>
      </c>
      <c r="D1421" s="264">
        <f>+VLOOKUP(A1421,'[2]X-SEMANA-AS-SC'!$G417:K1104,4,FALSE)</f>
        <v>35.340000000000003</v>
      </c>
      <c r="E1421" s="264">
        <f>+VLOOKUP(A1421,'[2]X-SEMANA-AS-SC'!$G417:K1104,5,FALSE)</f>
        <v>32.840000000000003</v>
      </c>
      <c r="F1421" s="257">
        <v>32.549999999999997</v>
      </c>
      <c r="G1421" s="252">
        <v>21.93</v>
      </c>
      <c r="H1421" s="257">
        <v>42.95</v>
      </c>
      <c r="I1421" s="257">
        <v>34.520000000000003</v>
      </c>
      <c r="J1421" s="257">
        <f>(130/(25/4.19))</f>
        <v>21.788000000000004</v>
      </c>
    </row>
    <row r="1422" spans="1:13">
      <c r="A1422" s="114">
        <v>40658</v>
      </c>
      <c r="B1422" s="264">
        <f>+VLOOKUP(A1422,'[2]X-SEMANA-AS-SC'!G$341:K1105,2,FALSE)</f>
        <v>36.770000000000003</v>
      </c>
      <c r="C1422" s="264">
        <f>+VLOOKUP(A1422,'[2]X-SEMANA-AS-SC'!$G418:K1105,3,FALSE)</f>
        <v>35.880000000000003</v>
      </c>
      <c r="D1422" s="264">
        <f>+VLOOKUP(A1422,'[2]X-SEMANA-AS-SC'!$G418:K1105,4,FALSE)</f>
        <v>35.340000000000003</v>
      </c>
      <c r="E1422" s="264">
        <f>+VLOOKUP(A1422,'[2]X-SEMANA-AS-SC'!$G418:K1105,5,FALSE)</f>
        <v>32.840000000000003</v>
      </c>
      <c r="F1422" s="257">
        <v>32.549999999999997</v>
      </c>
      <c r="G1422" s="252">
        <v>22.49</v>
      </c>
      <c r="H1422" s="257">
        <v>42.68</v>
      </c>
      <c r="I1422" s="257">
        <v>34.31</v>
      </c>
      <c r="J1422" s="257">
        <f>(130/(25/4.19))</f>
        <v>21.788000000000004</v>
      </c>
    </row>
    <row r="1423" spans="1:13">
      <c r="A1423" s="292" t="s">
        <v>79</v>
      </c>
      <c r="B1423" s="293">
        <f t="shared" ref="B1423:J1423" si="134">AVERAGE(B1419:B1422)</f>
        <v>36.427500000000002</v>
      </c>
      <c r="C1423" s="293">
        <f t="shared" si="134"/>
        <v>35.472499999999997</v>
      </c>
      <c r="D1423" s="293">
        <f t="shared" si="134"/>
        <v>34.902500000000003</v>
      </c>
      <c r="E1423" s="293">
        <f t="shared" si="134"/>
        <v>32.515000000000001</v>
      </c>
      <c r="F1423" s="293">
        <f t="shared" si="134"/>
        <v>32.274999999999999</v>
      </c>
      <c r="G1423" s="293">
        <f t="shared" si="134"/>
        <v>21.802499999999998</v>
      </c>
      <c r="H1423" s="293">
        <f t="shared" si="134"/>
        <v>42.907499999999999</v>
      </c>
      <c r="I1423" s="293">
        <f t="shared" si="134"/>
        <v>34.045000000000002</v>
      </c>
      <c r="J1423" s="293">
        <f t="shared" si="134"/>
        <v>21.788000000000004</v>
      </c>
    </row>
    <row r="1425" spans="1:10">
      <c r="A1425" s="1679" t="s">
        <v>1</v>
      </c>
      <c r="B1425" s="289" t="s">
        <v>139</v>
      </c>
      <c r="C1425" s="289" t="s">
        <v>140</v>
      </c>
      <c r="D1425" s="289" t="s">
        <v>5</v>
      </c>
      <c r="E1425" s="289" t="s">
        <v>6</v>
      </c>
      <c r="F1425" s="290" t="s">
        <v>57</v>
      </c>
      <c r="G1425" s="291" t="s">
        <v>154</v>
      </c>
      <c r="H1425" s="290" t="s">
        <v>149</v>
      </c>
      <c r="I1425" s="291" t="s">
        <v>155</v>
      </c>
      <c r="J1425" s="290" t="s">
        <v>61</v>
      </c>
    </row>
    <row r="1426" spans="1:10">
      <c r="A1426" s="1679"/>
      <c r="B1426" s="291" t="s">
        <v>146</v>
      </c>
      <c r="C1426" s="291" t="s">
        <v>146</v>
      </c>
      <c r="D1426" s="291" t="s">
        <v>146</v>
      </c>
      <c r="E1426" s="291" t="s">
        <v>146</v>
      </c>
      <c r="F1426" s="291" t="s">
        <v>146</v>
      </c>
      <c r="G1426" s="291" t="s">
        <v>146</v>
      </c>
      <c r="H1426" s="291" t="s">
        <v>146</v>
      </c>
      <c r="I1426" s="291" t="s">
        <v>146</v>
      </c>
      <c r="J1426" s="291" t="s">
        <v>146</v>
      </c>
    </row>
    <row r="1427" spans="1:10">
      <c r="A1427" s="114">
        <v>40666</v>
      </c>
      <c r="B1427" s="264">
        <f>+VLOOKUP(A1427,'[2]X-SEMANA-AS-SC'!G$341:K1110,2,FALSE)</f>
        <v>36.770000000000003</v>
      </c>
      <c r="C1427" s="264">
        <f>+VLOOKUP(A1427,'[2]X-SEMANA-AS-SC'!$G423:K1110,3,FALSE)</f>
        <v>35.880000000000003</v>
      </c>
      <c r="D1427" s="264">
        <f>+VLOOKUP(A1427,'[2]X-SEMANA-AS-SC'!$G423:K1110,4,FALSE)</f>
        <v>35.340000000000003</v>
      </c>
      <c r="E1427" s="264">
        <f>+VLOOKUP(A1427,'[2]X-SEMANA-AS-SC'!$G423:K1110,5,FALSE)</f>
        <v>32.840000000000003</v>
      </c>
      <c r="F1427" s="257">
        <v>32.549999999999997</v>
      </c>
      <c r="G1427" s="252">
        <v>22.52</v>
      </c>
      <c r="H1427" s="252">
        <v>42.68</v>
      </c>
      <c r="I1427" s="252">
        <v>34.31</v>
      </c>
      <c r="J1427" s="257">
        <f>(130/(25/4.19))</f>
        <v>21.788000000000004</v>
      </c>
    </row>
    <row r="1428" spans="1:10">
      <c r="A1428" s="114">
        <v>40672</v>
      </c>
      <c r="B1428" s="264">
        <f>+VLOOKUP(A1428,'[2]X-SEMANA-AS-SC'!G$341:K1111,2,FALSE)</f>
        <v>37.19</v>
      </c>
      <c r="C1428" s="264">
        <f>+VLOOKUP(A1428,'[2]X-SEMANA-AS-SC'!$G424:K1111,3,FALSE)</f>
        <v>36.520000000000003</v>
      </c>
      <c r="D1428" s="264">
        <f>+VLOOKUP(A1428,'[2]X-SEMANA-AS-SC'!$G424:K1111,4,FALSE)</f>
        <v>35.92</v>
      </c>
      <c r="E1428" s="264">
        <f>+VLOOKUP(A1428,'[2]X-SEMANA-AS-SC'!$G424:K1111,5,FALSE)</f>
        <v>33.07</v>
      </c>
      <c r="F1428" s="257">
        <v>33</v>
      </c>
      <c r="G1428" s="252">
        <v>22.4</v>
      </c>
      <c r="H1428" s="252">
        <v>42.71</v>
      </c>
      <c r="I1428" s="252">
        <v>34.65</v>
      </c>
      <c r="J1428" s="257">
        <f>(130/(25/4.19))</f>
        <v>21.788000000000004</v>
      </c>
    </row>
    <row r="1429" spans="1:10">
      <c r="A1429" s="114">
        <v>40680</v>
      </c>
      <c r="B1429" s="264">
        <f>+VLOOKUP(A1429,'[2]X-SEMANA-AS-SC'!G$341:K1112,2,FALSE)</f>
        <v>36.380000000000003</v>
      </c>
      <c r="C1429" s="264">
        <f>+VLOOKUP(A1429,'[2]X-SEMANA-AS-SC'!$G425:K1112,3,FALSE)</f>
        <v>35.79</v>
      </c>
      <c r="D1429" s="264">
        <f>+VLOOKUP(A1429,'[2]X-SEMANA-AS-SC'!$G425:K1112,4,FALSE)</f>
        <v>35.25</v>
      </c>
      <c r="E1429" s="264">
        <f>+VLOOKUP(A1429,'[2]X-SEMANA-AS-SC'!$G425:K1112,5,FALSE)</f>
        <v>32.6</v>
      </c>
      <c r="F1429" s="257">
        <v>33</v>
      </c>
      <c r="G1429" s="252">
        <v>21.88</v>
      </c>
      <c r="H1429" s="257">
        <v>42.87</v>
      </c>
      <c r="I1429" s="257">
        <v>34.78</v>
      </c>
      <c r="J1429" s="257">
        <f>(130/(25/4.19))</f>
        <v>21.788000000000004</v>
      </c>
    </row>
    <row r="1430" spans="1:10">
      <c r="A1430" s="114">
        <v>40687</v>
      </c>
      <c r="B1430" s="264">
        <f>+VLOOKUP(A1430,'[2]X-SEMANA-AS-SC'!G$341:K1113,2,FALSE)</f>
        <v>35.89</v>
      </c>
      <c r="C1430" s="264">
        <f>+VLOOKUP(A1430,'[2]X-SEMANA-AS-SC'!$G426:K1113,3,FALSE)</f>
        <v>35.11</v>
      </c>
      <c r="D1430" s="264">
        <f>+VLOOKUP(A1430,'[2]X-SEMANA-AS-SC'!$G426:K1113,4,FALSE)</f>
        <v>34.53</v>
      </c>
      <c r="E1430" s="264">
        <f>+VLOOKUP(A1430,'[2]X-SEMANA-AS-SC'!$G426:K1113,5,FALSE)</f>
        <v>31.66</v>
      </c>
      <c r="F1430" s="257">
        <v>33</v>
      </c>
      <c r="G1430" s="252">
        <v>21.96</v>
      </c>
      <c r="H1430" s="257">
        <v>43.48</v>
      </c>
      <c r="I1430" s="257">
        <v>34.29</v>
      </c>
      <c r="J1430" s="257">
        <f>(130/(25/4.19))</f>
        <v>21.788000000000004</v>
      </c>
    </row>
    <row r="1431" spans="1:10">
      <c r="A1431" s="114">
        <v>40694</v>
      </c>
      <c r="B1431" s="264">
        <f>+VLOOKUP(A1431,'[2]X-SEMANA-AS-SC'!G$341:K1114,2,FALSE)</f>
        <v>35.409999999999997</v>
      </c>
      <c r="C1431" s="264">
        <f>+VLOOKUP(A1431,'[2]X-SEMANA-AS-SC'!$G427:K1114,3,FALSE)</f>
        <v>34.729999999999997</v>
      </c>
      <c r="D1431" s="264">
        <f>+VLOOKUP(A1431,'[2]X-SEMANA-AS-SC'!$G427:K1114,4,FALSE)</f>
        <v>34.119999999999997</v>
      </c>
      <c r="E1431" s="264">
        <f>+VLOOKUP(A1431,'[2]X-SEMANA-AS-SC'!$G427:K1114,5,FALSE)</f>
        <v>31.19</v>
      </c>
      <c r="F1431" s="257">
        <v>33</v>
      </c>
      <c r="G1431" s="252">
        <v>21.7</v>
      </c>
      <c r="H1431" s="257">
        <v>43.86</v>
      </c>
      <c r="I1431" s="257">
        <v>34.58</v>
      </c>
      <c r="J1431" s="257">
        <f>(130/(25/4.19))</f>
        <v>21.788000000000004</v>
      </c>
    </row>
    <row r="1432" spans="1:10">
      <c r="A1432" s="292" t="s">
        <v>80</v>
      </c>
      <c r="B1432" s="293">
        <f t="shared" ref="B1432:J1432" si="135">AVERAGE(B1427:B1431)</f>
        <v>36.328000000000003</v>
      </c>
      <c r="C1432" s="293">
        <f t="shared" si="135"/>
        <v>35.606000000000002</v>
      </c>
      <c r="D1432" s="293">
        <f t="shared" si="135"/>
        <v>35.032000000000004</v>
      </c>
      <c r="E1432" s="293">
        <f t="shared" si="135"/>
        <v>32.271999999999998</v>
      </c>
      <c r="F1432" s="293">
        <f t="shared" si="135"/>
        <v>32.910000000000004</v>
      </c>
      <c r="G1432" s="293">
        <f t="shared" si="135"/>
        <v>22.091999999999999</v>
      </c>
      <c r="H1432" s="293">
        <f t="shared" si="135"/>
        <v>43.11999999999999</v>
      </c>
      <c r="I1432" s="293">
        <f t="shared" si="135"/>
        <v>34.522000000000006</v>
      </c>
      <c r="J1432" s="293">
        <f t="shared" si="135"/>
        <v>21.788000000000004</v>
      </c>
    </row>
    <row r="1434" spans="1:10">
      <c r="A1434" s="1679" t="s">
        <v>1</v>
      </c>
      <c r="B1434" s="289" t="s">
        <v>139</v>
      </c>
      <c r="C1434" s="289" t="s">
        <v>140</v>
      </c>
      <c r="D1434" s="289" t="s">
        <v>5</v>
      </c>
      <c r="E1434" s="289" t="s">
        <v>6</v>
      </c>
      <c r="F1434" s="290" t="s">
        <v>57</v>
      </c>
      <c r="G1434" s="291" t="s">
        <v>154</v>
      </c>
      <c r="H1434" s="290" t="s">
        <v>149</v>
      </c>
      <c r="I1434" s="291" t="s">
        <v>155</v>
      </c>
      <c r="J1434" s="290" t="s">
        <v>61</v>
      </c>
    </row>
    <row r="1435" spans="1:10">
      <c r="A1435" s="1679"/>
      <c r="B1435" s="291" t="s">
        <v>146</v>
      </c>
      <c r="C1435" s="291" t="s">
        <v>146</v>
      </c>
      <c r="D1435" s="291" t="s">
        <v>146</v>
      </c>
      <c r="E1435" s="291" t="s">
        <v>146</v>
      </c>
      <c r="F1435" s="291" t="s">
        <v>146</v>
      </c>
      <c r="G1435" s="291" t="s">
        <v>146</v>
      </c>
      <c r="H1435" s="291" t="s">
        <v>146</v>
      </c>
      <c r="I1435" s="291" t="s">
        <v>146</v>
      </c>
      <c r="J1435" s="291" t="s">
        <v>146</v>
      </c>
    </row>
    <row r="1436" spans="1:10">
      <c r="A1436" s="114">
        <v>40700</v>
      </c>
      <c r="B1436" s="264">
        <f>+VLOOKUP(A1436,'[2]X-SEMANA-AS-SC'!G$341:K1120,2,FALSE)</f>
        <v>35.33</v>
      </c>
      <c r="C1436" s="264">
        <f>+VLOOKUP(A1436,'[2]X-SEMANA-AS-SC'!$G433:K1120,3,FALSE)</f>
        <v>34.54</v>
      </c>
      <c r="D1436" s="264">
        <f>+VLOOKUP(A1436,'[2]X-SEMANA-AS-SC'!$G433:K1120,4,FALSE)</f>
        <v>33.93</v>
      </c>
      <c r="E1436" s="264">
        <f>+VLOOKUP(A1436,'[2]X-SEMANA-AS-SC'!$G433:K1120,5,FALSE)</f>
        <v>31</v>
      </c>
      <c r="F1436" s="257">
        <v>33</v>
      </c>
      <c r="G1436" s="252">
        <v>24.15</v>
      </c>
      <c r="H1436" s="252">
        <v>43.78</v>
      </c>
      <c r="I1436" s="252">
        <v>33.99</v>
      </c>
      <c r="J1436" s="257">
        <f>(130.58/(25/4.19))</f>
        <v>21.885208000000006</v>
      </c>
    </row>
    <row r="1437" spans="1:10">
      <c r="A1437" s="114">
        <v>40708</v>
      </c>
      <c r="B1437" s="264">
        <f>+VLOOKUP(A1437,'[2]X-SEMANA-AS-SC'!G$341:K1121,2,FALSE)</f>
        <v>35.83</v>
      </c>
      <c r="C1437" s="264">
        <f>+VLOOKUP(A1437,'[2]X-SEMANA-AS-SC'!$G434:K1121,3,FALSE)</f>
        <v>34.89</v>
      </c>
      <c r="D1437" s="264">
        <f>+VLOOKUP(A1437,'[2]X-SEMANA-AS-SC'!$G434:K1121,4,FALSE)</f>
        <v>34.299999999999997</v>
      </c>
      <c r="E1437" s="264">
        <f>+VLOOKUP(A1437,'[2]X-SEMANA-AS-SC'!$G434:K1121,5,FALSE)</f>
        <v>31.25</v>
      </c>
      <c r="F1437" s="257">
        <v>33.25</v>
      </c>
      <c r="G1437" s="252">
        <v>23.63</v>
      </c>
      <c r="H1437" s="257">
        <v>43.78</v>
      </c>
      <c r="I1437" s="257">
        <v>33.99</v>
      </c>
      <c r="J1437" s="257">
        <f>(130.58/(25/4.19))</f>
        <v>21.885208000000006</v>
      </c>
    </row>
    <row r="1438" spans="1:10">
      <c r="A1438" s="114">
        <v>40715</v>
      </c>
      <c r="B1438" s="264">
        <f>+VLOOKUP(A1438,'[2]X-SEMANA-AS-SC'!G$341:K1122,2,FALSE)</f>
        <v>35.83</v>
      </c>
      <c r="C1438" s="264">
        <f>+VLOOKUP(A1438,'[2]X-SEMANA-AS-SC'!$G435:K1122,3,FALSE)</f>
        <v>34.96</v>
      </c>
      <c r="D1438" s="264">
        <f>+VLOOKUP(A1438,'[2]X-SEMANA-AS-SC'!$G435:K1122,4,FALSE)</f>
        <v>34.39</v>
      </c>
      <c r="E1438" s="264">
        <f>+VLOOKUP(A1438,'[2]X-SEMANA-AS-SC'!$G435:K1122,5,FALSE)</f>
        <v>31.7</v>
      </c>
      <c r="F1438" s="257">
        <v>33.25</v>
      </c>
      <c r="G1438" s="252">
        <v>23.43</v>
      </c>
      <c r="H1438" s="257">
        <v>43.96</v>
      </c>
      <c r="I1438" s="257">
        <v>34.93</v>
      </c>
      <c r="J1438" s="257">
        <f>(130.58/(25/4.19))</f>
        <v>21.885208000000006</v>
      </c>
    </row>
    <row r="1439" spans="1:10">
      <c r="A1439" s="114">
        <v>40721</v>
      </c>
      <c r="B1439" s="264">
        <v>35.380000000000003</v>
      </c>
      <c r="C1439" s="264">
        <v>34.65</v>
      </c>
      <c r="D1439" s="264">
        <v>34.07</v>
      </c>
      <c r="E1439" s="264">
        <v>31.19</v>
      </c>
      <c r="F1439" s="257">
        <v>33.5</v>
      </c>
      <c r="G1439" s="252">
        <v>22.5</v>
      </c>
      <c r="H1439" s="257">
        <v>43.96</v>
      </c>
      <c r="I1439" s="257">
        <v>34.93</v>
      </c>
      <c r="J1439" s="257">
        <f>(130.58/(25/4.19))</f>
        <v>21.885208000000006</v>
      </c>
    </row>
    <row r="1440" spans="1:10">
      <c r="A1440" s="292" t="s">
        <v>68</v>
      </c>
      <c r="B1440" s="293">
        <f t="shared" ref="B1440:J1440" si="136">AVERAGE(B1436:B1439)</f>
        <v>35.592500000000001</v>
      </c>
      <c r="C1440" s="293">
        <f t="shared" si="136"/>
        <v>34.760000000000005</v>
      </c>
      <c r="D1440" s="293">
        <f t="shared" si="136"/>
        <v>34.172499999999999</v>
      </c>
      <c r="E1440" s="293">
        <f t="shared" si="136"/>
        <v>31.285</v>
      </c>
      <c r="F1440" s="293">
        <f t="shared" si="136"/>
        <v>33.25</v>
      </c>
      <c r="G1440" s="293">
        <f t="shared" si="136"/>
        <v>23.427500000000002</v>
      </c>
      <c r="H1440" s="293">
        <f t="shared" si="136"/>
        <v>43.870000000000005</v>
      </c>
      <c r="I1440" s="293">
        <f t="shared" si="136"/>
        <v>34.46</v>
      </c>
      <c r="J1440" s="293">
        <f t="shared" si="136"/>
        <v>21.885208000000006</v>
      </c>
    </row>
    <row r="1442" spans="1:10">
      <c r="A1442" s="1679" t="s">
        <v>1</v>
      </c>
      <c r="B1442" s="289" t="s">
        <v>139</v>
      </c>
      <c r="C1442" s="289" t="s">
        <v>140</v>
      </c>
      <c r="D1442" s="289" t="s">
        <v>5</v>
      </c>
      <c r="E1442" s="289" t="s">
        <v>6</v>
      </c>
      <c r="F1442" s="290" t="s">
        <v>57</v>
      </c>
      <c r="G1442" s="291" t="s">
        <v>154</v>
      </c>
      <c r="H1442" s="290" t="s">
        <v>149</v>
      </c>
      <c r="I1442" s="291" t="s">
        <v>155</v>
      </c>
      <c r="J1442" s="290" t="s">
        <v>61</v>
      </c>
    </row>
    <row r="1443" spans="1:10">
      <c r="A1443" s="1679"/>
      <c r="B1443" s="291" t="s">
        <v>146</v>
      </c>
      <c r="C1443" s="291" t="s">
        <v>146</v>
      </c>
      <c r="D1443" s="291" t="s">
        <v>146</v>
      </c>
      <c r="E1443" s="291" t="s">
        <v>146</v>
      </c>
      <c r="F1443" s="291" t="s">
        <v>146</v>
      </c>
      <c r="G1443" s="291" t="s">
        <v>146</v>
      </c>
      <c r="H1443" s="291" t="s">
        <v>146</v>
      </c>
      <c r="I1443" s="291" t="s">
        <v>146</v>
      </c>
      <c r="J1443" s="291" t="s">
        <v>146</v>
      </c>
    </row>
    <row r="1444" spans="1:10">
      <c r="A1444" s="114">
        <v>40728</v>
      </c>
      <c r="B1444" s="264">
        <f>+VLOOKUP(A1444,'[2]X-SEMANA-AS-SC'!G$341:K1128,2,FALSE)</f>
        <v>35.340000000000003</v>
      </c>
      <c r="C1444" s="264">
        <f>+VLOOKUP(A1444,'[2]X-SEMANA-AS-SC'!$G441:K1128,3,FALSE)</f>
        <v>34.57</v>
      </c>
      <c r="D1444" s="264">
        <f>+VLOOKUP(A1444,'[2]X-SEMANA-AS-SC'!$G441:K1128,4,FALSE)</f>
        <v>33.94</v>
      </c>
      <c r="E1444" s="264">
        <f>+VLOOKUP(A1444,'[2]X-SEMANA-AS-SC'!$G441:K1128,5,FALSE)</f>
        <v>31.05</v>
      </c>
      <c r="F1444" s="257">
        <v>33.5</v>
      </c>
      <c r="G1444" s="252">
        <v>22.48</v>
      </c>
      <c r="H1444" s="252">
        <v>43.53</v>
      </c>
      <c r="I1444" s="252">
        <v>34.590000000000003</v>
      </c>
      <c r="J1444" s="257">
        <f>(130.58/(25/4.19))</f>
        <v>21.885208000000006</v>
      </c>
    </row>
    <row r="1445" spans="1:10">
      <c r="A1445" s="114">
        <v>40735</v>
      </c>
      <c r="B1445" s="264">
        <f>+VLOOKUP(A1445,'[2]X-SEMANA-AS-SC'!G$341:K1129,2,FALSE)</f>
        <v>35.32</v>
      </c>
      <c r="C1445" s="264">
        <f>+VLOOKUP(A1445,'[2]X-SEMANA-AS-SC'!$G442:K1129,3,FALSE)</f>
        <v>34.46</v>
      </c>
      <c r="D1445" s="264">
        <f>+VLOOKUP(A1445,'[2]X-SEMANA-AS-SC'!$G442:K1129,4,FALSE)</f>
        <v>33.89</v>
      </c>
      <c r="E1445" s="264">
        <f>+VLOOKUP(A1445,'[2]X-SEMANA-AS-SC'!$G442:K1129,5,FALSE)</f>
        <v>30.98</v>
      </c>
      <c r="F1445" s="257">
        <v>33.5</v>
      </c>
      <c r="G1445" s="252">
        <v>22.8</v>
      </c>
      <c r="H1445" s="257">
        <v>46.98</v>
      </c>
      <c r="I1445" s="257">
        <v>33.270000000000003</v>
      </c>
      <c r="J1445" s="257">
        <f>(130.58/(25/4.19))</f>
        <v>21.885208000000006</v>
      </c>
    </row>
    <row r="1446" spans="1:10">
      <c r="A1446" s="114">
        <v>40742</v>
      </c>
      <c r="B1446" s="264">
        <f>+VLOOKUP(A1446,'[2]X-SEMANA-AS-SC'!G$341:K1130,2,FALSE)</f>
        <v>36.18</v>
      </c>
      <c r="C1446" s="264">
        <f>+VLOOKUP(A1446,'[2]X-SEMANA-AS-SC'!$G443:K1130,3,FALSE)</f>
        <v>34.83</v>
      </c>
      <c r="D1446" s="264">
        <f>+VLOOKUP(A1446,'[2]X-SEMANA-AS-SC'!$G443:K1130,4,FALSE)</f>
        <v>34.25</v>
      </c>
      <c r="E1446" s="264">
        <f>+VLOOKUP(A1446,'[2]X-SEMANA-AS-SC'!$G443:K1130,5,FALSE)</f>
        <v>31.35</v>
      </c>
      <c r="F1446" s="257">
        <v>33.75</v>
      </c>
      <c r="G1446" s="252">
        <v>22.34</v>
      </c>
      <c r="H1446" s="257">
        <v>47.01</v>
      </c>
      <c r="I1446" s="257">
        <v>33.29</v>
      </c>
      <c r="J1446" s="257">
        <f>(130.58/(25/4.19))</f>
        <v>21.885208000000006</v>
      </c>
    </row>
    <row r="1447" spans="1:10">
      <c r="A1447" s="114">
        <v>40750</v>
      </c>
      <c r="B1447" s="264">
        <f>+VLOOKUP(A1447,'[2]X-SEMANA-AS-SC'!G$341:K1131,2,FALSE)</f>
        <v>37.32</v>
      </c>
      <c r="C1447" s="264">
        <f>+VLOOKUP(A1447,'[2]X-SEMANA-AS-SC'!$G444:K1131,3,FALSE)</f>
        <v>36.03</v>
      </c>
      <c r="D1447" s="264">
        <f>+VLOOKUP(A1447,'[2]X-SEMANA-AS-SC'!$G444:K1131,4,FALSE)</f>
        <v>35.46</v>
      </c>
      <c r="E1447" s="264">
        <f>+VLOOKUP(A1447,'[2]X-SEMANA-AS-SC'!$G444:K1131,5,FALSE)</f>
        <v>32.53</v>
      </c>
      <c r="F1447" s="257">
        <v>33.75</v>
      </c>
      <c r="G1447" s="252">
        <v>22.15</v>
      </c>
      <c r="H1447" s="257">
        <v>47.31</v>
      </c>
      <c r="I1447" s="257">
        <v>34.6</v>
      </c>
      <c r="J1447" s="257">
        <f>(130.58/(25/4.19))</f>
        <v>21.885208000000006</v>
      </c>
    </row>
    <row r="1448" spans="1:10">
      <c r="A1448" s="292" t="s">
        <v>69</v>
      </c>
      <c r="B1448" s="293">
        <f t="shared" ref="B1448:J1448" si="137">AVERAGE(B1444:B1447)</f>
        <v>36.04</v>
      </c>
      <c r="C1448" s="293">
        <f t="shared" si="137"/>
        <v>34.972499999999997</v>
      </c>
      <c r="D1448" s="293">
        <f t="shared" si="137"/>
        <v>34.384999999999998</v>
      </c>
      <c r="E1448" s="293">
        <f t="shared" si="137"/>
        <v>31.477499999999999</v>
      </c>
      <c r="F1448" s="293">
        <f t="shared" si="137"/>
        <v>33.625</v>
      </c>
      <c r="G1448" s="293">
        <f t="shared" si="137"/>
        <v>22.442500000000003</v>
      </c>
      <c r="H1448" s="293">
        <f t="shared" si="137"/>
        <v>46.207499999999996</v>
      </c>
      <c r="I1448" s="293">
        <f t="shared" si="137"/>
        <v>33.9375</v>
      </c>
      <c r="J1448" s="293">
        <f t="shared" si="137"/>
        <v>21.885208000000006</v>
      </c>
    </row>
    <row r="1449" spans="1:10">
      <c r="G1449" s="294"/>
    </row>
    <row r="1450" spans="1:10">
      <c r="A1450" s="1679" t="s">
        <v>1</v>
      </c>
      <c r="B1450" s="289" t="s">
        <v>139</v>
      </c>
      <c r="C1450" s="289" t="s">
        <v>140</v>
      </c>
      <c r="D1450" s="289" t="s">
        <v>5</v>
      </c>
      <c r="E1450" s="289" t="s">
        <v>6</v>
      </c>
      <c r="F1450" s="290" t="s">
        <v>57</v>
      </c>
      <c r="G1450" s="291" t="s">
        <v>154</v>
      </c>
      <c r="H1450" s="290" t="s">
        <v>149</v>
      </c>
      <c r="I1450" s="291" t="s">
        <v>155</v>
      </c>
      <c r="J1450" s="290" t="s">
        <v>61</v>
      </c>
    </row>
    <row r="1451" spans="1:10">
      <c r="A1451" s="1679"/>
      <c r="B1451" s="291" t="s">
        <v>146</v>
      </c>
      <c r="C1451" s="291" t="s">
        <v>146</v>
      </c>
      <c r="D1451" s="291" t="s">
        <v>146</v>
      </c>
      <c r="E1451" s="291" t="s">
        <v>146</v>
      </c>
      <c r="F1451" s="291" t="s">
        <v>146</v>
      </c>
      <c r="G1451" s="291" t="s">
        <v>146</v>
      </c>
      <c r="H1451" s="291" t="s">
        <v>146</v>
      </c>
      <c r="I1451" s="291" t="s">
        <v>146</v>
      </c>
      <c r="J1451" s="291" t="s">
        <v>146</v>
      </c>
    </row>
    <row r="1452" spans="1:10">
      <c r="A1452" s="114">
        <f>+'[2]X-SEMANA-AS-SC'!A705</f>
        <v>40756</v>
      </c>
      <c r="B1452" s="264">
        <f>+VLOOKUP(A1452,'[2]X-SEMANA-AS-SC'!G$341:K1135,2,FALSE)</f>
        <v>36.840000000000003</v>
      </c>
      <c r="C1452" s="264">
        <f>+VLOOKUP(A1452,'[2]X-SEMANA-AS-SC'!$G448:K1135,3,FALSE)</f>
        <v>36.01</v>
      </c>
      <c r="D1452" s="264">
        <f>+VLOOKUP(A1452,'[2]X-SEMANA-AS-SC'!$G448:K1135,4,FALSE)</f>
        <v>35.44</v>
      </c>
      <c r="E1452" s="264">
        <f>+VLOOKUP(A1452,'[2]X-SEMANA-AS-SC'!$G448:K1135,5,FALSE)</f>
        <v>32.47</v>
      </c>
      <c r="F1452" s="257">
        <v>33.75</v>
      </c>
      <c r="G1452" s="252">
        <v>22.17</v>
      </c>
      <c r="H1452" s="252">
        <v>47.74</v>
      </c>
      <c r="I1452" s="252">
        <v>34.909999999999997</v>
      </c>
      <c r="J1452" s="257">
        <f>(130.58/(25/4.19))</f>
        <v>21.885208000000006</v>
      </c>
    </row>
    <row r="1453" spans="1:10">
      <c r="A1453" s="114">
        <f>+'[2]X-SEMANA-AS-SC'!A706</f>
        <v>40763</v>
      </c>
      <c r="B1453" s="264">
        <f>+VLOOKUP(A1453,'[2]X-SEMANA-AS-SC'!G$341:K1136,2,FALSE)</f>
        <v>36.36</v>
      </c>
      <c r="C1453" s="264">
        <f>+VLOOKUP(A1453,'[2]X-SEMANA-AS-SC'!$G449:K1136,3,FALSE)</f>
        <v>35.57</v>
      </c>
      <c r="D1453" s="264">
        <f>+VLOOKUP(A1453,'[2]X-SEMANA-AS-SC'!$G449:K1136,4,FALSE)</f>
        <v>34.99</v>
      </c>
      <c r="E1453" s="264">
        <f>+VLOOKUP(A1453,'[2]X-SEMANA-AS-SC'!$G449:K1136,5,FALSE)</f>
        <v>32.090000000000003</v>
      </c>
      <c r="F1453" s="257">
        <v>33.75</v>
      </c>
      <c r="G1453" s="252">
        <v>22.25</v>
      </c>
      <c r="H1453" s="252">
        <v>47.74</v>
      </c>
      <c r="I1453" s="252">
        <v>35.5</v>
      </c>
      <c r="J1453" s="257">
        <f>(130.58/(25/4.19))</f>
        <v>21.885208000000006</v>
      </c>
    </row>
    <row r="1454" spans="1:10">
      <c r="A1454" s="114">
        <f>+'[2]X-SEMANA-AS-SC'!A707</f>
        <v>40771</v>
      </c>
      <c r="B1454" s="264">
        <f>+VLOOKUP(A1454,'[2]X-SEMANA-AS-SC'!G$341:K1137,2,FALSE)</f>
        <v>35.78</v>
      </c>
      <c r="C1454" s="264">
        <f>+VLOOKUP(A1454,'[2]X-SEMANA-AS-SC'!$G450:K1137,3,FALSE)</f>
        <v>35.049999999999997</v>
      </c>
      <c r="D1454" s="264">
        <f>+VLOOKUP(A1454,'[2]X-SEMANA-AS-SC'!$G450:K1137,4,FALSE)</f>
        <v>34.479999999999997</v>
      </c>
      <c r="E1454" s="264">
        <f>+VLOOKUP(A1454,'[2]X-SEMANA-AS-SC'!$G450:K1137,5,FALSE)</f>
        <v>31.52</v>
      </c>
      <c r="F1454" s="257">
        <v>33.75</v>
      </c>
      <c r="G1454" s="252">
        <v>21.94</v>
      </c>
      <c r="H1454" s="257">
        <v>47.66</v>
      </c>
      <c r="I1454" s="257">
        <v>35.44</v>
      </c>
      <c r="J1454" s="257">
        <f>(130.58/(25/4.19))</f>
        <v>21.885208000000006</v>
      </c>
    </row>
    <row r="1455" spans="1:10">
      <c r="A1455" s="114">
        <f>+'[2]X-SEMANA-AS-SC'!A708</f>
        <v>40777</v>
      </c>
      <c r="B1455" s="264">
        <f>+VLOOKUP(A1455,'[2]X-SEMANA-AS-SC'!G$341:K1138,2,FALSE)</f>
        <v>35.380000000000003</v>
      </c>
      <c r="C1455" s="264">
        <f>+VLOOKUP(A1455,'[2]X-SEMANA-AS-SC'!$G451:K1138,3,FALSE)</f>
        <v>34.75</v>
      </c>
      <c r="D1455" s="264">
        <f>+VLOOKUP(A1455,'[2]X-SEMANA-AS-SC'!$G451:K1138,4,FALSE)</f>
        <v>34.159999999999997</v>
      </c>
      <c r="E1455" s="264">
        <f>+VLOOKUP(A1455,'[2]X-SEMANA-AS-SC'!$G451:K1138,5,FALSE)</f>
        <v>31.21</v>
      </c>
      <c r="F1455" s="257">
        <v>33.75</v>
      </c>
      <c r="G1455" s="252">
        <v>21.93</v>
      </c>
      <c r="H1455" s="257">
        <v>47.66</v>
      </c>
      <c r="I1455" s="257">
        <v>34.25</v>
      </c>
      <c r="J1455" s="257">
        <f>(128/(25/4.19))</f>
        <v>21.452800000000003</v>
      </c>
    </row>
    <row r="1456" spans="1:10">
      <c r="A1456" s="114">
        <f>+'[2]X-SEMANA-AS-SC'!A709</f>
        <v>40784</v>
      </c>
      <c r="B1456" s="264">
        <f>+VLOOKUP(A1456,'[2]X-SEMANA-AS-SC'!G$341:K1139,2,FALSE)</f>
        <v>34.909999999999997</v>
      </c>
      <c r="C1456" s="264">
        <f>+VLOOKUP(A1456,'[2]X-SEMANA-AS-SC'!$G452:K1139,3,FALSE)</f>
        <v>34.31</v>
      </c>
      <c r="D1456" s="264">
        <f>+VLOOKUP(A1456,'[2]X-SEMANA-AS-SC'!$G452:K1139,4,FALSE)</f>
        <v>33.74</v>
      </c>
      <c r="E1456" s="264">
        <f>+VLOOKUP(A1456,'[2]X-SEMANA-AS-SC'!$G452:K1139,5,FALSE)</f>
        <v>30.73</v>
      </c>
      <c r="F1456" s="257">
        <v>34</v>
      </c>
      <c r="G1456" s="252">
        <v>21.97</v>
      </c>
      <c r="H1456" s="257">
        <v>47.67</v>
      </c>
      <c r="I1456" s="257">
        <v>34.26</v>
      </c>
      <c r="J1456" s="257">
        <f>(128/(25/4.19))</f>
        <v>21.452800000000003</v>
      </c>
    </row>
    <row r="1457" spans="1:10">
      <c r="A1457" s="292" t="s">
        <v>70</v>
      </c>
      <c r="B1457" s="293">
        <f t="shared" ref="B1457:J1457" si="138">AVERAGE(B1452:B1456)</f>
        <v>35.853999999999999</v>
      </c>
      <c r="C1457" s="293">
        <f t="shared" si="138"/>
        <v>35.137999999999998</v>
      </c>
      <c r="D1457" s="293">
        <f t="shared" si="138"/>
        <v>34.561999999999998</v>
      </c>
      <c r="E1457" s="293">
        <f t="shared" si="138"/>
        <v>31.603999999999996</v>
      </c>
      <c r="F1457" s="293">
        <f t="shared" si="138"/>
        <v>33.799999999999997</v>
      </c>
      <c r="G1457" s="293">
        <f t="shared" si="138"/>
        <v>22.052</v>
      </c>
      <c r="H1457" s="293">
        <f t="shared" si="138"/>
        <v>47.693999999999996</v>
      </c>
      <c r="I1457" s="293">
        <f t="shared" si="138"/>
        <v>34.872</v>
      </c>
      <c r="J1457" s="293">
        <f t="shared" si="138"/>
        <v>21.712244800000001</v>
      </c>
    </row>
    <row r="1459" spans="1:10">
      <c r="A1459" s="1679" t="s">
        <v>1</v>
      </c>
      <c r="B1459" s="289" t="s">
        <v>139</v>
      </c>
      <c r="C1459" s="289" t="s">
        <v>140</v>
      </c>
      <c r="D1459" s="289" t="s">
        <v>5</v>
      </c>
      <c r="E1459" s="289" t="s">
        <v>6</v>
      </c>
      <c r="F1459" s="290" t="s">
        <v>57</v>
      </c>
      <c r="G1459" s="291" t="s">
        <v>154</v>
      </c>
      <c r="H1459" s="290" t="s">
        <v>149</v>
      </c>
      <c r="I1459" s="291" t="s">
        <v>155</v>
      </c>
      <c r="J1459" s="290" t="s">
        <v>61</v>
      </c>
    </row>
    <row r="1460" spans="1:10">
      <c r="A1460" s="1679"/>
      <c r="B1460" s="291" t="s">
        <v>146</v>
      </c>
      <c r="C1460" s="291" t="s">
        <v>146</v>
      </c>
      <c r="D1460" s="291" t="s">
        <v>146</v>
      </c>
      <c r="E1460" s="291" t="s">
        <v>146</v>
      </c>
      <c r="F1460" s="291" t="s">
        <v>146</v>
      </c>
      <c r="G1460" s="291" t="s">
        <v>146</v>
      </c>
      <c r="H1460" s="291" t="s">
        <v>146</v>
      </c>
      <c r="I1460" s="291" t="s">
        <v>146</v>
      </c>
      <c r="J1460" s="291" t="s">
        <v>146</v>
      </c>
    </row>
    <row r="1461" spans="1:10">
      <c r="A1461" s="114">
        <v>40791</v>
      </c>
      <c r="B1461" s="264">
        <f>+VLOOKUP(A1461,'[2]X-SEMANA-AS-SC'!G$341:K1145,2,FALSE)</f>
        <v>35.4</v>
      </c>
      <c r="C1461" s="264">
        <f>+VLOOKUP(A1461,'[2]X-SEMANA-AS-SC'!$G458:K1145,3,FALSE)</f>
        <v>34.520000000000003</v>
      </c>
      <c r="D1461" s="264">
        <f>+VLOOKUP(A1461,'[2]X-SEMANA-AS-SC'!$G458:K1145,4,FALSE)</f>
        <v>33.93</v>
      </c>
      <c r="E1461" s="264">
        <f>+VLOOKUP(A1461,'[2]X-SEMANA-AS-SC'!$G458:K1145,5,FALSE)</f>
        <v>30.95</v>
      </c>
      <c r="F1461" s="257">
        <v>34</v>
      </c>
      <c r="G1461" s="252">
        <v>21.95</v>
      </c>
      <c r="H1461" s="252">
        <v>47.05</v>
      </c>
      <c r="I1461" s="252">
        <v>34.75</v>
      </c>
      <c r="J1461" s="257">
        <f>(128/(25/4.19))</f>
        <v>21.452800000000003</v>
      </c>
    </row>
    <row r="1462" spans="1:10">
      <c r="A1462" s="114">
        <v>40799</v>
      </c>
      <c r="B1462" s="264">
        <f>+VLOOKUP(A1462,'[2]X-SEMANA-AS-SC'!G$341:K1146,2,FALSE)</f>
        <v>35.83</v>
      </c>
      <c r="C1462" s="264">
        <f>+VLOOKUP(A1462,'[2]X-SEMANA-AS-SC'!$G459:K1146,3,FALSE)</f>
        <v>34.979999999999997</v>
      </c>
      <c r="D1462" s="264">
        <f>+VLOOKUP(A1462,'[2]X-SEMANA-AS-SC'!$G459:K1146,4,FALSE)</f>
        <v>34.36</v>
      </c>
      <c r="E1462" s="264">
        <f>+VLOOKUP(A1462,'[2]X-SEMANA-AS-SC'!$G459:K1146,5,FALSE)</f>
        <v>31.41</v>
      </c>
      <c r="F1462" s="257">
        <v>34</v>
      </c>
      <c r="G1462" s="252">
        <v>21.95</v>
      </c>
      <c r="H1462" s="257">
        <v>46.86</v>
      </c>
      <c r="I1462" s="257">
        <v>34.61</v>
      </c>
      <c r="J1462" s="257">
        <f>(128/(25/4.19))</f>
        <v>21.452800000000003</v>
      </c>
    </row>
    <row r="1463" spans="1:10">
      <c r="A1463" s="114">
        <v>40805</v>
      </c>
      <c r="B1463" s="264">
        <f>+VLOOKUP(A1463,'[2]X-SEMANA-AS-SC'!G$341:K1147,2,FALSE)</f>
        <v>35.83</v>
      </c>
      <c r="C1463" s="264">
        <f>+VLOOKUP(A1463,'[2]X-SEMANA-AS-SC'!$G460:K1147,3,FALSE)</f>
        <v>34.94</v>
      </c>
      <c r="D1463" s="264">
        <f>+VLOOKUP(A1463,'[2]X-SEMANA-AS-SC'!$G460:K1147,4,FALSE)</f>
        <v>34.369999999999997</v>
      </c>
      <c r="E1463" s="264">
        <f>+VLOOKUP(A1463,'[2]X-SEMANA-AS-SC'!$G460:K1147,5,FALSE)</f>
        <v>31.36</v>
      </c>
      <c r="F1463" s="257">
        <v>34</v>
      </c>
      <c r="G1463" s="252">
        <v>21.33</v>
      </c>
      <c r="H1463" s="257">
        <v>46.76</v>
      </c>
      <c r="I1463" s="257">
        <v>34.32</v>
      </c>
      <c r="J1463" s="257">
        <f>(128/(25/4.19))</f>
        <v>21.452800000000003</v>
      </c>
    </row>
    <row r="1464" spans="1:10">
      <c r="A1464" s="114">
        <v>40812</v>
      </c>
      <c r="B1464" s="264">
        <f>+VLOOKUP(A1464,'[2]X-SEMANA-AS-SC'!G$341:K1148,2,FALSE)</f>
        <v>35.369999999999997</v>
      </c>
      <c r="C1464" s="264">
        <f>+VLOOKUP(A1464,'[2]X-SEMANA-AS-SC'!$G461:K1148,3,FALSE)</f>
        <v>34.53</v>
      </c>
      <c r="D1464" s="264">
        <f>+VLOOKUP(A1464,'[2]X-SEMANA-AS-SC'!$G461:K1148,4,FALSE)</f>
        <v>33.93</v>
      </c>
      <c r="E1464" s="264">
        <f>+VLOOKUP(A1464,'[2]X-SEMANA-AS-SC'!$G461:K1148,5,FALSE)</f>
        <v>30.96</v>
      </c>
      <c r="F1464" s="257">
        <v>34</v>
      </c>
      <c r="G1464" s="252">
        <v>21.3</v>
      </c>
      <c r="H1464" s="257">
        <v>47</v>
      </c>
      <c r="I1464" s="257">
        <v>34.5</v>
      </c>
      <c r="J1464" s="257">
        <f>(128/(25/4.19))</f>
        <v>21.452800000000003</v>
      </c>
    </row>
    <row r="1465" spans="1:10">
      <c r="A1465" s="292" t="s">
        <v>71</v>
      </c>
      <c r="B1465" s="293">
        <f t="shared" ref="B1465:J1465" si="139">AVERAGE(B1461:B1464)</f>
        <v>35.607499999999995</v>
      </c>
      <c r="C1465" s="293">
        <f t="shared" si="139"/>
        <v>34.7425</v>
      </c>
      <c r="D1465" s="293">
        <f t="shared" si="139"/>
        <v>34.147500000000001</v>
      </c>
      <c r="E1465" s="293">
        <f t="shared" si="139"/>
        <v>31.17</v>
      </c>
      <c r="F1465" s="293">
        <f t="shared" si="139"/>
        <v>34</v>
      </c>
      <c r="G1465" s="293">
        <f t="shared" si="139"/>
        <v>21.632499999999997</v>
      </c>
      <c r="H1465" s="293">
        <f t="shared" si="139"/>
        <v>46.917499999999997</v>
      </c>
      <c r="I1465" s="293">
        <f t="shared" si="139"/>
        <v>34.545000000000002</v>
      </c>
      <c r="J1465" s="293">
        <f t="shared" si="139"/>
        <v>21.452800000000003</v>
      </c>
    </row>
    <row r="1467" spans="1:10">
      <c r="A1467" s="1679" t="s">
        <v>1</v>
      </c>
      <c r="B1467" s="289" t="s">
        <v>139</v>
      </c>
      <c r="C1467" s="289" t="s">
        <v>140</v>
      </c>
      <c r="D1467" s="289" t="s">
        <v>5</v>
      </c>
      <c r="E1467" s="289" t="s">
        <v>6</v>
      </c>
      <c r="F1467" s="290" t="s">
        <v>57</v>
      </c>
      <c r="G1467" s="291" t="s">
        <v>154</v>
      </c>
      <c r="H1467" s="290" t="s">
        <v>149</v>
      </c>
      <c r="I1467" s="291" t="s">
        <v>155</v>
      </c>
      <c r="J1467" s="290" t="s">
        <v>61</v>
      </c>
    </row>
    <row r="1468" spans="1:10">
      <c r="A1468" s="1679"/>
      <c r="B1468" s="291" t="s">
        <v>146</v>
      </c>
      <c r="C1468" s="291" t="s">
        <v>146</v>
      </c>
      <c r="D1468" s="291" t="s">
        <v>146</v>
      </c>
      <c r="E1468" s="291" t="s">
        <v>146</v>
      </c>
      <c r="F1468" s="291" t="s">
        <v>146</v>
      </c>
      <c r="G1468" s="291" t="s">
        <v>146</v>
      </c>
      <c r="H1468" s="291" t="s">
        <v>146</v>
      </c>
      <c r="I1468" s="291" t="s">
        <v>146</v>
      </c>
      <c r="J1468" s="291" t="s">
        <v>146</v>
      </c>
    </row>
    <row r="1469" spans="1:10">
      <c r="A1469" s="114">
        <v>40819</v>
      </c>
      <c r="B1469" s="264">
        <f>+VLOOKUP(A1469,'[2]X-SEMANA-AS-SC'!G$341:K1152,2,FALSE)</f>
        <v>34.82</v>
      </c>
      <c r="C1469" s="264">
        <f>+VLOOKUP(A1469,'[2]X-SEMANA-AS-SC'!$G465:K1152,3,FALSE)</f>
        <v>34.1</v>
      </c>
      <c r="D1469" s="264">
        <f>+VLOOKUP(A1469,'[2]X-SEMANA-AS-SC'!$G465:K1152,4,FALSE)</f>
        <v>33.47</v>
      </c>
      <c r="E1469" s="264">
        <f>+VLOOKUP(A1469,'[2]X-SEMANA-AS-SC'!$G465:K1152,5,FALSE)</f>
        <v>30.54</v>
      </c>
      <c r="F1469" s="257">
        <v>34</v>
      </c>
      <c r="G1469" s="252">
        <v>22.39</v>
      </c>
      <c r="H1469" s="252">
        <v>47.11</v>
      </c>
      <c r="I1469" s="252">
        <v>34.58</v>
      </c>
      <c r="J1469" s="257">
        <f>(130.58/(25/4.19))</f>
        <v>21.885208000000006</v>
      </c>
    </row>
    <row r="1470" spans="1:10">
      <c r="A1470" s="114">
        <v>40826</v>
      </c>
      <c r="B1470" s="264">
        <f>+VLOOKUP(A1470,'[2]X-SEMANA-AS-SC'!G$341:K1153,2,FALSE)</f>
        <v>34.369999999999997</v>
      </c>
      <c r="C1470" s="264">
        <f>+VLOOKUP(A1470,'[2]X-SEMANA-AS-SC'!$G466:K1153,3,FALSE)</f>
        <v>33.53</v>
      </c>
      <c r="D1470" s="264">
        <f>+VLOOKUP(A1470,'[2]X-SEMANA-AS-SC'!$G466:K1153,4,FALSE)</f>
        <v>32.9</v>
      </c>
      <c r="E1470" s="264">
        <f>+VLOOKUP(A1470,'[2]X-SEMANA-AS-SC'!$G466:K1153,5,FALSE)</f>
        <v>29.96</v>
      </c>
      <c r="F1470" s="257">
        <v>34</v>
      </c>
      <c r="G1470" s="252">
        <v>21.79</v>
      </c>
      <c r="H1470" s="252">
        <v>47.09</v>
      </c>
      <c r="I1470" s="252">
        <v>33.96</v>
      </c>
      <c r="J1470" s="257">
        <f>(130.58/(25/4.19))</f>
        <v>21.885208000000006</v>
      </c>
    </row>
    <row r="1471" spans="1:10">
      <c r="A1471" s="114">
        <v>40833</v>
      </c>
      <c r="B1471" s="264">
        <f>+VLOOKUP(A1471,'[2]X-SEMANA-AS-SC'!G$341:K1154,2,FALSE)</f>
        <v>35.31</v>
      </c>
      <c r="C1471" s="264">
        <f>+VLOOKUP(A1471,'[2]X-SEMANA-AS-SC'!$G467:K1154,3,FALSE)</f>
        <v>34.22</v>
      </c>
      <c r="D1471" s="264">
        <f>+VLOOKUP(A1471,'[2]X-SEMANA-AS-SC'!$G467:K1154,4,FALSE)</f>
        <v>33.590000000000003</v>
      </c>
      <c r="E1471" s="264">
        <f>+VLOOKUP(A1471,'[2]X-SEMANA-AS-SC'!$G467:K1154,5,FALSE)</f>
        <v>30.69</v>
      </c>
      <c r="F1471" s="257">
        <v>34</v>
      </c>
      <c r="G1471" s="252">
        <v>21.92</v>
      </c>
      <c r="H1471" s="257">
        <v>46.74</v>
      </c>
      <c r="I1471" s="257">
        <v>33.71</v>
      </c>
      <c r="J1471" s="257">
        <f>(130.58/(25/4.19))</f>
        <v>21.885208000000006</v>
      </c>
    </row>
    <row r="1472" spans="1:10">
      <c r="A1472" s="114">
        <v>40840</v>
      </c>
      <c r="B1472" s="264">
        <f>+VLOOKUP(A1472,'[2]X-SEMANA-AS-SC'!G$341:K1155,2,FALSE)</f>
        <v>35.299999999999997</v>
      </c>
      <c r="C1472" s="264">
        <f>+VLOOKUP(A1472,'[2]X-SEMANA-AS-SC'!$G468:K1155,3,FALSE)</f>
        <v>34.36</v>
      </c>
      <c r="D1472" s="264">
        <f>+VLOOKUP(A1472,'[2]X-SEMANA-AS-SC'!$G468:K1155,4,FALSE)</f>
        <v>33.69</v>
      </c>
      <c r="E1472" s="264">
        <f>+VLOOKUP(A1472,'[2]X-SEMANA-AS-SC'!$G468:K1155,5,FALSE)</f>
        <v>31.26</v>
      </c>
      <c r="F1472" s="257">
        <v>33.5</v>
      </c>
      <c r="G1472" s="252">
        <v>22.08</v>
      </c>
      <c r="H1472" s="257">
        <v>46.87</v>
      </c>
      <c r="I1472" s="257">
        <v>33.659999999999997</v>
      </c>
      <c r="J1472" s="257">
        <f>(136/(25/4.19))</f>
        <v>22.793600000000005</v>
      </c>
    </row>
    <row r="1473" spans="1:10">
      <c r="A1473" s="114">
        <v>40847</v>
      </c>
      <c r="B1473" s="264">
        <f>+VLOOKUP(A1473,'[2]X-SEMANA-AS-SC'!G$341:K1156,2,FALSE)</f>
        <v>35.22</v>
      </c>
      <c r="C1473" s="264">
        <f>+VLOOKUP(A1473,'[2]X-SEMANA-AS-SC'!$G469:K1156,3,FALSE)</f>
        <v>34.36</v>
      </c>
      <c r="D1473" s="264">
        <f>+VLOOKUP(A1473,'[2]X-SEMANA-AS-SC'!$G469:K1156,4,FALSE)</f>
        <v>33.700000000000003</v>
      </c>
      <c r="E1473" s="264">
        <f>+VLOOKUP(A1473,'[2]X-SEMANA-AS-SC'!$G469:K1156,5,FALSE)</f>
        <v>31.73</v>
      </c>
      <c r="F1473" s="257">
        <v>33.5</v>
      </c>
      <c r="G1473" s="252">
        <v>22.13</v>
      </c>
      <c r="H1473" s="257">
        <v>46.78</v>
      </c>
      <c r="I1473" s="257">
        <v>34.659999999999997</v>
      </c>
      <c r="J1473" s="257">
        <f>(136/(25/4.19))</f>
        <v>22.793600000000005</v>
      </c>
    </row>
    <row r="1474" spans="1:10">
      <c r="A1474" s="292" t="s">
        <v>72</v>
      </c>
      <c r="B1474" s="293">
        <f t="shared" ref="B1474:J1474" si="140">AVERAGE(B1469:B1473)</f>
        <v>35.004000000000005</v>
      </c>
      <c r="C1474" s="293">
        <f t="shared" si="140"/>
        <v>34.113999999999997</v>
      </c>
      <c r="D1474" s="293">
        <f t="shared" si="140"/>
        <v>33.470000000000006</v>
      </c>
      <c r="E1474" s="293">
        <f t="shared" si="140"/>
        <v>30.836000000000002</v>
      </c>
      <c r="F1474" s="293">
        <f t="shared" si="140"/>
        <v>33.799999999999997</v>
      </c>
      <c r="G1474" s="293">
        <f t="shared" si="140"/>
        <v>22.061999999999998</v>
      </c>
      <c r="H1474" s="293">
        <f t="shared" si="140"/>
        <v>46.917999999999999</v>
      </c>
      <c r="I1474" s="293">
        <f t="shared" si="140"/>
        <v>34.113999999999997</v>
      </c>
      <c r="J1474" s="293">
        <f t="shared" si="140"/>
        <v>22.248564800000004</v>
      </c>
    </row>
    <row r="1476" spans="1:10">
      <c r="A1476" s="1679" t="s">
        <v>1</v>
      </c>
      <c r="B1476" s="289" t="s">
        <v>139</v>
      </c>
      <c r="C1476" s="289" t="s">
        <v>140</v>
      </c>
      <c r="D1476" s="289" t="s">
        <v>5</v>
      </c>
      <c r="E1476" s="289" t="s">
        <v>6</v>
      </c>
      <c r="F1476" s="290" t="s">
        <v>57</v>
      </c>
      <c r="G1476" s="291" t="s">
        <v>154</v>
      </c>
      <c r="H1476" s="290" t="s">
        <v>149</v>
      </c>
      <c r="I1476" s="291" t="s">
        <v>155</v>
      </c>
      <c r="J1476" s="290" t="s">
        <v>61</v>
      </c>
    </row>
    <row r="1477" spans="1:10">
      <c r="A1477" s="1679"/>
      <c r="B1477" s="291" t="s">
        <v>146</v>
      </c>
      <c r="C1477" s="291" t="s">
        <v>146</v>
      </c>
      <c r="D1477" s="291" t="s">
        <v>146</v>
      </c>
      <c r="E1477" s="291" t="s">
        <v>146</v>
      </c>
      <c r="F1477" s="291" t="s">
        <v>146</v>
      </c>
      <c r="G1477" s="291" t="s">
        <v>146</v>
      </c>
      <c r="H1477" s="291" t="s">
        <v>146</v>
      </c>
      <c r="I1477" s="291" t="s">
        <v>146</v>
      </c>
      <c r="J1477" s="291" t="s">
        <v>146</v>
      </c>
    </row>
    <row r="1478" spans="1:10">
      <c r="A1478" s="114">
        <v>40854</v>
      </c>
      <c r="B1478" s="264">
        <f>+VLOOKUP(A1478,'[2]X-SEMANA-AS-SC'!G$341:K1161,2,FALSE)</f>
        <v>35.130000000000003</v>
      </c>
      <c r="C1478" s="264">
        <f>+VLOOKUP(A1478,'[2]X-SEMANA-AS-SC'!$G474:K1161,3,FALSE)</f>
        <v>34.369999999999997</v>
      </c>
      <c r="D1478" s="264">
        <f>+VLOOKUP(A1478,'[2]X-SEMANA-AS-SC'!$G474:K1161,4,FALSE)</f>
        <v>33.74</v>
      </c>
      <c r="E1478" s="264">
        <f>+VLOOKUP(A1478,'[2]X-SEMANA-AS-SC'!$G474:K1161,5,FALSE)</f>
        <v>31.8</v>
      </c>
      <c r="F1478" s="257">
        <v>33.5</v>
      </c>
      <c r="G1478" s="252">
        <v>22.27</v>
      </c>
      <c r="H1478" s="252">
        <v>55.24</v>
      </c>
      <c r="I1478" s="252">
        <v>40.409999999999997</v>
      </c>
      <c r="J1478" s="257">
        <f>(136/(25/4.19))</f>
        <v>22.793600000000005</v>
      </c>
    </row>
    <row r="1479" spans="1:10">
      <c r="A1479" s="114">
        <v>40861</v>
      </c>
      <c r="B1479" s="264">
        <f>+VLOOKUP(A1479,'[2]X-SEMANA-AS-SC'!G$341:K1162,2,FALSE)</f>
        <v>35.79</v>
      </c>
      <c r="C1479" s="264">
        <f>+VLOOKUP(A1479,'[2]X-SEMANA-AS-SC'!$G475:K1162,3,FALSE)</f>
        <v>34.67</v>
      </c>
      <c r="D1479" s="264">
        <f>+VLOOKUP(A1479,'[2]X-SEMANA-AS-SC'!$G475:K1162,4,FALSE)</f>
        <v>34.020000000000003</v>
      </c>
      <c r="E1479" s="264">
        <f>+VLOOKUP(A1479,'[2]X-SEMANA-AS-SC'!$G475:K1162,5,FALSE)</f>
        <v>32.28</v>
      </c>
      <c r="F1479" s="257">
        <v>33.5</v>
      </c>
      <c r="G1479" s="252">
        <v>22.55</v>
      </c>
      <c r="H1479" s="252">
        <v>55.24</v>
      </c>
      <c r="I1479" s="252">
        <v>40.409999999999997</v>
      </c>
      <c r="J1479" s="257">
        <f>(136/(25/4.19))</f>
        <v>22.793600000000005</v>
      </c>
    </row>
    <row r="1480" spans="1:10">
      <c r="A1480" s="114">
        <v>40868</v>
      </c>
      <c r="B1480" s="264">
        <f>+VLOOKUP(A1480,'[2]X-SEMANA-AS-SC'!G$341:K1163,2,FALSE)</f>
        <v>35.590000000000003</v>
      </c>
      <c r="C1480" s="264">
        <f>+VLOOKUP(A1480,'[2]X-SEMANA-AS-SC'!$G476:K1163,3,FALSE)</f>
        <v>34.75</v>
      </c>
      <c r="D1480" s="264">
        <f>+VLOOKUP(A1480,'[2]X-SEMANA-AS-SC'!$G476:K1163,4,FALSE)</f>
        <v>34.119999999999997</v>
      </c>
      <c r="E1480" s="264">
        <f>+VLOOKUP(A1480,'[2]X-SEMANA-AS-SC'!$G476:K1163,5,FALSE)</f>
        <v>32.69</v>
      </c>
      <c r="F1480" s="257">
        <v>33.5</v>
      </c>
      <c r="G1480" s="252">
        <v>22.43</v>
      </c>
      <c r="H1480" s="257">
        <v>55.31</v>
      </c>
      <c r="I1480" s="257">
        <v>40.47</v>
      </c>
      <c r="J1480" s="257">
        <f>(136/(25/4.19))</f>
        <v>22.793600000000005</v>
      </c>
    </row>
    <row r="1481" spans="1:10">
      <c r="A1481" s="114">
        <v>40875</v>
      </c>
      <c r="B1481" s="264">
        <f>+VLOOKUP(A1481,'[2]X-SEMANA-AS-SC'!G$341:K1164,2,FALSE)</f>
        <v>35.21</v>
      </c>
      <c r="C1481" s="264">
        <f>+VLOOKUP(A1481,'[2]X-SEMANA-AS-SC'!$G477:K1164,3,FALSE)</f>
        <v>34.43</v>
      </c>
      <c r="D1481" s="264">
        <f>+VLOOKUP(A1481,'[2]X-SEMANA-AS-SC'!$G477:K1164,4,FALSE)</f>
        <v>33.840000000000003</v>
      </c>
      <c r="E1481" s="264">
        <f>+VLOOKUP(A1481,'[2]X-SEMANA-AS-SC'!$G477:K1164,5,FALSE)</f>
        <v>32.1</v>
      </c>
      <c r="F1481" s="257">
        <v>33.5</v>
      </c>
      <c r="G1481" s="252">
        <v>22.29</v>
      </c>
      <c r="H1481" s="257">
        <v>55.13</v>
      </c>
      <c r="I1481" s="257">
        <v>40.33</v>
      </c>
      <c r="J1481" s="257">
        <f>(136/(25/4.19))</f>
        <v>22.793600000000005</v>
      </c>
    </row>
    <row r="1482" spans="1:10">
      <c r="A1482" s="292" t="s">
        <v>73</v>
      </c>
      <c r="B1482" s="293">
        <f t="shared" ref="B1482:J1482" si="141">AVERAGE(B1478:B1481)</f>
        <v>35.43</v>
      </c>
      <c r="C1482" s="293">
        <f t="shared" si="141"/>
        <v>34.555</v>
      </c>
      <c r="D1482" s="293">
        <f t="shared" si="141"/>
        <v>33.93</v>
      </c>
      <c r="E1482" s="293">
        <f t="shared" si="141"/>
        <v>32.217500000000001</v>
      </c>
      <c r="F1482" s="293">
        <f t="shared" si="141"/>
        <v>33.5</v>
      </c>
      <c r="G1482" s="293">
        <f t="shared" si="141"/>
        <v>22.384999999999998</v>
      </c>
      <c r="H1482" s="293">
        <f t="shared" si="141"/>
        <v>55.230000000000004</v>
      </c>
      <c r="I1482" s="293">
        <f t="shared" si="141"/>
        <v>40.405000000000001</v>
      </c>
      <c r="J1482" s="293">
        <f t="shared" si="141"/>
        <v>22.793600000000005</v>
      </c>
    </row>
    <row r="1484" spans="1:10">
      <c r="A1484" s="1679" t="s">
        <v>1</v>
      </c>
      <c r="B1484" s="289" t="s">
        <v>139</v>
      </c>
      <c r="C1484" s="289" t="s">
        <v>140</v>
      </c>
      <c r="D1484" s="289" t="s">
        <v>5</v>
      </c>
      <c r="E1484" s="289" t="s">
        <v>6</v>
      </c>
      <c r="F1484" s="290" t="s">
        <v>57</v>
      </c>
      <c r="G1484" s="291" t="s">
        <v>154</v>
      </c>
      <c r="H1484" s="290" t="s">
        <v>149</v>
      </c>
      <c r="I1484" s="291" t="s">
        <v>155</v>
      </c>
      <c r="J1484" s="290" t="s">
        <v>61</v>
      </c>
    </row>
    <row r="1485" spans="1:10">
      <c r="A1485" s="1679"/>
      <c r="B1485" s="291" t="s">
        <v>146</v>
      </c>
      <c r="C1485" s="291" t="s">
        <v>146</v>
      </c>
      <c r="D1485" s="291" t="s">
        <v>146</v>
      </c>
      <c r="E1485" s="291" t="s">
        <v>146</v>
      </c>
      <c r="F1485" s="291" t="s">
        <v>146</v>
      </c>
      <c r="G1485" s="291" t="s">
        <v>146</v>
      </c>
      <c r="H1485" s="291" t="s">
        <v>146</v>
      </c>
      <c r="I1485" s="291" t="s">
        <v>146</v>
      </c>
      <c r="J1485" s="291" t="s">
        <v>146</v>
      </c>
    </row>
    <row r="1486" spans="1:10">
      <c r="A1486" s="114">
        <v>40882</v>
      </c>
      <c r="B1486" s="264">
        <f>+VLOOKUP(A1486,'[2]X-SEMANA-AS-SC'!G$341:K1169,2,FALSE)</f>
        <v>34.799999999999997</v>
      </c>
      <c r="C1486" s="264">
        <f>+VLOOKUP(A1486,'[2]X-SEMANA-AS-SC'!$G482:K1169,3,FALSE)</f>
        <v>34.07</v>
      </c>
      <c r="D1486" s="264">
        <f>+VLOOKUP(A1486,'[2]X-SEMANA-AS-SC'!$G482:K1169,4,FALSE)</f>
        <v>33.47</v>
      </c>
      <c r="E1486" s="264">
        <f>+VLOOKUP(A1486,'[2]X-SEMANA-AS-SC'!$G482:K1169,5,FALSE)</f>
        <v>31.89</v>
      </c>
      <c r="F1486" s="257">
        <v>33.5</v>
      </c>
      <c r="G1486" s="252">
        <v>22.39</v>
      </c>
      <c r="H1486" s="252">
        <v>55.13</v>
      </c>
      <c r="I1486" s="252">
        <v>40.33</v>
      </c>
      <c r="J1486" s="257">
        <f>(136/(25/4.19))</f>
        <v>22.793600000000005</v>
      </c>
    </row>
    <row r="1487" spans="1:10">
      <c r="A1487" s="114">
        <v>40889</v>
      </c>
      <c r="B1487" s="264">
        <f>+VLOOKUP(A1487,'[2]X-SEMANA-AS-SC'!G$341:K1170,2,FALSE)</f>
        <v>34.32</v>
      </c>
      <c r="C1487" s="264">
        <f>+VLOOKUP(A1487,'[2]X-SEMANA-AS-SC'!$G483:K1170,3,FALSE)</f>
        <v>33.56</v>
      </c>
      <c r="D1487" s="264">
        <f>+VLOOKUP(A1487,'[2]X-SEMANA-AS-SC'!$G483:K1170,4,FALSE)</f>
        <v>32.94</v>
      </c>
      <c r="E1487" s="264">
        <f>+VLOOKUP(A1487,'[2]X-SEMANA-AS-SC'!$G483:K1170,5,FALSE)</f>
        <v>31.12</v>
      </c>
      <c r="F1487" s="257">
        <v>33.5</v>
      </c>
      <c r="G1487" s="252">
        <v>22.3</v>
      </c>
      <c r="H1487" s="252">
        <v>45.42</v>
      </c>
      <c r="I1487" s="252">
        <v>34.76</v>
      </c>
      <c r="J1487" s="257">
        <f>(136/(25/4.19))</f>
        <v>22.793600000000005</v>
      </c>
    </row>
    <row r="1488" spans="1:10">
      <c r="A1488" s="114">
        <v>40896</v>
      </c>
      <c r="B1488" s="264">
        <f>+VLOOKUP(A1488,'[2]X-SEMANA-AS-SC'!G$341:K1171,2,FALSE)</f>
        <v>34.32</v>
      </c>
      <c r="C1488" s="264">
        <f>+VLOOKUP(A1488,'[2]X-SEMANA-AS-SC'!$G484:K1171,3,FALSE)</f>
        <v>33.56</v>
      </c>
      <c r="D1488" s="264">
        <f>+VLOOKUP(A1488,'[2]X-SEMANA-AS-SC'!$G484:K1171,4,FALSE)</f>
        <v>32.92</v>
      </c>
      <c r="E1488" s="264">
        <f>+VLOOKUP(A1488,'[2]X-SEMANA-AS-SC'!$G484:K1171,5,FALSE)</f>
        <v>31.04</v>
      </c>
      <c r="F1488" s="257">
        <v>33.5</v>
      </c>
      <c r="G1488" s="252">
        <v>22.52</v>
      </c>
      <c r="H1488" s="257">
        <v>45.42</v>
      </c>
      <c r="I1488" s="257">
        <v>34.76</v>
      </c>
      <c r="J1488" s="257">
        <f>(141/(25/4.19))</f>
        <v>23.631600000000002</v>
      </c>
    </row>
    <row r="1489" spans="1:10">
      <c r="A1489" s="114">
        <v>40903</v>
      </c>
      <c r="B1489" s="264">
        <f>+VLOOKUP(A1489,'[2]X-SEMANA-AS-SC'!G$341:K1172,2,FALSE)</f>
        <v>32.909999999999997</v>
      </c>
      <c r="C1489" s="264">
        <f>+VLOOKUP(A1489,'[2]X-SEMANA-AS-SC'!$G485:K1172,3,FALSE)</f>
        <v>32.299999999999997</v>
      </c>
      <c r="D1489" s="264">
        <f>+VLOOKUP(A1489,'[2]X-SEMANA-AS-SC'!$G485:K1172,4,FALSE)</f>
        <v>31.68</v>
      </c>
      <c r="E1489" s="264">
        <f>+VLOOKUP(A1489,'[2]X-SEMANA-AS-SC'!$G485:K1172,5,FALSE)</f>
        <v>30.24</v>
      </c>
      <c r="F1489" s="257">
        <v>33.5</v>
      </c>
      <c r="G1489" s="252">
        <v>21.53</v>
      </c>
      <c r="H1489" s="257">
        <v>45.42</v>
      </c>
      <c r="I1489" s="257">
        <v>34.01</v>
      </c>
      <c r="J1489" s="257">
        <f>(136/(25/4.19))</f>
        <v>22.793600000000005</v>
      </c>
    </row>
    <row r="1490" spans="1:10">
      <c r="A1490" s="292" t="s">
        <v>74</v>
      </c>
      <c r="B1490" s="293">
        <f t="shared" ref="B1490:J1490" si="142">AVERAGE(B1486:B1489)</f>
        <v>34.087499999999999</v>
      </c>
      <c r="C1490" s="293">
        <f t="shared" si="142"/>
        <v>33.372500000000002</v>
      </c>
      <c r="D1490" s="293">
        <f t="shared" si="142"/>
        <v>32.752499999999998</v>
      </c>
      <c r="E1490" s="293">
        <f t="shared" si="142"/>
        <v>31.072500000000002</v>
      </c>
      <c r="F1490" s="293">
        <f t="shared" si="142"/>
        <v>33.5</v>
      </c>
      <c r="G1490" s="293">
        <f t="shared" si="142"/>
        <v>22.184999999999999</v>
      </c>
      <c r="H1490" s="293">
        <f t="shared" si="142"/>
        <v>47.847500000000011</v>
      </c>
      <c r="I1490" s="293">
        <f t="shared" si="142"/>
        <v>35.964999999999996</v>
      </c>
      <c r="J1490" s="293">
        <f t="shared" si="142"/>
        <v>23.003100000000003</v>
      </c>
    </row>
    <row r="1492" spans="1:10">
      <c r="A1492" s="1671" t="s">
        <v>1</v>
      </c>
      <c r="B1492" s="259" t="s">
        <v>139</v>
      </c>
      <c r="C1492" s="259" t="s">
        <v>140</v>
      </c>
      <c r="D1492" s="259" t="s">
        <v>5</v>
      </c>
      <c r="E1492" s="259" t="s">
        <v>6</v>
      </c>
      <c r="F1492" s="260" t="s">
        <v>57</v>
      </c>
      <c r="G1492" s="261" t="s">
        <v>154</v>
      </c>
      <c r="H1492" s="260" t="s">
        <v>149</v>
      </c>
      <c r="I1492" s="261" t="s">
        <v>155</v>
      </c>
      <c r="J1492" s="260" t="s">
        <v>61</v>
      </c>
    </row>
    <row r="1493" spans="1:10">
      <c r="A1493" s="1671"/>
      <c r="B1493" s="261" t="s">
        <v>146</v>
      </c>
      <c r="C1493" s="261" t="s">
        <v>146</v>
      </c>
      <c r="D1493" s="261" t="s">
        <v>146</v>
      </c>
      <c r="E1493" s="261" t="s">
        <v>146</v>
      </c>
      <c r="F1493" s="261" t="s">
        <v>146</v>
      </c>
      <c r="G1493" s="261" t="s">
        <v>146</v>
      </c>
      <c r="H1493" s="261" t="s">
        <v>146</v>
      </c>
      <c r="I1493" s="261" t="s">
        <v>146</v>
      </c>
      <c r="J1493" s="261" t="s">
        <v>146</v>
      </c>
    </row>
    <row r="1494" spans="1:10">
      <c r="A1494" s="114">
        <v>40911</v>
      </c>
      <c r="B1494" s="264">
        <f>+VLOOKUP(A1494,'[2]X-SEMANA-AS-SC'!G$341:K1177,2,FALSE)</f>
        <v>33.340000000000003</v>
      </c>
      <c r="C1494" s="264">
        <f>+VLOOKUP(A1494,'[2]X-SEMANA-AS-SC'!$G490:K1177,3,FALSE)</f>
        <v>32.5</v>
      </c>
      <c r="D1494" s="264">
        <f>+VLOOKUP(A1494,'[2]X-SEMANA-AS-SC'!$G490:K1177,4,FALSE)</f>
        <v>31.83</v>
      </c>
      <c r="E1494" s="264">
        <f>+VLOOKUP(A1494,'[2]X-SEMANA-AS-SC'!$G490:K1177,5,FALSE)</f>
        <v>30.39</v>
      </c>
      <c r="F1494" s="257">
        <v>33.5</v>
      </c>
      <c r="G1494" s="252">
        <v>21.5</v>
      </c>
      <c r="H1494" s="252">
        <v>45.42</v>
      </c>
      <c r="I1494" s="252">
        <v>34.01</v>
      </c>
      <c r="J1494" s="257">
        <f>(136/(25/4.19))</f>
        <v>22.793600000000005</v>
      </c>
    </row>
    <row r="1495" spans="1:10">
      <c r="A1495" s="114">
        <v>40917</v>
      </c>
      <c r="B1495" s="264">
        <f>+VLOOKUP(A1495,'[2]X-SEMANA-AS-SC'!G$341:K1178,2,FALSE)</f>
        <v>34.29</v>
      </c>
      <c r="C1495" s="264">
        <f>+VLOOKUP(A1495,'[2]X-SEMANA-AS-SC'!$G491:K1178,3,FALSE)</f>
        <v>33.43</v>
      </c>
      <c r="D1495" s="264">
        <f>+VLOOKUP(A1495,'[2]X-SEMANA-AS-SC'!$G491:K1178,4,FALSE)</f>
        <v>32.78</v>
      </c>
      <c r="E1495" s="264">
        <f>+VLOOKUP(A1495,'[2]X-SEMANA-AS-SC'!$G491:K1178,5,FALSE)</f>
        <v>31.34</v>
      </c>
      <c r="F1495" s="257">
        <v>33.5</v>
      </c>
      <c r="G1495" s="252">
        <v>21.69</v>
      </c>
      <c r="H1495" s="252">
        <v>45.1</v>
      </c>
      <c r="I1495" s="252">
        <v>33.700000000000003</v>
      </c>
      <c r="J1495" s="257">
        <f>(136/(25/4.19))</f>
        <v>22.793600000000005</v>
      </c>
    </row>
    <row r="1496" spans="1:10">
      <c r="A1496" s="114">
        <v>40925</v>
      </c>
      <c r="B1496" s="264">
        <f>+VLOOKUP(A1496,'[2]X-SEMANA-AS-SC'!G$341:K1179,2,FALSE)</f>
        <v>34.29</v>
      </c>
      <c r="C1496" s="264">
        <f>+VLOOKUP(A1496,'[2]X-SEMANA-AS-SC'!$G492:K1179,3,FALSE)</f>
        <v>33.43</v>
      </c>
      <c r="D1496" s="264">
        <f>+VLOOKUP(A1496,'[2]X-SEMANA-AS-SC'!$G492:K1179,4,FALSE)</f>
        <v>32.78</v>
      </c>
      <c r="E1496" s="264">
        <f>+VLOOKUP(A1496,'[2]X-SEMANA-AS-SC'!$G492:K1179,5,FALSE)</f>
        <v>31.34</v>
      </c>
      <c r="F1496" s="257">
        <v>33.5</v>
      </c>
      <c r="G1496" s="252">
        <v>22.18</v>
      </c>
      <c r="H1496" s="257">
        <v>45.1</v>
      </c>
      <c r="I1496" s="257">
        <v>33.700000000000003</v>
      </c>
      <c r="J1496" s="257">
        <f>(136/(25/4.19))</f>
        <v>22.793600000000005</v>
      </c>
    </row>
    <row r="1497" spans="1:10">
      <c r="A1497" s="114">
        <v>40931</v>
      </c>
      <c r="B1497" s="264">
        <f>+VLOOKUP(A1497,'[2]X-SEMANA-AS-SC'!G$341:K1180,2,FALSE)</f>
        <v>34.29</v>
      </c>
      <c r="C1497" s="264">
        <f>+VLOOKUP(A1497,'[2]X-SEMANA-AS-SC'!$G493:K1180,3,FALSE)</f>
        <v>33.43</v>
      </c>
      <c r="D1497" s="264">
        <f>+VLOOKUP(A1497,'[2]X-SEMANA-AS-SC'!$G493:K1180,4,FALSE)</f>
        <v>32.78</v>
      </c>
      <c r="E1497" s="264">
        <f>+VLOOKUP(A1497,'[2]X-SEMANA-AS-SC'!$G493:K1180,5,FALSE)</f>
        <v>31.34</v>
      </c>
      <c r="F1497" s="257">
        <v>33.5</v>
      </c>
      <c r="G1497" s="252">
        <v>22.28</v>
      </c>
      <c r="H1497" s="257">
        <v>45.1</v>
      </c>
      <c r="I1497" s="257">
        <v>35.58</v>
      </c>
      <c r="J1497" s="257">
        <f>(136/(25/4.19))</f>
        <v>22.793600000000005</v>
      </c>
    </row>
    <row r="1498" spans="1:10">
      <c r="A1498" s="114">
        <v>40938</v>
      </c>
      <c r="B1498" s="264">
        <f>+VLOOKUP(A1498,'[2]X-SEMANA-AS-SC'!G$341:K1181,2,FALSE)</f>
        <v>33.17</v>
      </c>
      <c r="C1498" s="264">
        <f>+VLOOKUP(A1498,'[2]X-SEMANA-AS-SC'!$G494:K1181,3,FALSE)</f>
        <v>32.770000000000003</v>
      </c>
      <c r="D1498" s="264">
        <f>+VLOOKUP(A1498,'[2]X-SEMANA-AS-SC'!$G494:K1181,4,FALSE)</f>
        <v>32.159999999999997</v>
      </c>
      <c r="E1498" s="264">
        <f>+VLOOKUP(A1498,'[2]X-SEMANA-AS-SC'!$G494:K1181,5,FALSE)</f>
        <v>30.17</v>
      </c>
      <c r="F1498" s="257">
        <v>33.5</v>
      </c>
      <c r="G1498" s="252">
        <v>22.28</v>
      </c>
      <c r="H1498" s="257">
        <v>44.9</v>
      </c>
      <c r="I1498" s="257">
        <v>35.43</v>
      </c>
      <c r="J1498" s="257">
        <f>(136/(25/4.19))</f>
        <v>22.793600000000005</v>
      </c>
    </row>
    <row r="1499" spans="1:10">
      <c r="A1499" s="262" t="s">
        <v>63</v>
      </c>
      <c r="B1499" s="263">
        <f t="shared" ref="B1499:J1499" si="143">AVERAGE(B1494:B1498)</f>
        <v>33.875999999999998</v>
      </c>
      <c r="C1499" s="263">
        <f t="shared" si="143"/>
        <v>33.112000000000009</v>
      </c>
      <c r="D1499" s="263">
        <f t="shared" si="143"/>
        <v>32.466000000000001</v>
      </c>
      <c r="E1499" s="263">
        <f t="shared" si="143"/>
        <v>30.916000000000004</v>
      </c>
      <c r="F1499" s="263">
        <f t="shared" si="143"/>
        <v>33.5</v>
      </c>
      <c r="G1499" s="263">
        <f t="shared" si="143"/>
        <v>21.986000000000001</v>
      </c>
      <c r="H1499" s="263">
        <f t="shared" si="143"/>
        <v>45.124000000000002</v>
      </c>
      <c r="I1499" s="263">
        <f t="shared" si="143"/>
        <v>34.484000000000002</v>
      </c>
      <c r="J1499" s="263">
        <f t="shared" si="143"/>
        <v>22.793600000000005</v>
      </c>
    </row>
    <row r="1501" spans="1:10">
      <c r="A1501" s="1671" t="s">
        <v>1</v>
      </c>
      <c r="B1501" s="259" t="s">
        <v>139</v>
      </c>
      <c r="C1501" s="259" t="s">
        <v>140</v>
      </c>
      <c r="D1501" s="259" t="s">
        <v>5</v>
      </c>
      <c r="E1501" s="259" t="s">
        <v>6</v>
      </c>
      <c r="F1501" s="260" t="s">
        <v>57</v>
      </c>
      <c r="G1501" s="261" t="s">
        <v>154</v>
      </c>
      <c r="H1501" s="260" t="s">
        <v>149</v>
      </c>
      <c r="I1501" s="261" t="s">
        <v>155</v>
      </c>
      <c r="J1501" s="260" t="s">
        <v>61</v>
      </c>
    </row>
    <row r="1502" spans="1:10">
      <c r="A1502" s="1671"/>
      <c r="B1502" s="261" t="s">
        <v>146</v>
      </c>
      <c r="C1502" s="261" t="s">
        <v>146</v>
      </c>
      <c r="D1502" s="261" t="s">
        <v>146</v>
      </c>
      <c r="E1502" s="261" t="s">
        <v>146</v>
      </c>
      <c r="F1502" s="261" t="s">
        <v>146</v>
      </c>
      <c r="G1502" s="261" t="s">
        <v>146</v>
      </c>
      <c r="H1502" s="261" t="s">
        <v>146</v>
      </c>
      <c r="I1502" s="261" t="s">
        <v>146</v>
      </c>
      <c r="J1502" s="261" t="s">
        <v>146</v>
      </c>
    </row>
    <row r="1503" spans="1:10">
      <c r="A1503" s="114">
        <v>40945</v>
      </c>
      <c r="B1503" s="264">
        <f>+VLOOKUP(A1503,'[2]X-SEMANA-AS-SC'!G$341:K1186,2,FALSE)</f>
        <v>34.659999999999997</v>
      </c>
      <c r="C1503" s="264">
        <f>+VLOOKUP(A1503,'[2]X-SEMANA-AS-SC'!$G499:K1186,3,FALSE)</f>
        <v>33.94</v>
      </c>
      <c r="D1503" s="264">
        <f>+VLOOKUP(A1503,'[2]X-SEMANA-AS-SC'!$G499:K1186,4,FALSE)</f>
        <v>33.29</v>
      </c>
      <c r="E1503" s="264">
        <f>+VLOOKUP(A1503,'[2]X-SEMANA-AS-SC'!$G499:K1186,5,FALSE)</f>
        <v>31.78</v>
      </c>
      <c r="F1503" s="257">
        <v>33.5</v>
      </c>
      <c r="G1503" s="252">
        <v>22.94</v>
      </c>
      <c r="H1503" s="252">
        <v>44.87</v>
      </c>
      <c r="I1503" s="252">
        <v>35.130000000000003</v>
      </c>
      <c r="J1503" s="257">
        <f>(136/(25/4.19))</f>
        <v>22.793600000000005</v>
      </c>
    </row>
    <row r="1504" spans="1:10">
      <c r="A1504" s="114">
        <v>40952</v>
      </c>
      <c r="B1504" s="264">
        <f>+VLOOKUP(A1504,'[2]X-SEMANA-AS-SC'!G$341:K1187,2,FALSE)</f>
        <v>36.72</v>
      </c>
      <c r="C1504" s="264">
        <f>+VLOOKUP(A1504,'[2]X-SEMANA-AS-SC'!$G500:K1187,3,FALSE)</f>
        <v>35.51</v>
      </c>
      <c r="D1504" s="264">
        <f>+VLOOKUP(A1504,'[2]X-SEMANA-AS-SC'!$G500:K1187,4,FALSE)</f>
        <v>34.799999999999997</v>
      </c>
      <c r="E1504" s="264">
        <f>+VLOOKUP(A1504,'[2]X-SEMANA-AS-SC'!$G500:K1187,5,FALSE)</f>
        <v>32.69</v>
      </c>
      <c r="F1504" s="257">
        <v>33.5</v>
      </c>
      <c r="G1504" s="252">
        <v>23.11</v>
      </c>
      <c r="H1504" s="252">
        <v>45.18</v>
      </c>
      <c r="I1504" s="252">
        <v>36.130000000000003</v>
      </c>
      <c r="J1504" s="257">
        <f>(136/(25/4.19))</f>
        <v>22.793600000000005</v>
      </c>
    </row>
    <row r="1505" spans="1:10">
      <c r="A1505" s="114">
        <v>40959</v>
      </c>
      <c r="B1505" s="264">
        <f>+VLOOKUP(A1505,'[2]X-SEMANA-AS-SC'!G$341:K1188,2,FALSE)</f>
        <v>36.67</v>
      </c>
      <c r="C1505" s="264">
        <f>+VLOOKUP(A1505,'[2]X-SEMANA-AS-SC'!$G501:K1188,3,FALSE)</f>
        <v>35.869999999999997</v>
      </c>
      <c r="D1505" s="264">
        <f>+VLOOKUP(A1505,'[2]X-SEMANA-AS-SC'!$G501:K1188,4,FALSE)</f>
        <v>35.17</v>
      </c>
      <c r="E1505" s="264">
        <f>+VLOOKUP(A1505,'[2]X-SEMANA-AS-SC'!$G501:K1188,5,FALSE)</f>
        <v>32.81</v>
      </c>
      <c r="F1505" s="257">
        <v>33.5</v>
      </c>
      <c r="G1505" s="252">
        <v>23.6</v>
      </c>
      <c r="H1505" s="257">
        <v>45.05</v>
      </c>
      <c r="I1505" s="257">
        <v>36.03</v>
      </c>
      <c r="J1505" s="257">
        <f>(136/(25/4.19))</f>
        <v>22.793600000000005</v>
      </c>
    </row>
    <row r="1506" spans="1:10">
      <c r="A1506" s="114">
        <v>40966</v>
      </c>
      <c r="B1506" s="264">
        <f>+VLOOKUP(A1506,'[2]X-SEMANA-AS-SC'!G$341:K1189,2,FALSE)</f>
        <v>36.67</v>
      </c>
      <c r="C1506" s="264">
        <f>+VLOOKUP(A1506,'[2]X-SEMANA-AS-SC'!$G502:K1189,3,FALSE)</f>
        <v>35.869999999999997</v>
      </c>
      <c r="D1506" s="264">
        <f>+VLOOKUP(A1506,'[2]X-SEMANA-AS-SC'!$G502:K1189,4,FALSE)</f>
        <v>35.17</v>
      </c>
      <c r="E1506" s="264">
        <f>+VLOOKUP(A1506,'[2]X-SEMANA-AS-SC'!$G502:K1189,5,FALSE)</f>
        <v>32.81</v>
      </c>
      <c r="F1506" s="257">
        <v>33.5</v>
      </c>
      <c r="G1506" s="252">
        <v>23.95</v>
      </c>
      <c r="H1506" s="257">
        <v>45.05</v>
      </c>
      <c r="I1506" s="257">
        <v>36.03</v>
      </c>
      <c r="J1506" s="257">
        <f>(136/(25/4.19))</f>
        <v>22.793600000000005</v>
      </c>
    </row>
    <row r="1507" spans="1:10">
      <c r="A1507" s="262" t="s">
        <v>64</v>
      </c>
      <c r="B1507" s="263">
        <f t="shared" ref="B1507:J1507" si="144">AVERAGE(B1503:B1506)</f>
        <v>36.18</v>
      </c>
      <c r="C1507" s="263">
        <f t="shared" si="144"/>
        <v>35.297499999999999</v>
      </c>
      <c r="D1507" s="263">
        <f t="shared" si="144"/>
        <v>34.607500000000002</v>
      </c>
      <c r="E1507" s="263">
        <f t="shared" si="144"/>
        <v>32.522500000000001</v>
      </c>
      <c r="F1507" s="263">
        <f t="shared" si="144"/>
        <v>33.5</v>
      </c>
      <c r="G1507" s="263">
        <f t="shared" si="144"/>
        <v>23.400000000000002</v>
      </c>
      <c r="H1507" s="263">
        <f t="shared" si="144"/>
        <v>45.037499999999994</v>
      </c>
      <c r="I1507" s="263">
        <f t="shared" si="144"/>
        <v>35.83</v>
      </c>
      <c r="J1507" s="263">
        <f t="shared" si="144"/>
        <v>22.793600000000005</v>
      </c>
    </row>
    <row r="1509" spans="1:10">
      <c r="A1509" s="1671" t="s">
        <v>1</v>
      </c>
      <c r="B1509" s="259" t="s">
        <v>139</v>
      </c>
      <c r="C1509" s="259" t="s">
        <v>140</v>
      </c>
      <c r="D1509" s="259" t="s">
        <v>5</v>
      </c>
      <c r="E1509" s="259" t="s">
        <v>6</v>
      </c>
      <c r="F1509" s="260" t="s">
        <v>57</v>
      </c>
      <c r="G1509" s="261" t="s">
        <v>154</v>
      </c>
      <c r="H1509" s="260" t="s">
        <v>149</v>
      </c>
      <c r="I1509" s="261" t="s">
        <v>155</v>
      </c>
      <c r="J1509" s="260" t="s">
        <v>61</v>
      </c>
    </row>
    <row r="1510" spans="1:10">
      <c r="A1510" s="1671"/>
      <c r="B1510" s="261" t="s">
        <v>146</v>
      </c>
      <c r="C1510" s="261" t="s">
        <v>146</v>
      </c>
      <c r="D1510" s="261" t="s">
        <v>146</v>
      </c>
      <c r="E1510" s="261" t="s">
        <v>146</v>
      </c>
      <c r="F1510" s="261" t="s">
        <v>146</v>
      </c>
      <c r="G1510" s="261" t="s">
        <v>146</v>
      </c>
      <c r="H1510" s="261" t="s">
        <v>146</v>
      </c>
      <c r="I1510" s="261" t="s">
        <v>146</v>
      </c>
      <c r="J1510" s="261" t="s">
        <v>146</v>
      </c>
    </row>
    <row r="1511" spans="1:10">
      <c r="A1511" s="114">
        <v>40973</v>
      </c>
      <c r="B1511" s="264">
        <f>+VLOOKUP(A1511,'[2]X-SEMANA-AS-SC'!G$341:K1194,2,FALSE)</f>
        <v>36.67</v>
      </c>
      <c r="C1511" s="264">
        <f>+VLOOKUP(A1511,'[2]X-SEMANA-AS-SC'!$G507:K1194,3,FALSE)</f>
        <v>35.869999999999997</v>
      </c>
      <c r="D1511" s="264">
        <f>+VLOOKUP(A1511,'[2]X-SEMANA-AS-SC'!$G507:K1194,4,FALSE)</f>
        <v>35.17</v>
      </c>
      <c r="E1511" s="264">
        <f>+VLOOKUP(A1511,'[2]X-SEMANA-AS-SC'!$G507:K1194,5,FALSE)</f>
        <v>32.81</v>
      </c>
      <c r="F1511" s="257">
        <v>33.5</v>
      </c>
      <c r="G1511" s="252">
        <v>24.06</v>
      </c>
      <c r="H1511" s="252">
        <v>54.7</v>
      </c>
      <c r="I1511" s="252">
        <v>37.86</v>
      </c>
      <c r="J1511" s="257">
        <f>(136/(25/4.19))</f>
        <v>22.793600000000005</v>
      </c>
    </row>
    <row r="1512" spans="1:10">
      <c r="A1512" s="114">
        <v>40980</v>
      </c>
      <c r="B1512" s="264">
        <f>+VLOOKUP(A1512,'[2]X-SEMANA-AS-SC'!G$341:K1195,2,FALSE)</f>
        <v>38.28</v>
      </c>
      <c r="C1512" s="264">
        <f>+VLOOKUP(A1512,'[2]X-SEMANA-AS-SC'!$G508:K1195,3,FALSE)</f>
        <v>36.92</v>
      </c>
      <c r="D1512" s="264">
        <f>+VLOOKUP(A1512,'[2]X-SEMANA-AS-SC'!$G508:K1195,4,FALSE)</f>
        <v>36.340000000000003</v>
      </c>
      <c r="E1512" s="264">
        <f>+VLOOKUP(A1512,'[2]X-SEMANA-AS-SC'!$G508:K1195,5,FALSE)</f>
        <v>33.18</v>
      </c>
      <c r="F1512" s="257">
        <v>35.5</v>
      </c>
      <c r="G1512" s="252">
        <v>24.29</v>
      </c>
      <c r="H1512" s="252">
        <v>54.7</v>
      </c>
      <c r="I1512" s="252">
        <v>37.86</v>
      </c>
      <c r="J1512" s="257">
        <f>(115/(25/4.19))</f>
        <v>19.274000000000004</v>
      </c>
    </row>
    <row r="1513" spans="1:10">
      <c r="A1513" s="114">
        <v>40987</v>
      </c>
      <c r="B1513" s="264">
        <f>+VLOOKUP(A1513,'[2]X-SEMANA-AS-SC'!G$341:K1196,2,FALSE)</f>
        <v>38.18</v>
      </c>
      <c r="C1513" s="264">
        <f>+VLOOKUP(A1513,'[2]X-SEMANA-AS-SC'!$G509:K1196,3,FALSE)</f>
        <v>37.380000000000003</v>
      </c>
      <c r="D1513" s="264">
        <f>+VLOOKUP(A1513,'[2]X-SEMANA-AS-SC'!$G509:K1196,4,FALSE)</f>
        <v>36.82</v>
      </c>
      <c r="E1513" s="264">
        <f>+VLOOKUP(A1513,'[2]X-SEMANA-AS-SC'!$G509:K1196,5,FALSE)</f>
        <v>33.369999999999997</v>
      </c>
      <c r="F1513" s="257">
        <v>35.5</v>
      </c>
      <c r="G1513" s="252">
        <v>25.32</v>
      </c>
      <c r="H1513" s="252">
        <v>54.7</v>
      </c>
      <c r="I1513" s="257">
        <v>37.86</v>
      </c>
      <c r="J1513" s="257">
        <f>(110/(25/4.19))</f>
        <v>18.436000000000003</v>
      </c>
    </row>
    <row r="1514" spans="1:10">
      <c r="A1514" s="114">
        <v>40994</v>
      </c>
      <c r="B1514" s="264">
        <f>+VLOOKUP(A1514,'[2]X-SEMANA-AS-SC'!G$341:K1197,2,FALSE)</f>
        <v>37.020000000000003</v>
      </c>
      <c r="C1514" s="264">
        <f>+VLOOKUP(A1514,'[2]X-SEMANA-AS-SC'!$G510:K1197,3,FALSE)</f>
        <v>36.65</v>
      </c>
      <c r="D1514" s="264">
        <f>+VLOOKUP(A1514,'[2]X-SEMANA-AS-SC'!$G510:K1197,4,FALSE)</f>
        <v>36.119999999999997</v>
      </c>
      <c r="E1514" s="264">
        <f>+VLOOKUP(A1514,'[2]X-SEMANA-AS-SC'!$G510:K1197,5,FALSE)</f>
        <v>32.82</v>
      </c>
      <c r="F1514" s="257">
        <v>35.5</v>
      </c>
      <c r="G1514" s="252">
        <v>26.44</v>
      </c>
      <c r="H1514" s="252">
        <v>54.7</v>
      </c>
      <c r="I1514" s="257">
        <v>37.86</v>
      </c>
      <c r="J1514" s="257">
        <f>(105/(25/4.19))</f>
        <v>17.598000000000003</v>
      </c>
    </row>
    <row r="1515" spans="1:10">
      <c r="A1515" s="262" t="s">
        <v>65</v>
      </c>
      <c r="B1515" s="263">
        <f t="shared" ref="B1515:J1515" si="145">AVERAGE(B1511:B1514)</f>
        <v>37.537500000000001</v>
      </c>
      <c r="C1515" s="263">
        <f t="shared" si="145"/>
        <v>36.704999999999998</v>
      </c>
      <c r="D1515" s="263">
        <f t="shared" si="145"/>
        <v>36.112500000000004</v>
      </c>
      <c r="E1515" s="263">
        <f t="shared" si="145"/>
        <v>33.045000000000002</v>
      </c>
      <c r="F1515" s="263">
        <f t="shared" si="145"/>
        <v>35</v>
      </c>
      <c r="G1515" s="263">
        <f t="shared" si="145"/>
        <v>25.027499999999996</v>
      </c>
      <c r="H1515" s="263">
        <v>54.7</v>
      </c>
      <c r="I1515" s="263">
        <f t="shared" si="145"/>
        <v>37.86</v>
      </c>
      <c r="J1515" s="263">
        <f t="shared" si="145"/>
        <v>19.525400000000005</v>
      </c>
    </row>
    <row r="1517" spans="1:10">
      <c r="A1517" s="1671" t="s">
        <v>1</v>
      </c>
      <c r="B1517" s="259" t="s">
        <v>139</v>
      </c>
      <c r="C1517" s="259" t="s">
        <v>140</v>
      </c>
      <c r="D1517" s="259" t="s">
        <v>5</v>
      </c>
      <c r="E1517" s="259" t="s">
        <v>6</v>
      </c>
      <c r="F1517" s="260" t="s">
        <v>57</v>
      </c>
      <c r="G1517" s="261" t="s">
        <v>154</v>
      </c>
      <c r="H1517" s="260" t="s">
        <v>149</v>
      </c>
      <c r="I1517" s="261" t="s">
        <v>155</v>
      </c>
      <c r="J1517" s="260" t="s">
        <v>61</v>
      </c>
    </row>
    <row r="1518" spans="1:10">
      <c r="A1518" s="1671"/>
      <c r="B1518" s="261" t="s">
        <v>146</v>
      </c>
      <c r="C1518" s="261" t="s">
        <v>146</v>
      </c>
      <c r="D1518" s="261" t="s">
        <v>146</v>
      </c>
      <c r="E1518" s="261" t="s">
        <v>146</v>
      </c>
      <c r="F1518" s="261" t="s">
        <v>146</v>
      </c>
      <c r="G1518" s="261" t="s">
        <v>146</v>
      </c>
      <c r="H1518" s="261" t="s">
        <v>146</v>
      </c>
      <c r="I1518" s="261" t="s">
        <v>146</v>
      </c>
      <c r="J1518" s="261" t="s">
        <v>146</v>
      </c>
    </row>
    <row r="1519" spans="1:10">
      <c r="A1519" s="114">
        <v>41001</v>
      </c>
      <c r="B1519" s="264">
        <f>+VLOOKUP(A1519,'[2]X-SEMANA-AS-SC'!G$341:K1202,2,FALSE)</f>
        <v>38.46</v>
      </c>
      <c r="C1519" s="264">
        <f>+VLOOKUP(A1519,'[2]X-SEMANA-AS-SC'!$G515:K1202,3,FALSE)</f>
        <v>37.68</v>
      </c>
      <c r="D1519" s="264">
        <f>+VLOOKUP(A1519,'[2]X-SEMANA-AS-SC'!$G515:K1202,4,FALSE)</f>
        <v>37.15</v>
      </c>
      <c r="E1519" s="264">
        <f>+VLOOKUP(A1519,'[2]X-SEMANA-AS-SC'!$G515:K1202,5,FALSE)</f>
        <v>33.56</v>
      </c>
      <c r="F1519" s="257">
        <v>35.5</v>
      </c>
      <c r="G1519" s="252">
        <v>26.44</v>
      </c>
      <c r="H1519" s="252">
        <v>54.7</v>
      </c>
      <c r="I1519" s="252">
        <v>37.840000000000003</v>
      </c>
      <c r="J1519" s="257">
        <f>(105/(25/4.19))</f>
        <v>17.598000000000003</v>
      </c>
    </row>
    <row r="1520" spans="1:10">
      <c r="A1520" s="114">
        <v>41008</v>
      </c>
      <c r="B1520" s="264">
        <f>+VLOOKUP(A1520,'[2]X-SEMANA-AS-SC'!G$341:K1203,2,FALSE)</f>
        <v>38.42</v>
      </c>
      <c r="C1520" s="264">
        <f>+VLOOKUP(A1520,'[2]X-SEMANA-AS-SC'!$G516:K1203,3,FALSE)</f>
        <v>37.659999999999997</v>
      </c>
      <c r="D1520" s="264">
        <f>+VLOOKUP(A1520,'[2]X-SEMANA-AS-SC'!$G516:K1203,4,FALSE)</f>
        <v>37.119999999999997</v>
      </c>
      <c r="E1520" s="264">
        <f>+VLOOKUP(A1520,'[2]X-SEMANA-AS-SC'!$G516:K1203,5,FALSE)</f>
        <v>33.21</v>
      </c>
      <c r="F1520" s="257">
        <v>35.5</v>
      </c>
      <c r="G1520" s="252">
        <v>25.86</v>
      </c>
      <c r="H1520" s="252">
        <v>54.7</v>
      </c>
      <c r="I1520" s="252">
        <v>37.840000000000003</v>
      </c>
      <c r="J1520" s="257">
        <f>(105/(25/4.19))</f>
        <v>17.598000000000003</v>
      </c>
    </row>
    <row r="1521" spans="1:13">
      <c r="A1521" s="114">
        <v>41015</v>
      </c>
      <c r="B1521" s="264">
        <f>+VLOOKUP(A1521,'[2]X-SEMANA-AS-SC'!G$341:K1204,2,FALSE)</f>
        <v>38.5</v>
      </c>
      <c r="C1521" s="264">
        <f>+VLOOKUP(A1521,'[2]X-SEMANA-AS-SC'!$G517:K1204,3,FALSE)</f>
        <v>37.78</v>
      </c>
      <c r="D1521" s="264">
        <f>+VLOOKUP(A1521,'[2]X-SEMANA-AS-SC'!$G517:K1204,4,FALSE)</f>
        <v>37.22</v>
      </c>
      <c r="E1521" s="264">
        <f>+VLOOKUP(A1521,'[2]X-SEMANA-AS-SC'!$G517:K1204,5,FALSE)</f>
        <v>33.03</v>
      </c>
      <c r="F1521" s="257">
        <v>35.5</v>
      </c>
      <c r="G1521" s="252">
        <v>24.73</v>
      </c>
      <c r="H1521" s="252">
        <v>54.7</v>
      </c>
      <c r="I1521" s="252">
        <v>37.840000000000003</v>
      </c>
      <c r="J1521" s="257">
        <f>(105/(25/4.19))</f>
        <v>17.598000000000003</v>
      </c>
    </row>
    <row r="1522" spans="1:13">
      <c r="A1522" s="114">
        <v>41022</v>
      </c>
      <c r="B1522" s="264">
        <f>+VLOOKUP(A1522,'[2]X-SEMANA-AS-SC'!G$341:K1205,2,FALSE)</f>
        <v>38.22</v>
      </c>
      <c r="C1522" s="264">
        <f>+VLOOKUP(A1522,'[2]X-SEMANA-AS-SC'!$G518:K1205,3,FALSE)</f>
        <v>37.46</v>
      </c>
      <c r="D1522" s="264">
        <f>+VLOOKUP(A1522,'[2]X-SEMANA-AS-SC'!$G518:K1205,4,FALSE)</f>
        <v>36.909999999999997</v>
      </c>
      <c r="E1522" s="264">
        <f>+VLOOKUP(A1522,'[2]X-SEMANA-AS-SC'!$G518:K1205,5,FALSE)</f>
        <v>32.69</v>
      </c>
      <c r="F1522" s="257">
        <v>35.5</v>
      </c>
      <c r="G1522" s="252">
        <v>24.45</v>
      </c>
      <c r="H1522" s="252">
        <v>54.7</v>
      </c>
      <c r="I1522" s="252">
        <v>37.840000000000003</v>
      </c>
      <c r="J1522" s="257">
        <f>(105/(25/4.19))</f>
        <v>17.598000000000003</v>
      </c>
    </row>
    <row r="1523" spans="1:13">
      <c r="A1523" s="114">
        <v>41029</v>
      </c>
      <c r="B1523" s="264">
        <f>+VLOOKUP(A1523,'[2]X-SEMANA-AS-SC'!G$341:K1206,2,FALSE)</f>
        <v>38.07</v>
      </c>
      <c r="C1523" s="264">
        <f>+VLOOKUP(A1523,'[2]X-SEMANA-AS-SC'!$G519:K1206,3,FALSE)</f>
        <v>37.299999999999997</v>
      </c>
      <c r="D1523" s="264">
        <f>+VLOOKUP(A1523,'[2]X-SEMANA-AS-SC'!$G519:K1206,4,FALSE)</f>
        <v>36.72</v>
      </c>
      <c r="E1523" s="264">
        <f>+VLOOKUP(A1523,'[2]X-SEMANA-AS-SC'!$G519:K1206,5,FALSE)</f>
        <v>32.590000000000003</v>
      </c>
      <c r="F1523" s="257">
        <v>35.5</v>
      </c>
      <c r="G1523" s="252">
        <v>24.26</v>
      </c>
      <c r="H1523" s="252">
        <v>54.7</v>
      </c>
      <c r="I1523" s="252">
        <v>37.840000000000003</v>
      </c>
      <c r="J1523" s="257">
        <f>(105/(25/4.19))</f>
        <v>17.598000000000003</v>
      </c>
    </row>
    <row r="1524" spans="1:13">
      <c r="A1524" s="262" t="s">
        <v>66</v>
      </c>
      <c r="B1524" s="263">
        <f t="shared" ref="B1524:J1524" si="146">AVERAGE(B1519:B1523)</f>
        <v>38.333999999999996</v>
      </c>
      <c r="C1524" s="263">
        <f t="shared" si="146"/>
        <v>37.576000000000001</v>
      </c>
      <c r="D1524" s="263">
        <f t="shared" si="146"/>
        <v>37.023999999999994</v>
      </c>
      <c r="E1524" s="263">
        <f t="shared" si="146"/>
        <v>33.016000000000005</v>
      </c>
      <c r="F1524" s="263">
        <f t="shared" si="146"/>
        <v>35.5</v>
      </c>
      <c r="G1524" s="263">
        <f t="shared" si="146"/>
        <v>25.148000000000003</v>
      </c>
      <c r="H1524" s="263">
        <v>54.7</v>
      </c>
      <c r="I1524" s="263">
        <f t="shared" si="146"/>
        <v>37.840000000000003</v>
      </c>
      <c r="J1524" s="263">
        <f t="shared" si="146"/>
        <v>17.598000000000003</v>
      </c>
    </row>
    <row r="1526" spans="1:13">
      <c r="A1526" s="1671" t="s">
        <v>1</v>
      </c>
      <c r="B1526" s="259" t="s">
        <v>139</v>
      </c>
      <c r="C1526" s="259" t="s">
        <v>140</v>
      </c>
      <c r="D1526" s="259" t="s">
        <v>5</v>
      </c>
      <c r="E1526" s="259" t="s">
        <v>6</v>
      </c>
      <c r="F1526" s="260" t="s">
        <v>57</v>
      </c>
      <c r="G1526" s="261" t="s">
        <v>154</v>
      </c>
      <c r="H1526" s="260" t="s">
        <v>149</v>
      </c>
      <c r="I1526" s="261" t="s">
        <v>155</v>
      </c>
      <c r="J1526" s="260" t="s">
        <v>61</v>
      </c>
    </row>
    <row r="1527" spans="1:13">
      <c r="A1527" s="1671"/>
      <c r="B1527" s="261" t="s">
        <v>146</v>
      </c>
      <c r="C1527" s="261" t="s">
        <v>146</v>
      </c>
      <c r="D1527" s="261" t="s">
        <v>146</v>
      </c>
      <c r="E1527" s="261" t="s">
        <v>146</v>
      </c>
      <c r="F1527" s="261" t="s">
        <v>146</v>
      </c>
      <c r="G1527" s="261" t="s">
        <v>146</v>
      </c>
      <c r="H1527" s="261" t="s">
        <v>146</v>
      </c>
      <c r="I1527" s="261" t="s">
        <v>146</v>
      </c>
      <c r="J1527" s="261" t="s">
        <v>146</v>
      </c>
    </row>
    <row r="1528" spans="1:13">
      <c r="A1528" s="114">
        <v>41036</v>
      </c>
      <c r="B1528" s="264">
        <f>+VLOOKUP(A1528,'[2]X-SEMANA-AS-SC'!G$341:K3211,2,FALSE)</f>
        <v>37.44</v>
      </c>
      <c r="C1528" s="264">
        <f>+VLOOKUP(A1528,'[2]X-SEMANA-AS-SC'!$G524:K1211,3,FALSE)</f>
        <v>36.92</v>
      </c>
      <c r="D1528" s="264">
        <f>+VLOOKUP(A1528,'[2]X-SEMANA-AS-SC'!$G524:K1211,4,FALSE)</f>
        <v>36.33</v>
      </c>
      <c r="E1528" s="264">
        <f>+VLOOKUP(A1528,'[2]X-SEMANA-AS-SC'!$G524:K1211,5,FALSE)</f>
        <v>32.74</v>
      </c>
      <c r="F1528" s="257">
        <v>35.5</v>
      </c>
      <c r="G1528" s="252">
        <v>24.11</v>
      </c>
      <c r="H1528" s="252">
        <v>60</v>
      </c>
      <c r="I1528" s="252">
        <v>37.94</v>
      </c>
      <c r="J1528" s="257">
        <f>(105/(25/4.19))</f>
        <v>17.598000000000003</v>
      </c>
      <c r="L1528" s="63"/>
      <c r="M1528" s="63"/>
    </row>
    <row r="1529" spans="1:13">
      <c r="A1529" s="114">
        <v>41043</v>
      </c>
      <c r="B1529" s="264">
        <f>+VLOOKUP(A1529,'[2]X-SEMANA-AS-SC'!G$341:K1212,2,FALSE)</f>
        <v>36.880000000000003</v>
      </c>
      <c r="C1529" s="264">
        <f>+VLOOKUP(A1529,'[2]X-SEMANA-AS-SC'!$G525:K1212,3,FALSE)</f>
        <v>36.14</v>
      </c>
      <c r="D1529" s="264">
        <f>+VLOOKUP(A1529,'[2]X-SEMANA-AS-SC'!$G525:K1212,4,FALSE)</f>
        <v>35.57</v>
      </c>
      <c r="E1529" s="264">
        <f>+VLOOKUP(A1529,'[2]X-SEMANA-AS-SC'!$G525:K1212,5,FALSE)</f>
        <v>32.06</v>
      </c>
      <c r="F1529" s="257">
        <v>35.5</v>
      </c>
      <c r="G1529" s="252">
        <v>23.62</v>
      </c>
      <c r="H1529" s="252">
        <v>60</v>
      </c>
      <c r="I1529" s="252">
        <v>37.94</v>
      </c>
      <c r="J1529" s="257">
        <f>(105/(25/4.19))</f>
        <v>17.598000000000003</v>
      </c>
      <c r="L1529" s="63"/>
      <c r="M1529" s="63"/>
    </row>
    <row r="1530" spans="1:13">
      <c r="A1530" s="114">
        <v>41050</v>
      </c>
      <c r="B1530" s="264">
        <f>+VLOOKUP(A1530,'[2]X-SEMANA-AS-SC'!G$341:K1213,2,FALSE)</f>
        <v>35.93</v>
      </c>
      <c r="C1530" s="264">
        <f>+VLOOKUP(A1530,'[2]X-SEMANA-AS-SC'!$G526:K1213,3,FALSE)</f>
        <v>35.97</v>
      </c>
      <c r="D1530" s="264">
        <f>+VLOOKUP(A1530,'[2]X-SEMANA-AS-SC'!$G526:K1213,4,FALSE)</f>
        <v>34.78</v>
      </c>
      <c r="E1530" s="264">
        <f>+VLOOKUP(A1530,'[2]X-SEMANA-AS-SC'!$G526:K1213,5,FALSE)</f>
        <v>31.25</v>
      </c>
      <c r="F1530" s="257">
        <v>35</v>
      </c>
      <c r="G1530" s="252">
        <v>23.37</v>
      </c>
      <c r="H1530" s="252">
        <v>60</v>
      </c>
      <c r="I1530" s="252">
        <v>37.94</v>
      </c>
      <c r="J1530" s="257">
        <f>(105/(25/4.19))</f>
        <v>17.598000000000003</v>
      </c>
      <c r="L1530" s="63"/>
      <c r="M1530" s="63"/>
    </row>
    <row r="1531" spans="1:13">
      <c r="A1531" s="114">
        <v>41057</v>
      </c>
      <c r="B1531" s="264">
        <f>+VLOOKUP(A1531,'[2]X-SEMANA-AS-SC'!G$341:K1214,2,FALSE)</f>
        <v>35.75</v>
      </c>
      <c r="C1531" s="264">
        <f>+VLOOKUP(A1531,'[2]X-SEMANA-AS-SC'!$G527:K1214,3,FALSE)</f>
        <v>34.97</v>
      </c>
      <c r="D1531" s="264">
        <f>+VLOOKUP(A1531,'[2]X-SEMANA-AS-SC'!$G527:K1214,4,FALSE)</f>
        <v>34.35</v>
      </c>
      <c r="E1531" s="264">
        <f>+VLOOKUP(A1531,'[2]X-SEMANA-AS-SC'!$G527:K1214,5,FALSE)</f>
        <v>30.59</v>
      </c>
      <c r="F1531" s="257">
        <v>35</v>
      </c>
      <c r="G1531" s="252">
        <v>23.21</v>
      </c>
      <c r="H1531" s="252">
        <v>60</v>
      </c>
      <c r="I1531" s="252">
        <v>29.74</v>
      </c>
      <c r="J1531" s="257">
        <f>(105/(25/4.19))</f>
        <v>17.598000000000003</v>
      </c>
      <c r="L1531" s="63"/>
      <c r="M1531" s="63"/>
    </row>
    <row r="1532" spans="1:13">
      <c r="A1532" s="262" t="s">
        <v>67</v>
      </c>
      <c r="B1532" s="263">
        <f t="shared" ref="B1532:J1532" si="147">AVERAGE(B1528:B1531)</f>
        <v>36.5</v>
      </c>
      <c r="C1532" s="263">
        <f t="shared" si="147"/>
        <v>36</v>
      </c>
      <c r="D1532" s="263">
        <f t="shared" si="147"/>
        <v>35.2575</v>
      </c>
      <c r="E1532" s="263">
        <f t="shared" si="147"/>
        <v>31.660000000000004</v>
      </c>
      <c r="F1532" s="263">
        <f t="shared" si="147"/>
        <v>35.25</v>
      </c>
      <c r="G1532" s="263">
        <f t="shared" si="147"/>
        <v>23.577500000000001</v>
      </c>
      <c r="H1532" s="263">
        <v>60</v>
      </c>
      <c r="I1532" s="263">
        <f t="shared" si="147"/>
        <v>35.89</v>
      </c>
      <c r="J1532" s="263">
        <f t="shared" si="147"/>
        <v>17.598000000000003</v>
      </c>
      <c r="L1532" s="63"/>
      <c r="M1532" s="63"/>
    </row>
    <row r="1533" spans="1:13">
      <c r="L1533" s="63"/>
      <c r="M1533" s="63"/>
    </row>
    <row r="1534" spans="1:13">
      <c r="A1534" s="1671" t="s">
        <v>1</v>
      </c>
      <c r="B1534" s="259" t="s">
        <v>139</v>
      </c>
      <c r="C1534" s="259" t="s">
        <v>140</v>
      </c>
      <c r="D1534" s="259" t="s">
        <v>5</v>
      </c>
      <c r="E1534" s="259" t="s">
        <v>6</v>
      </c>
      <c r="F1534" s="260" t="s">
        <v>57</v>
      </c>
      <c r="G1534" s="261" t="s">
        <v>154</v>
      </c>
      <c r="H1534" s="260" t="s">
        <v>149</v>
      </c>
      <c r="I1534" s="261" t="s">
        <v>155</v>
      </c>
      <c r="J1534" s="260" t="s">
        <v>61</v>
      </c>
      <c r="L1534" s="63"/>
      <c r="M1534" s="63"/>
    </row>
    <row r="1535" spans="1:13">
      <c r="A1535" s="1671"/>
      <c r="B1535" s="261" t="s">
        <v>146</v>
      </c>
      <c r="C1535" s="261" t="s">
        <v>146</v>
      </c>
      <c r="D1535" s="261" t="s">
        <v>146</v>
      </c>
      <c r="E1535" s="261" t="s">
        <v>146</v>
      </c>
      <c r="F1535" s="261" t="s">
        <v>146</v>
      </c>
      <c r="G1535" s="261" t="s">
        <v>146</v>
      </c>
      <c r="H1535" s="261" t="s">
        <v>146</v>
      </c>
      <c r="I1535" s="261" t="s">
        <v>146</v>
      </c>
      <c r="J1535" s="261" t="s">
        <v>146</v>
      </c>
      <c r="L1535" s="63"/>
      <c r="M1535" s="63"/>
    </row>
    <row r="1536" spans="1:13">
      <c r="A1536" s="114">
        <v>41064</v>
      </c>
      <c r="B1536" s="264">
        <f>+VLOOKUP(A1536,'[2]X-SEMANA-AS-SC'!G$341:K1219,2,FALSE)</f>
        <v>34.880000000000003</v>
      </c>
      <c r="C1536" s="264">
        <f>+VLOOKUP(A1536,'[2]X-SEMANA-AS-SC'!$G532:K1219,3,FALSE)</f>
        <v>34.08</v>
      </c>
      <c r="D1536" s="264">
        <f>+VLOOKUP(A1536,'[2]X-SEMANA-AS-SC'!$G532:K1219,4,FALSE)</f>
        <v>33.42</v>
      </c>
      <c r="E1536" s="264">
        <f>+VLOOKUP(A1536,'[2]X-SEMANA-AS-SC'!$G532:K1219,5,FALSE)</f>
        <v>29.67</v>
      </c>
      <c r="F1536" s="257">
        <v>35</v>
      </c>
      <c r="G1536" s="252">
        <v>22.75</v>
      </c>
      <c r="H1536" s="252">
        <v>60.2</v>
      </c>
      <c r="I1536" s="252">
        <f>+(35.95+30.1)/2</f>
        <v>33.025000000000006</v>
      </c>
      <c r="J1536" s="257">
        <f>(105/(25/4.19))</f>
        <v>17.598000000000003</v>
      </c>
      <c r="L1536" s="63"/>
      <c r="M1536" s="63"/>
    </row>
    <row r="1537" spans="1:13">
      <c r="A1537" s="114">
        <v>41071</v>
      </c>
      <c r="B1537" s="264">
        <f>+VLOOKUP(A1537,'[2]X-SEMANA-AS-SC'!G$341:K1220,2,FALSE)</f>
        <v>34</v>
      </c>
      <c r="C1537" s="264">
        <f>+VLOOKUP(A1537,'[2]X-SEMANA-AS-SC'!$G533:K1220,3,FALSE)</f>
        <v>33.340000000000003</v>
      </c>
      <c r="D1537" s="264">
        <f>+VLOOKUP(A1537,'[2]X-SEMANA-AS-SC'!$G533:K1220,4,FALSE)</f>
        <v>32.700000000000003</v>
      </c>
      <c r="E1537" s="264">
        <f>+VLOOKUP(A1537,'[2]X-SEMANA-AS-SC'!$G533:K1220,5,FALSE)</f>
        <v>28.71</v>
      </c>
      <c r="F1537" s="257">
        <v>35</v>
      </c>
      <c r="G1537" s="252">
        <v>21.74</v>
      </c>
      <c r="H1537" s="252">
        <v>60.2</v>
      </c>
      <c r="I1537" s="252">
        <f>+(35.95+29.18)/2</f>
        <v>32.564999999999998</v>
      </c>
      <c r="J1537" s="257">
        <f>(105/(25/4.19))</f>
        <v>17.598000000000003</v>
      </c>
      <c r="L1537" s="63"/>
      <c r="M1537" s="63"/>
    </row>
    <row r="1538" spans="1:13">
      <c r="A1538" s="114">
        <v>41078</v>
      </c>
      <c r="B1538" s="264">
        <f>+VLOOKUP(A1538,'[2]X-SEMANA-AS-SC'!G$341:K1221,2,FALSE)</f>
        <v>34.479999999999997</v>
      </c>
      <c r="C1538" s="264">
        <f>+VLOOKUP(A1538,'[2]X-SEMANA-AS-SC'!$G534:K1221,3,FALSE)</f>
        <v>33.450000000000003</v>
      </c>
      <c r="D1538" s="264">
        <f>+VLOOKUP(A1538,'[2]X-SEMANA-AS-SC'!$G534:K1221,4,FALSE)</f>
        <v>32.76</v>
      </c>
      <c r="E1538" s="264">
        <f>+VLOOKUP(A1538,'[2]X-SEMANA-AS-SC'!$G534:K1221,5,FALSE)</f>
        <v>29.11</v>
      </c>
      <c r="F1538" s="257">
        <v>35</v>
      </c>
      <c r="G1538" s="252">
        <v>21.46</v>
      </c>
      <c r="H1538" s="252">
        <v>60.2</v>
      </c>
      <c r="I1538" s="252">
        <f>+(35.95+32.07)/2</f>
        <v>34.010000000000005</v>
      </c>
      <c r="J1538" s="257">
        <f>(105/(25/4.19))</f>
        <v>17.598000000000003</v>
      </c>
      <c r="L1538" s="63"/>
      <c r="M1538" s="63"/>
    </row>
    <row r="1539" spans="1:13">
      <c r="A1539" s="114">
        <v>41085</v>
      </c>
      <c r="B1539" s="264">
        <f>+VLOOKUP(A1539,'[2]X-SEMANA-AS-SC'!G$341:K1222,2,FALSE)</f>
        <v>34.68</v>
      </c>
      <c r="C1539" s="264">
        <f>+VLOOKUP(A1539,'[2]X-SEMANA-AS-SC'!$G535:K1222,3,FALSE)</f>
        <v>33.99</v>
      </c>
      <c r="D1539" s="264">
        <f>+VLOOKUP(A1539,'[2]X-SEMANA-AS-SC'!$G535:K1222,4,FALSE)</f>
        <v>33.33</v>
      </c>
      <c r="E1539" s="264">
        <f>+VLOOKUP(A1539,'[2]X-SEMANA-AS-SC'!$G535:K1222,5,FALSE)</f>
        <v>29.32</v>
      </c>
      <c r="F1539" s="257">
        <v>35</v>
      </c>
      <c r="G1539" s="252">
        <v>21.89</v>
      </c>
      <c r="H1539" s="252">
        <v>60.2</v>
      </c>
      <c r="I1539" s="252">
        <f>+(33.45+29.54)/2</f>
        <v>31.495000000000001</v>
      </c>
      <c r="J1539" s="257">
        <f>(105/(25/4.19))</f>
        <v>17.598000000000003</v>
      </c>
      <c r="L1539" s="63"/>
      <c r="M1539" s="63"/>
    </row>
    <row r="1540" spans="1:13">
      <c r="A1540" s="262" t="s">
        <v>157</v>
      </c>
      <c r="B1540" s="263">
        <f t="shared" ref="B1540:J1540" si="148">AVERAGE(B1536:B1539)</f>
        <v>34.51</v>
      </c>
      <c r="C1540" s="263">
        <f t="shared" si="148"/>
        <v>33.715000000000003</v>
      </c>
      <c r="D1540" s="263">
        <f t="shared" si="148"/>
        <v>33.052499999999995</v>
      </c>
      <c r="E1540" s="263">
        <f t="shared" si="148"/>
        <v>29.202500000000001</v>
      </c>
      <c r="F1540" s="263">
        <f t="shared" si="148"/>
        <v>35</v>
      </c>
      <c r="G1540" s="263">
        <f t="shared" si="148"/>
        <v>21.959999999999997</v>
      </c>
      <c r="H1540" s="263">
        <v>60.2</v>
      </c>
      <c r="I1540" s="263">
        <f t="shared" si="148"/>
        <v>32.77375</v>
      </c>
      <c r="J1540" s="263">
        <f t="shared" si="148"/>
        <v>17.598000000000003</v>
      </c>
      <c r="L1540" s="63"/>
      <c r="M1540" s="63"/>
    </row>
    <row r="1541" spans="1:13">
      <c r="B1541" t="s">
        <v>148</v>
      </c>
      <c r="L1541" s="63"/>
      <c r="M1541" s="63"/>
    </row>
    <row r="1542" spans="1:13">
      <c r="A1542" s="1671" t="s">
        <v>1</v>
      </c>
      <c r="B1542" s="259" t="s">
        <v>139</v>
      </c>
      <c r="C1542" s="259" t="s">
        <v>140</v>
      </c>
      <c r="D1542" s="259" t="s">
        <v>5</v>
      </c>
      <c r="E1542" s="259" t="s">
        <v>6</v>
      </c>
      <c r="F1542" s="260" t="s">
        <v>57</v>
      </c>
      <c r="G1542" s="261" t="s">
        <v>154</v>
      </c>
      <c r="H1542" s="260" t="s">
        <v>149</v>
      </c>
      <c r="I1542" s="261" t="s">
        <v>155</v>
      </c>
      <c r="J1542" s="260" t="s">
        <v>61</v>
      </c>
      <c r="L1542" s="63"/>
      <c r="M1542" s="63"/>
    </row>
    <row r="1543" spans="1:13" ht="13.5" thickBot="1">
      <c r="A1543" s="1671"/>
      <c r="B1543" s="261" t="s">
        <v>146</v>
      </c>
      <c r="C1543" s="261" t="s">
        <v>146</v>
      </c>
      <c r="D1543" s="261" t="s">
        <v>146</v>
      </c>
      <c r="E1543" s="261" t="s">
        <v>146</v>
      </c>
      <c r="F1543" s="261" t="s">
        <v>146</v>
      </c>
      <c r="G1543" s="261" t="s">
        <v>146</v>
      </c>
      <c r="H1543" s="261" t="s">
        <v>146</v>
      </c>
      <c r="I1543" s="261" t="s">
        <v>146</v>
      </c>
      <c r="J1543" s="261" t="s">
        <v>146</v>
      </c>
    </row>
    <row r="1544" spans="1:13">
      <c r="A1544" s="295">
        <v>41093</v>
      </c>
      <c r="B1544" s="264">
        <f>+'Gasolinas 2012'!B78</f>
        <v>35.78</v>
      </c>
      <c r="C1544" s="264">
        <f>+'Gasolinas 2012'!C78</f>
        <v>34.700000000000003</v>
      </c>
      <c r="D1544" s="264">
        <f>+'Gasolinas 2012'!D78</f>
        <v>34.01</v>
      </c>
      <c r="E1544" s="264">
        <f>+'Gasolinas 2012'!E78</f>
        <v>29.8</v>
      </c>
      <c r="F1544" s="257">
        <v>35</v>
      </c>
      <c r="G1544" s="252">
        <v>22.04</v>
      </c>
      <c r="H1544" s="252">
        <v>54.55</v>
      </c>
      <c r="I1544" s="252">
        <v>30.7</v>
      </c>
      <c r="J1544" s="257">
        <f>(95.666/(25/4.19))</f>
        <v>16.033621600000004</v>
      </c>
    </row>
    <row r="1545" spans="1:13">
      <c r="A1545" s="296">
        <v>41099</v>
      </c>
      <c r="B1545" s="264">
        <f>+'Gasolinas 2012'!B79</f>
        <v>35.61</v>
      </c>
      <c r="C1545" s="264">
        <f>+'Gasolinas 2012'!C79</f>
        <v>34.700000000000003</v>
      </c>
      <c r="D1545" s="264">
        <f>+'Gasolinas 2012'!D79</f>
        <v>34.01</v>
      </c>
      <c r="E1545" s="264">
        <f>+'Gasolinas 2012'!E79</f>
        <v>29.8</v>
      </c>
      <c r="F1545" s="257">
        <v>35</v>
      </c>
      <c r="G1545" s="252">
        <v>21.95</v>
      </c>
      <c r="H1545" s="252">
        <v>54.55</v>
      </c>
      <c r="I1545" s="252">
        <v>29.77</v>
      </c>
      <c r="J1545" s="257">
        <f>(95.666/(25/4.19))</f>
        <v>16.033621600000004</v>
      </c>
    </row>
    <row r="1546" spans="1:13">
      <c r="A1546" s="296">
        <v>41106</v>
      </c>
      <c r="B1546" s="264">
        <f>+'Gasolinas 2012'!B80</f>
        <v>35.31</v>
      </c>
      <c r="C1546" s="264">
        <f>+'Gasolinas 2012'!C80</f>
        <v>34.61</v>
      </c>
      <c r="D1546" s="264">
        <f>+'Gasolinas 2012'!D80</f>
        <v>33.909999999999997</v>
      </c>
      <c r="E1546" s="264">
        <f>+'Gasolinas 2012'!E80</f>
        <v>29.38</v>
      </c>
      <c r="F1546" s="257">
        <v>35</v>
      </c>
      <c r="G1546" s="252">
        <v>21.52</v>
      </c>
      <c r="H1546" s="252">
        <v>54.55</v>
      </c>
      <c r="I1546" s="252">
        <v>30.73</v>
      </c>
      <c r="J1546" s="257">
        <f>(95.666/(25/4.19))</f>
        <v>16.033621600000004</v>
      </c>
      <c r="M1546">
        <v>94</v>
      </c>
    </row>
    <row r="1547" spans="1:13">
      <c r="A1547" s="296">
        <v>41113</v>
      </c>
      <c r="B1547" s="264">
        <f>+'Gasolinas 2012'!B81</f>
        <v>35.85</v>
      </c>
      <c r="C1547" s="264">
        <f>+'Gasolinas 2012'!C81</f>
        <v>34.94</v>
      </c>
      <c r="D1547" s="264">
        <f>+'Gasolinas 2012'!D81</f>
        <v>34.22</v>
      </c>
      <c r="E1547" s="264">
        <f>+'Gasolinas 2012'!E81</f>
        <v>30.03</v>
      </c>
      <c r="F1547" s="257">
        <v>35</v>
      </c>
      <c r="G1547" s="252">
        <v>21.72</v>
      </c>
      <c r="H1547" s="252">
        <v>54.55</v>
      </c>
      <c r="I1547" s="252">
        <v>30.96</v>
      </c>
      <c r="J1547" s="257">
        <f>(95.666/(25/4.19))</f>
        <v>16.033621600000004</v>
      </c>
      <c r="M1547">
        <v>99</v>
      </c>
    </row>
    <row r="1548" spans="1:13" ht="13.5" thickBot="1">
      <c r="A1548" s="297">
        <v>41120</v>
      </c>
      <c r="B1548" s="264">
        <f>+'Gasolinas 2012'!B82</f>
        <v>35.32</v>
      </c>
      <c r="C1548" s="264">
        <f>+'Gasolinas 2012'!C82</f>
        <v>34.619999999999997</v>
      </c>
      <c r="D1548" s="264">
        <f>+'Gasolinas 2012'!D82</f>
        <v>33.86</v>
      </c>
      <c r="E1548" s="264">
        <f>+'Gasolinas 2012'!E82</f>
        <v>30.02</v>
      </c>
      <c r="F1548" s="257">
        <v>35</v>
      </c>
      <c r="G1548" s="252">
        <v>21.33</v>
      </c>
      <c r="H1548" s="252">
        <v>54.55</v>
      </c>
      <c r="I1548" s="252">
        <v>29.15</v>
      </c>
      <c r="J1548" s="257">
        <f>(95.666/(25/4.19))</f>
        <v>16.033621600000004</v>
      </c>
      <c r="M1548">
        <v>94</v>
      </c>
    </row>
    <row r="1549" spans="1:13">
      <c r="A1549" s="262" t="s">
        <v>158</v>
      </c>
      <c r="B1549" s="263">
        <f t="shared" ref="B1549:J1549" si="149">AVERAGE(B1544:B1548)</f>
        <v>35.573999999999998</v>
      </c>
      <c r="C1549" s="263">
        <f t="shared" si="149"/>
        <v>34.713999999999999</v>
      </c>
      <c r="D1549" s="263">
        <f t="shared" si="149"/>
        <v>34.001999999999995</v>
      </c>
      <c r="E1549" s="263">
        <f t="shared" si="149"/>
        <v>29.806000000000001</v>
      </c>
      <c r="F1549" s="263">
        <f t="shared" si="149"/>
        <v>35</v>
      </c>
      <c r="G1549" s="263">
        <f t="shared" si="149"/>
        <v>21.711999999999996</v>
      </c>
      <c r="H1549" s="263">
        <v>54.55</v>
      </c>
      <c r="I1549" s="263">
        <f t="shared" si="149"/>
        <v>30.262</v>
      </c>
      <c r="J1549" s="263">
        <f t="shared" si="149"/>
        <v>16.033621600000004</v>
      </c>
      <c r="M1549" s="190">
        <f>AVERAGE(M1546:M1548)</f>
        <v>95.666666666666671</v>
      </c>
    </row>
    <row r="1551" spans="1:13">
      <c r="A1551" s="1671" t="s">
        <v>1</v>
      </c>
      <c r="B1551" s="259" t="s">
        <v>139</v>
      </c>
      <c r="C1551" s="259" t="s">
        <v>140</v>
      </c>
      <c r="D1551" s="259" t="s">
        <v>5</v>
      </c>
      <c r="E1551" s="259" t="s">
        <v>6</v>
      </c>
      <c r="F1551" s="260" t="s">
        <v>57</v>
      </c>
      <c r="G1551" s="261" t="s">
        <v>154</v>
      </c>
      <c r="H1551" s="260" t="s">
        <v>149</v>
      </c>
      <c r="I1551" s="261" t="s">
        <v>155</v>
      </c>
      <c r="J1551" s="260" t="s">
        <v>61</v>
      </c>
    </row>
    <row r="1552" spans="1:13" ht="13.5" thickBot="1">
      <c r="A1552" s="1671"/>
      <c r="B1552" s="261" t="s">
        <v>146</v>
      </c>
      <c r="C1552" s="261" t="s">
        <v>146</v>
      </c>
      <c r="D1552" s="261" t="s">
        <v>146</v>
      </c>
      <c r="E1552" s="261" t="s">
        <v>146</v>
      </c>
      <c r="F1552" s="261" t="s">
        <v>146</v>
      </c>
      <c r="G1552" s="261" t="s">
        <v>146</v>
      </c>
      <c r="H1552" s="261" t="s">
        <v>146</v>
      </c>
      <c r="I1552" s="261" t="s">
        <v>146</v>
      </c>
      <c r="J1552" s="261" t="s">
        <v>146</v>
      </c>
    </row>
    <row r="1553" spans="1:13">
      <c r="A1553" s="295">
        <v>41127</v>
      </c>
      <c r="B1553" s="319">
        <v>34.89</v>
      </c>
      <c r="C1553" s="319">
        <v>34.340000000000003</v>
      </c>
      <c r="D1553" s="319">
        <v>33.57</v>
      </c>
      <c r="E1553" s="319">
        <v>29.88</v>
      </c>
      <c r="F1553" s="319">
        <v>35</v>
      </c>
      <c r="G1553" s="319">
        <v>21.97</v>
      </c>
      <c r="H1553" s="319">
        <v>54.62</v>
      </c>
      <c r="I1553" s="547">
        <v>28.5</v>
      </c>
      <c r="J1553" s="257">
        <v>15.75</v>
      </c>
    </row>
    <row r="1554" spans="1:13">
      <c r="A1554" s="296">
        <v>41134</v>
      </c>
      <c r="B1554" s="319">
        <v>35.17</v>
      </c>
      <c r="C1554" s="319">
        <v>34.69</v>
      </c>
      <c r="D1554" s="319">
        <v>33.9</v>
      </c>
      <c r="E1554" s="319">
        <v>30.44</v>
      </c>
      <c r="F1554" s="318">
        <v>34.5</v>
      </c>
      <c r="G1554" s="319">
        <v>22.36</v>
      </c>
      <c r="H1554" s="319">
        <v>54.62</v>
      </c>
      <c r="I1554" s="252">
        <v>30.34</v>
      </c>
      <c r="J1554" s="257">
        <v>15.75</v>
      </c>
    </row>
    <row r="1555" spans="1:13">
      <c r="A1555" s="296">
        <v>41141</v>
      </c>
      <c r="B1555" s="319">
        <v>35.47</v>
      </c>
      <c r="C1555" s="319">
        <v>35.01</v>
      </c>
      <c r="D1555" s="319">
        <v>34.22</v>
      </c>
      <c r="E1555" s="319">
        <v>31.03</v>
      </c>
      <c r="F1555" s="318">
        <v>34.5</v>
      </c>
      <c r="G1555" s="319">
        <v>22.55</v>
      </c>
      <c r="H1555" s="319">
        <v>54.62</v>
      </c>
      <c r="I1555" s="252">
        <v>29.75</v>
      </c>
      <c r="J1555" s="257">
        <v>15.75</v>
      </c>
      <c r="M1555" s="190">
        <v>21.329725</v>
      </c>
    </row>
    <row r="1556" spans="1:13">
      <c r="A1556" s="296">
        <v>41148</v>
      </c>
      <c r="B1556" s="319">
        <v>36.33</v>
      </c>
      <c r="C1556" s="319">
        <v>35.659999999999997</v>
      </c>
      <c r="D1556" s="319">
        <v>34.83</v>
      </c>
      <c r="E1556" s="319">
        <v>32.18</v>
      </c>
      <c r="F1556" s="318">
        <v>34.5</v>
      </c>
      <c r="G1556" s="319">
        <v>23.15</v>
      </c>
      <c r="H1556" s="319">
        <v>54.62</v>
      </c>
      <c r="I1556" s="252">
        <v>32.5</v>
      </c>
      <c r="J1556" s="257">
        <v>15.75</v>
      </c>
    </row>
    <row r="1557" spans="1:13">
      <c r="A1557" s="262" t="s">
        <v>159</v>
      </c>
      <c r="B1557" s="263">
        <f t="shared" ref="B1557:J1557" si="150">AVERAGE(B1553:B1556)</f>
        <v>35.465000000000003</v>
      </c>
      <c r="C1557" s="263">
        <f t="shared" si="150"/>
        <v>34.924999999999997</v>
      </c>
      <c r="D1557" s="263">
        <f t="shared" si="150"/>
        <v>34.129999999999995</v>
      </c>
      <c r="E1557" s="263">
        <f t="shared" si="150"/>
        <v>30.8825</v>
      </c>
      <c r="F1557" s="263">
        <f t="shared" si="150"/>
        <v>34.625</v>
      </c>
      <c r="G1557" s="263">
        <f t="shared" si="150"/>
        <v>22.5075</v>
      </c>
      <c r="H1557" s="263">
        <f t="shared" si="150"/>
        <v>54.62</v>
      </c>
      <c r="I1557" s="263">
        <f t="shared" si="150"/>
        <v>30.272500000000001</v>
      </c>
      <c r="J1557" s="263">
        <f t="shared" si="150"/>
        <v>15.75</v>
      </c>
    </row>
    <row r="1559" spans="1:13">
      <c r="A1559" s="1671" t="s">
        <v>1</v>
      </c>
      <c r="B1559" s="259" t="s">
        <v>139</v>
      </c>
      <c r="C1559" s="259" t="s">
        <v>140</v>
      </c>
      <c r="D1559" s="259" t="s">
        <v>5</v>
      </c>
      <c r="E1559" s="259" t="s">
        <v>6</v>
      </c>
      <c r="F1559" s="260" t="s">
        <v>57</v>
      </c>
      <c r="G1559" s="261" t="s">
        <v>154</v>
      </c>
      <c r="H1559" s="260" t="s">
        <v>149</v>
      </c>
      <c r="I1559" s="261" t="s">
        <v>155</v>
      </c>
      <c r="J1559" s="260" t="s">
        <v>61</v>
      </c>
    </row>
    <row r="1560" spans="1:13" ht="13.5" thickBot="1">
      <c r="A1560" s="1671"/>
      <c r="B1560" s="261" t="s">
        <v>146</v>
      </c>
      <c r="C1560" s="261" t="s">
        <v>146</v>
      </c>
      <c r="D1560" s="261" t="s">
        <v>146</v>
      </c>
      <c r="E1560" s="261" t="s">
        <v>146</v>
      </c>
      <c r="F1560" s="261" t="s">
        <v>146</v>
      </c>
      <c r="G1560" s="261" t="s">
        <v>146</v>
      </c>
      <c r="H1560" s="261" t="s">
        <v>146</v>
      </c>
      <c r="I1560" s="261" t="s">
        <v>146</v>
      </c>
      <c r="J1560" s="261" t="s">
        <v>146</v>
      </c>
    </row>
    <row r="1561" spans="1:13">
      <c r="A1561" s="316">
        <v>41158</v>
      </c>
      <c r="B1561" s="318">
        <v>37.909999999999997</v>
      </c>
      <c r="C1561" s="318">
        <v>37.24</v>
      </c>
      <c r="D1561" s="318">
        <v>36.4</v>
      </c>
      <c r="E1561" s="318">
        <v>33.33</v>
      </c>
      <c r="F1561" s="319">
        <v>34.5</v>
      </c>
      <c r="G1561" s="319">
        <v>23.16</v>
      </c>
      <c r="H1561" s="547">
        <v>54.94</v>
      </c>
      <c r="I1561" s="547">
        <v>31.95</v>
      </c>
      <c r="J1561" s="257">
        <f>(86.33/5.966)</f>
        <v>14.470331880657056</v>
      </c>
      <c r="M1561" s="190">
        <v>21.914999999999999</v>
      </c>
    </row>
    <row r="1562" spans="1:13">
      <c r="A1562" s="317">
        <v>41162</v>
      </c>
      <c r="B1562" s="318">
        <v>37.93</v>
      </c>
      <c r="C1562" s="318">
        <v>37.24</v>
      </c>
      <c r="D1562" s="318">
        <v>36.4</v>
      </c>
      <c r="E1562" s="318">
        <v>33.33</v>
      </c>
      <c r="F1562" s="257">
        <v>34.5</v>
      </c>
      <c r="G1562" s="252">
        <v>23.65</v>
      </c>
      <c r="H1562" s="547">
        <v>54.94</v>
      </c>
      <c r="I1562" s="252">
        <v>32.1</v>
      </c>
      <c r="J1562" s="257">
        <f>(86.33/5.966)</f>
        <v>14.470331880657056</v>
      </c>
    </row>
    <row r="1563" spans="1:13">
      <c r="A1563" s="317">
        <v>41169</v>
      </c>
      <c r="B1563" s="318">
        <v>39.07</v>
      </c>
      <c r="C1563" s="318">
        <v>38.04</v>
      </c>
      <c r="D1563" s="318">
        <v>37.24</v>
      </c>
      <c r="E1563" s="318">
        <v>33.6</v>
      </c>
      <c r="F1563" s="257">
        <v>34.950000000000003</v>
      </c>
      <c r="G1563" s="252">
        <v>23.72</v>
      </c>
      <c r="H1563" s="547">
        <v>54.94</v>
      </c>
      <c r="I1563" s="252">
        <v>32.25</v>
      </c>
      <c r="J1563" s="257">
        <f>(80.9/5.966)</f>
        <v>13.560174321153202</v>
      </c>
    </row>
    <row r="1564" spans="1:13">
      <c r="A1564" s="317">
        <v>41176</v>
      </c>
      <c r="B1564" s="318">
        <v>38.85</v>
      </c>
      <c r="C1564" s="318">
        <v>38.14</v>
      </c>
      <c r="D1564" s="318">
        <v>37.33</v>
      </c>
      <c r="E1564" s="318">
        <v>33.76</v>
      </c>
      <c r="F1564" s="257">
        <v>34.950000000000003</v>
      </c>
      <c r="G1564" s="252">
        <v>24.15</v>
      </c>
      <c r="H1564" s="547">
        <v>54.94</v>
      </c>
      <c r="I1564" s="252">
        <v>32.9</v>
      </c>
      <c r="J1564" s="257">
        <f>(80.9/5.966)</f>
        <v>13.560174321153202</v>
      </c>
    </row>
    <row r="1565" spans="1:13">
      <c r="A1565" s="262" t="s">
        <v>166</v>
      </c>
      <c r="B1565" s="263">
        <f t="shared" ref="B1565:J1565" si="151">AVERAGE(B1561:B1564)</f>
        <v>38.44</v>
      </c>
      <c r="C1565" s="263">
        <f t="shared" si="151"/>
        <v>37.665000000000006</v>
      </c>
      <c r="D1565" s="263">
        <f t="shared" si="151"/>
        <v>36.842500000000001</v>
      </c>
      <c r="E1565" s="263">
        <f t="shared" si="151"/>
        <v>33.504999999999995</v>
      </c>
      <c r="F1565" s="263">
        <f t="shared" si="151"/>
        <v>34.725000000000001</v>
      </c>
      <c r="G1565" s="263">
        <f t="shared" si="151"/>
        <v>23.67</v>
      </c>
      <c r="H1565" s="263">
        <f t="shared" si="151"/>
        <v>54.94</v>
      </c>
      <c r="I1565" s="263">
        <f t="shared" si="151"/>
        <v>32.299999999999997</v>
      </c>
      <c r="J1565" s="263">
        <f t="shared" si="151"/>
        <v>14.015253100905127</v>
      </c>
    </row>
    <row r="1567" spans="1:13">
      <c r="A1567" s="1671" t="s">
        <v>1</v>
      </c>
      <c r="B1567" s="259" t="s">
        <v>139</v>
      </c>
      <c r="C1567" s="259" t="s">
        <v>140</v>
      </c>
      <c r="D1567" s="259" t="s">
        <v>5</v>
      </c>
      <c r="E1567" s="259" t="s">
        <v>6</v>
      </c>
      <c r="F1567" s="260" t="s">
        <v>57</v>
      </c>
      <c r="G1567" s="261" t="s">
        <v>154</v>
      </c>
      <c r="H1567" s="260" t="s">
        <v>149</v>
      </c>
      <c r="I1567" s="261" t="s">
        <v>155</v>
      </c>
      <c r="J1567" s="260" t="s">
        <v>61</v>
      </c>
    </row>
    <row r="1568" spans="1:13" ht="13.5" thickBot="1">
      <c r="A1568" s="1671"/>
      <c r="B1568" s="261" t="s">
        <v>146</v>
      </c>
      <c r="C1568" s="261" t="s">
        <v>146</v>
      </c>
      <c r="D1568" s="261" t="s">
        <v>146</v>
      </c>
      <c r="E1568" s="261" t="s">
        <v>146</v>
      </c>
      <c r="F1568" s="261" t="s">
        <v>146</v>
      </c>
      <c r="G1568" s="261" t="s">
        <v>146</v>
      </c>
      <c r="H1568" s="261" t="s">
        <v>146</v>
      </c>
      <c r="I1568" s="261" t="s">
        <v>146</v>
      </c>
      <c r="J1568" s="261" t="s">
        <v>146</v>
      </c>
    </row>
    <row r="1569" spans="1:13">
      <c r="A1569" s="316">
        <v>41183</v>
      </c>
      <c r="B1569" s="318">
        <f>+'Gasolinas 2012'!B94</f>
        <v>37.99</v>
      </c>
      <c r="C1569" s="318">
        <f>+'Gasolinas 2012'!C94</f>
        <v>37.46</v>
      </c>
      <c r="D1569" s="318">
        <f>+'Gasolinas 2012'!D94</f>
        <v>36.64</v>
      </c>
      <c r="E1569" s="318">
        <f>+'Gasolinas 2012'!E94</f>
        <v>33.19</v>
      </c>
      <c r="F1569" s="257">
        <v>34.950000000000003</v>
      </c>
      <c r="G1569" s="319">
        <v>18.95</v>
      </c>
      <c r="H1569" s="547">
        <v>54.94</v>
      </c>
      <c r="I1569" s="547">
        <v>32.799999999999997</v>
      </c>
      <c r="J1569" s="257">
        <f>(63.5/5.966)</f>
        <v>10.643647334897754</v>
      </c>
    </row>
    <row r="1570" spans="1:13">
      <c r="A1570" s="317">
        <v>41190</v>
      </c>
      <c r="B1570" s="318">
        <f>+'Gasolinas 2012'!B95</f>
        <v>37.520000000000003</v>
      </c>
      <c r="C1570" s="318">
        <f>+'Gasolinas 2012'!C95</f>
        <v>36.94</v>
      </c>
      <c r="D1570" s="318">
        <f>+'Gasolinas 2012'!D95</f>
        <v>36.14</v>
      </c>
      <c r="E1570" s="318">
        <f>+'Gasolinas 2012'!E95</f>
        <v>32.75</v>
      </c>
      <c r="F1570" s="257">
        <v>34.950000000000003</v>
      </c>
      <c r="G1570" s="252">
        <v>23.65</v>
      </c>
      <c r="H1570" s="547">
        <v>54.94</v>
      </c>
      <c r="I1570" s="252">
        <v>32.9</v>
      </c>
      <c r="J1570" s="257">
        <f>(63.5/5.966)</f>
        <v>10.643647334897754</v>
      </c>
    </row>
    <row r="1571" spans="1:13">
      <c r="A1571" s="317">
        <v>41197</v>
      </c>
      <c r="B1571" s="318">
        <f>+'Gasolinas 2012'!B96</f>
        <v>38.020000000000003</v>
      </c>
      <c r="C1571" s="318">
        <f>+'Gasolinas 2012'!C96</f>
        <v>37.14</v>
      </c>
      <c r="D1571" s="318">
        <f>+'Gasolinas 2012'!D96</f>
        <v>36.32</v>
      </c>
      <c r="E1571" s="318">
        <f>+'Gasolinas 2012'!E96</f>
        <v>33.4</v>
      </c>
      <c r="F1571" s="257">
        <v>34.950000000000003</v>
      </c>
      <c r="G1571" s="252">
        <v>23.72</v>
      </c>
      <c r="H1571" s="547">
        <v>54.94</v>
      </c>
      <c r="I1571" s="252">
        <v>32.799999999999997</v>
      </c>
      <c r="J1571" s="257">
        <f>(63.5/5.966)</f>
        <v>10.643647334897754</v>
      </c>
    </row>
    <row r="1572" spans="1:13">
      <c r="A1572" s="317">
        <v>41204</v>
      </c>
      <c r="B1572" s="318">
        <f>+'Gasolinas 2012'!B97</f>
        <v>37</v>
      </c>
      <c r="C1572" s="318">
        <f>+'Gasolinas 2012'!C97</f>
        <v>36.549999999999997</v>
      </c>
      <c r="D1572" s="318">
        <f>+'Gasolinas 2012'!D97</f>
        <v>35.72</v>
      </c>
      <c r="E1572" s="318">
        <f>+'Gasolinas 2012'!E97</f>
        <v>33.29</v>
      </c>
      <c r="F1572" s="257">
        <v>34.950000000000003</v>
      </c>
      <c r="G1572" s="252">
        <v>23.21</v>
      </c>
      <c r="H1572" s="547">
        <v>54.94</v>
      </c>
      <c r="I1572" s="252">
        <v>32.799999999999997</v>
      </c>
      <c r="J1572" s="257">
        <f>(63.5/5.966)</f>
        <v>10.643647334897754</v>
      </c>
    </row>
    <row r="1573" spans="1:13">
      <c r="A1573" s="317">
        <v>41211</v>
      </c>
      <c r="B1573" s="318">
        <f>+'Gasolinas 2012'!B98</f>
        <v>35</v>
      </c>
      <c r="C1573" s="318">
        <f>+'Gasolinas 2012'!C98</f>
        <v>35.340000000000003</v>
      </c>
      <c r="D1573" s="318">
        <f>+'Gasolinas 2012'!D98</f>
        <v>34.53</v>
      </c>
      <c r="E1573" s="318">
        <f>+'Gasolinas 2012'!E98</f>
        <v>32.369999999999997</v>
      </c>
      <c r="F1573" s="257">
        <v>34.950000000000003</v>
      </c>
      <c r="G1573" s="252">
        <v>24.15</v>
      </c>
      <c r="H1573" s="547">
        <v>54.94</v>
      </c>
      <c r="I1573" s="252">
        <v>31.5</v>
      </c>
      <c r="J1573" s="257">
        <f>(63.5/5.966)</f>
        <v>10.643647334897754</v>
      </c>
    </row>
    <row r="1574" spans="1:13">
      <c r="A1574" s="262" t="s">
        <v>467</v>
      </c>
      <c r="B1574" s="263">
        <f t="shared" ref="B1574:J1574" si="152">AVERAGE(B1569:B1573)</f>
        <v>37.106000000000002</v>
      </c>
      <c r="C1574" s="263">
        <f t="shared" si="152"/>
        <v>36.686</v>
      </c>
      <c r="D1574" s="263">
        <f t="shared" si="152"/>
        <v>35.869999999999997</v>
      </c>
      <c r="E1574" s="263">
        <f t="shared" si="152"/>
        <v>33</v>
      </c>
      <c r="F1574" s="263">
        <f t="shared" si="152"/>
        <v>34.950000000000003</v>
      </c>
      <c r="G1574" s="263">
        <f t="shared" si="152"/>
        <v>22.736000000000001</v>
      </c>
      <c r="H1574" s="263">
        <f t="shared" si="152"/>
        <v>54.94</v>
      </c>
      <c r="I1574" s="263">
        <f t="shared" si="152"/>
        <v>32.559999999999995</v>
      </c>
      <c r="J1574" s="263">
        <f t="shared" si="152"/>
        <v>10.643647334897754</v>
      </c>
    </row>
    <row r="1576" spans="1:13">
      <c r="A1576" s="1671" t="s">
        <v>1</v>
      </c>
      <c r="B1576" s="259" t="s">
        <v>139</v>
      </c>
      <c r="C1576" s="259" t="s">
        <v>140</v>
      </c>
      <c r="D1576" s="259" t="s">
        <v>5</v>
      </c>
      <c r="E1576" s="259" t="s">
        <v>6</v>
      </c>
      <c r="F1576" s="260" t="s">
        <v>57</v>
      </c>
      <c r="G1576" s="261" t="s">
        <v>154</v>
      </c>
      <c r="H1576" s="260" t="s">
        <v>149</v>
      </c>
      <c r="I1576" s="261" t="s">
        <v>155</v>
      </c>
      <c r="J1576" s="260" t="s">
        <v>61</v>
      </c>
    </row>
    <row r="1577" spans="1:13" ht="13.5" thickBot="1">
      <c r="A1577" s="1671"/>
      <c r="B1577" s="261" t="s">
        <v>146</v>
      </c>
      <c r="C1577" s="261" t="s">
        <v>146</v>
      </c>
      <c r="D1577" s="261" t="s">
        <v>146</v>
      </c>
      <c r="E1577" s="261" t="s">
        <v>146</v>
      </c>
      <c r="F1577" s="261" t="s">
        <v>146</v>
      </c>
      <c r="G1577" s="261" t="s">
        <v>146</v>
      </c>
      <c r="H1577" s="261" t="s">
        <v>146</v>
      </c>
      <c r="I1577" s="261" t="s">
        <v>146</v>
      </c>
      <c r="J1577" s="261" t="s">
        <v>146</v>
      </c>
    </row>
    <row r="1578" spans="1:13">
      <c r="A1578" s="74">
        <v>41218</v>
      </c>
      <c r="B1578" s="318">
        <v>37.909999999999997</v>
      </c>
      <c r="C1578" s="318">
        <v>37.24</v>
      </c>
      <c r="D1578" s="318">
        <v>36.4</v>
      </c>
      <c r="E1578" s="318">
        <v>33.33</v>
      </c>
      <c r="F1578" s="319">
        <v>34.5</v>
      </c>
      <c r="G1578" s="319">
        <v>23.16</v>
      </c>
      <c r="H1578" s="547">
        <v>54.94</v>
      </c>
      <c r="I1578" s="547">
        <v>31.4</v>
      </c>
      <c r="J1578" s="257">
        <f>(63.5/5.966)</f>
        <v>10.643647334897754</v>
      </c>
    </row>
    <row r="1579" spans="1:13">
      <c r="A1579" s="10">
        <v>41225</v>
      </c>
      <c r="B1579" s="318">
        <v>37.93</v>
      </c>
      <c r="C1579" s="318">
        <v>37.24</v>
      </c>
      <c r="D1579" s="318">
        <v>36.4</v>
      </c>
      <c r="E1579" s="318">
        <v>33.33</v>
      </c>
      <c r="F1579" s="257">
        <v>34.5</v>
      </c>
      <c r="G1579" s="252">
        <v>23.65</v>
      </c>
      <c r="H1579" s="547">
        <v>54.94</v>
      </c>
      <c r="I1579" s="252">
        <v>31.4</v>
      </c>
      <c r="J1579" s="257">
        <f>(63.5/5.966)</f>
        <v>10.643647334897754</v>
      </c>
    </row>
    <row r="1580" spans="1:13">
      <c r="A1580" s="10">
        <v>41232</v>
      </c>
      <c r="B1580" s="318">
        <v>39.07</v>
      </c>
      <c r="C1580" s="318">
        <v>38.04</v>
      </c>
      <c r="D1580" s="318">
        <v>37.24</v>
      </c>
      <c r="E1580" s="318">
        <v>33.6</v>
      </c>
      <c r="F1580" s="257">
        <v>34.950000000000003</v>
      </c>
      <c r="G1580" s="252">
        <v>23.72</v>
      </c>
      <c r="H1580" s="547">
        <v>54.94</v>
      </c>
      <c r="I1580" s="252">
        <v>31.35</v>
      </c>
      <c r="J1580" s="257">
        <f>(63.5/5.966)</f>
        <v>10.643647334897754</v>
      </c>
    </row>
    <row r="1581" spans="1:13">
      <c r="A1581" s="10">
        <v>41239</v>
      </c>
      <c r="B1581" s="318">
        <v>38.85</v>
      </c>
      <c r="C1581" s="318">
        <v>38.14</v>
      </c>
      <c r="D1581" s="318">
        <v>37.33</v>
      </c>
      <c r="E1581" s="318">
        <v>33.76</v>
      </c>
      <c r="F1581" s="257">
        <v>34.950000000000003</v>
      </c>
      <c r="G1581" s="252">
        <v>24.15</v>
      </c>
      <c r="H1581" s="547">
        <v>54.94</v>
      </c>
      <c r="I1581" s="252">
        <v>31.45</v>
      </c>
      <c r="J1581" s="257">
        <f>(63.5/5.966)</f>
        <v>10.643647334897754</v>
      </c>
    </row>
    <row r="1582" spans="1:13">
      <c r="A1582" s="262" t="s">
        <v>468</v>
      </c>
      <c r="B1582" s="263">
        <f t="shared" ref="B1582:J1582" si="153">AVERAGE(B1578:B1581)</f>
        <v>38.44</v>
      </c>
      <c r="C1582" s="263">
        <f t="shared" si="153"/>
        <v>37.665000000000006</v>
      </c>
      <c r="D1582" s="263">
        <f t="shared" si="153"/>
        <v>36.842500000000001</v>
      </c>
      <c r="E1582" s="263">
        <f t="shared" si="153"/>
        <v>33.504999999999995</v>
      </c>
      <c r="F1582" s="263">
        <f t="shared" si="153"/>
        <v>34.725000000000001</v>
      </c>
      <c r="G1582" s="263">
        <f t="shared" si="153"/>
        <v>23.67</v>
      </c>
      <c r="H1582" s="263">
        <f t="shared" si="153"/>
        <v>54.94</v>
      </c>
      <c r="I1582" s="263">
        <f t="shared" si="153"/>
        <v>31.400000000000002</v>
      </c>
      <c r="J1582" s="263">
        <f t="shared" si="153"/>
        <v>10.643647334897754</v>
      </c>
    </row>
    <row r="1583" spans="1:13">
      <c r="L1583" s="558"/>
      <c r="M1583" s="558"/>
    </row>
    <row r="1584" spans="1:13">
      <c r="A1584" s="1671" t="s">
        <v>1</v>
      </c>
      <c r="B1584" s="259" t="s">
        <v>139</v>
      </c>
      <c r="C1584" s="259" t="s">
        <v>140</v>
      </c>
      <c r="D1584" s="259" t="s">
        <v>5</v>
      </c>
      <c r="E1584" s="259" t="s">
        <v>6</v>
      </c>
      <c r="F1584" s="260" t="s">
        <v>57</v>
      </c>
      <c r="G1584" s="261" t="s">
        <v>154</v>
      </c>
      <c r="H1584" s="260" t="s">
        <v>149</v>
      </c>
      <c r="I1584" s="261" t="s">
        <v>155</v>
      </c>
      <c r="J1584" s="260" t="s">
        <v>61</v>
      </c>
      <c r="L1584" s="558"/>
      <c r="M1584" s="555"/>
    </row>
    <row r="1585" spans="1:13" ht="13.5" thickBot="1">
      <c r="A1585" s="1671"/>
      <c r="B1585" s="261" t="s">
        <v>146</v>
      </c>
      <c r="C1585" s="261" t="s">
        <v>146</v>
      </c>
      <c r="D1585" s="261" t="s">
        <v>146</v>
      </c>
      <c r="E1585" s="261" t="s">
        <v>146</v>
      </c>
      <c r="F1585" s="261" t="s">
        <v>146</v>
      </c>
      <c r="G1585" s="261" t="s">
        <v>146</v>
      </c>
      <c r="H1585" s="261" t="s">
        <v>146</v>
      </c>
      <c r="I1585" s="261" t="s">
        <v>146</v>
      </c>
      <c r="J1585" s="261" t="s">
        <v>146</v>
      </c>
      <c r="L1585" s="558"/>
      <c r="M1585" s="555"/>
    </row>
    <row r="1586" spans="1:13">
      <c r="A1586" s="74">
        <v>41246</v>
      </c>
      <c r="B1586" s="318">
        <v>34.270000000000003</v>
      </c>
      <c r="C1586" s="318">
        <v>33.770000000000003</v>
      </c>
      <c r="D1586" s="318">
        <v>32.79</v>
      </c>
      <c r="E1586" s="318">
        <v>32.71</v>
      </c>
      <c r="F1586" s="257">
        <v>34.950000000000003</v>
      </c>
      <c r="G1586" s="319">
        <v>23.22</v>
      </c>
      <c r="H1586" s="547">
        <v>54.18</v>
      </c>
      <c r="I1586" s="252">
        <v>31.25</v>
      </c>
      <c r="J1586" s="257">
        <f>(90/5.966)</f>
        <v>15.085484411666107</v>
      </c>
      <c r="L1586" s="558"/>
      <c r="M1586" s="555"/>
    </row>
    <row r="1587" spans="1:13">
      <c r="A1587" s="10">
        <v>41253</v>
      </c>
      <c r="B1587" s="318">
        <v>34.22</v>
      </c>
      <c r="C1587" s="318">
        <v>33.659999999999997</v>
      </c>
      <c r="D1587" s="318">
        <v>32.68</v>
      </c>
      <c r="E1587" s="318">
        <v>32.58</v>
      </c>
      <c r="F1587" s="257">
        <v>34.950000000000003</v>
      </c>
      <c r="G1587" s="252">
        <v>23.1</v>
      </c>
      <c r="H1587" s="547">
        <v>54.18</v>
      </c>
      <c r="I1587" s="252">
        <v>31.25</v>
      </c>
      <c r="J1587" s="257">
        <f>(90/5.966)</f>
        <v>15.085484411666107</v>
      </c>
      <c r="L1587" s="558"/>
      <c r="M1587" s="555"/>
    </row>
    <row r="1588" spans="1:13">
      <c r="A1588" s="10">
        <v>41260</v>
      </c>
      <c r="B1588" s="318">
        <v>33.35</v>
      </c>
      <c r="C1588" s="318">
        <v>33</v>
      </c>
      <c r="D1588" s="318">
        <v>32.04</v>
      </c>
      <c r="E1588" s="318">
        <v>31.92</v>
      </c>
      <c r="F1588" s="257">
        <v>34.950000000000003</v>
      </c>
      <c r="G1588" s="252">
        <v>23.68</v>
      </c>
      <c r="H1588" s="547">
        <v>54.18</v>
      </c>
      <c r="I1588" s="252">
        <v>31.3</v>
      </c>
      <c r="J1588" s="257">
        <f>(90/5.966)</f>
        <v>15.085484411666107</v>
      </c>
      <c r="L1588" s="558"/>
      <c r="M1588" s="555"/>
    </row>
    <row r="1589" spans="1:13">
      <c r="A1589" s="10">
        <v>41269</v>
      </c>
      <c r="B1589" s="318">
        <v>32.979999999999997</v>
      </c>
      <c r="C1589" s="318">
        <v>32.4</v>
      </c>
      <c r="D1589" s="318">
        <v>31.49</v>
      </c>
      <c r="E1589" s="318">
        <v>31.46</v>
      </c>
      <c r="F1589" s="257">
        <v>34.950000000000003</v>
      </c>
      <c r="G1589" s="252">
        <v>23.08</v>
      </c>
      <c r="H1589" s="547">
        <v>54.18</v>
      </c>
      <c r="I1589" s="252">
        <v>31.3</v>
      </c>
      <c r="J1589" s="257">
        <f>(90/5.966)</f>
        <v>15.085484411666107</v>
      </c>
      <c r="L1589" s="558"/>
      <c r="M1589" s="555"/>
    </row>
    <row r="1590" spans="1:13">
      <c r="A1590" s="262" t="s">
        <v>469</v>
      </c>
      <c r="B1590" s="263">
        <f t="shared" ref="B1590:J1590" si="154">AVERAGE(B1586:B1589)</f>
        <v>33.704999999999998</v>
      </c>
      <c r="C1590" s="263">
        <f t="shared" si="154"/>
        <v>33.207500000000003</v>
      </c>
      <c r="D1590" s="263">
        <f t="shared" si="154"/>
        <v>32.25</v>
      </c>
      <c r="E1590" s="263">
        <f t="shared" si="154"/>
        <v>32.167499999999997</v>
      </c>
      <c r="F1590" s="263">
        <f t="shared" si="154"/>
        <v>34.950000000000003</v>
      </c>
      <c r="G1590" s="263">
        <f t="shared" si="154"/>
        <v>23.27</v>
      </c>
      <c r="H1590" s="263">
        <f t="shared" si="154"/>
        <v>54.18</v>
      </c>
      <c r="I1590" s="263">
        <f t="shared" si="154"/>
        <v>31.274999999999999</v>
      </c>
      <c r="J1590" s="263">
        <f t="shared" si="154"/>
        <v>15.085484411666107</v>
      </c>
      <c r="L1590" s="558"/>
      <c r="M1590" s="555"/>
    </row>
    <row r="1591" spans="1:13">
      <c r="L1591" s="558"/>
      <c r="M1591" s="555"/>
    </row>
    <row r="1592" spans="1:13">
      <c r="A1592" s="1671" t="s">
        <v>1</v>
      </c>
      <c r="B1592" s="259" t="s">
        <v>139</v>
      </c>
      <c r="C1592" s="259" t="s">
        <v>140</v>
      </c>
      <c r="D1592" s="259" t="s">
        <v>5</v>
      </c>
      <c r="E1592" s="259" t="s">
        <v>6</v>
      </c>
      <c r="F1592" s="260" t="s">
        <v>57</v>
      </c>
      <c r="G1592" s="261" t="s">
        <v>154</v>
      </c>
      <c r="H1592" s="260" t="s">
        <v>149</v>
      </c>
      <c r="I1592" s="261" t="s">
        <v>155</v>
      </c>
      <c r="J1592" s="260" t="s">
        <v>61</v>
      </c>
      <c r="L1592" s="558"/>
      <c r="M1592" s="555"/>
    </row>
    <row r="1593" spans="1:13" ht="13.5" thickBot="1">
      <c r="A1593" s="1671"/>
      <c r="B1593" s="261" t="s">
        <v>146</v>
      </c>
      <c r="C1593" s="261" t="s">
        <v>146</v>
      </c>
      <c r="D1593" s="261" t="s">
        <v>146</v>
      </c>
      <c r="E1593" s="261" t="s">
        <v>146</v>
      </c>
      <c r="F1593" s="261" t="s">
        <v>146</v>
      </c>
      <c r="G1593" s="261" t="s">
        <v>146</v>
      </c>
      <c r="H1593" s="261" t="s">
        <v>146</v>
      </c>
      <c r="I1593" s="261" t="s">
        <v>146</v>
      </c>
      <c r="J1593" s="261" t="s">
        <v>146</v>
      </c>
      <c r="L1593" s="558"/>
      <c r="M1593" s="555"/>
    </row>
    <row r="1594" spans="1:13">
      <c r="A1594" s="74">
        <v>41276</v>
      </c>
      <c r="B1594" s="318">
        <v>33.479999999999997</v>
      </c>
      <c r="C1594" s="318">
        <v>32.89</v>
      </c>
      <c r="D1594" s="318">
        <v>31.91</v>
      </c>
      <c r="E1594" s="318">
        <v>31.88</v>
      </c>
      <c r="F1594" s="257">
        <v>34.950000000000003</v>
      </c>
      <c r="G1594" s="319">
        <v>23.08</v>
      </c>
      <c r="H1594" s="547">
        <v>54.18</v>
      </c>
      <c r="I1594" s="547">
        <v>31.35</v>
      </c>
      <c r="J1594" s="257">
        <f>(90/5.966)</f>
        <v>15.085484411666107</v>
      </c>
      <c r="L1594" s="558"/>
      <c r="M1594" s="555"/>
    </row>
    <row r="1595" spans="1:13">
      <c r="A1595" s="10">
        <v>41281</v>
      </c>
      <c r="B1595" s="318">
        <v>32.950000000000003</v>
      </c>
      <c r="C1595" s="318">
        <v>32.6</v>
      </c>
      <c r="D1595" s="318">
        <v>31.6</v>
      </c>
      <c r="E1595" s="318">
        <v>31.59</v>
      </c>
      <c r="F1595" s="257">
        <v>34.950000000000003</v>
      </c>
      <c r="G1595" s="252">
        <v>23.1</v>
      </c>
      <c r="H1595" s="547">
        <v>54.18</v>
      </c>
      <c r="I1595" s="252">
        <v>29.95</v>
      </c>
      <c r="J1595" s="257">
        <f>(90/5.966)</f>
        <v>15.085484411666107</v>
      </c>
      <c r="L1595" s="558"/>
      <c r="M1595" s="555"/>
    </row>
    <row r="1596" spans="1:13">
      <c r="A1596" s="10">
        <v>41288</v>
      </c>
      <c r="B1596" s="318">
        <v>34.369999999999997</v>
      </c>
      <c r="C1596" s="318">
        <v>33.83</v>
      </c>
      <c r="D1596" s="318">
        <v>32.86</v>
      </c>
      <c r="E1596" s="318">
        <v>32.369999999999997</v>
      </c>
      <c r="F1596" s="257">
        <v>34.950000000000003</v>
      </c>
      <c r="G1596" s="252">
        <v>22.95</v>
      </c>
      <c r="H1596" s="547">
        <v>54.18</v>
      </c>
      <c r="I1596" s="252">
        <v>31</v>
      </c>
      <c r="J1596" s="257">
        <f>(90/5.966)</f>
        <v>15.085484411666107</v>
      </c>
      <c r="L1596" s="558"/>
      <c r="M1596" s="558"/>
    </row>
    <row r="1597" spans="1:13">
      <c r="A1597" s="10">
        <v>41295</v>
      </c>
      <c r="B1597" s="318">
        <v>33.53</v>
      </c>
      <c r="C1597" s="318">
        <v>33.049999999999997</v>
      </c>
      <c r="D1597" s="318">
        <v>32.07</v>
      </c>
      <c r="E1597" s="318">
        <v>31.44</v>
      </c>
      <c r="F1597" s="257">
        <v>35.950000000000003</v>
      </c>
      <c r="G1597" s="252">
        <v>22.98</v>
      </c>
      <c r="H1597" s="547">
        <v>54.18</v>
      </c>
      <c r="I1597" s="252">
        <v>29.95</v>
      </c>
      <c r="J1597" s="257">
        <v>15.09</v>
      </c>
    </row>
    <row r="1598" spans="1:13">
      <c r="A1598" s="10">
        <v>41302</v>
      </c>
      <c r="B1598" s="318">
        <v>33.72</v>
      </c>
      <c r="C1598" s="318">
        <v>33.25</v>
      </c>
      <c r="D1598" s="318">
        <v>32.270000000000003</v>
      </c>
      <c r="E1598" s="318">
        <v>31.36</v>
      </c>
      <c r="F1598" s="257">
        <v>35.950000000000003</v>
      </c>
      <c r="G1598" s="252">
        <v>22.67</v>
      </c>
      <c r="H1598" s="547">
        <v>54.18</v>
      </c>
      <c r="I1598" s="252">
        <v>29.9</v>
      </c>
      <c r="J1598" s="257">
        <f>(90/5.966)</f>
        <v>15.085484411666107</v>
      </c>
    </row>
    <row r="1599" spans="1:13">
      <c r="A1599" s="262" t="s">
        <v>474</v>
      </c>
      <c r="B1599" s="263">
        <f t="shared" ref="B1599:J1599" si="155">AVERAGE(B1594:B1598)</f>
        <v>33.61</v>
      </c>
      <c r="C1599" s="263">
        <f t="shared" si="155"/>
        <v>33.124000000000002</v>
      </c>
      <c r="D1599" s="263">
        <f t="shared" si="155"/>
        <v>32.142000000000003</v>
      </c>
      <c r="E1599" s="263">
        <f t="shared" si="155"/>
        <v>31.727999999999998</v>
      </c>
      <c r="F1599" s="263">
        <f t="shared" si="155"/>
        <v>35.35</v>
      </c>
      <c r="G1599" s="263">
        <f t="shared" si="155"/>
        <v>22.956</v>
      </c>
      <c r="H1599" s="263">
        <f t="shared" si="155"/>
        <v>54.179999999999993</v>
      </c>
      <c r="I1599" s="263">
        <f t="shared" si="155"/>
        <v>30.43</v>
      </c>
      <c r="J1599" s="263">
        <f t="shared" si="155"/>
        <v>15.086387529332885</v>
      </c>
    </row>
    <row r="1601" spans="1:10">
      <c r="A1601" s="1671" t="s">
        <v>1</v>
      </c>
      <c r="B1601" s="259" t="s">
        <v>139</v>
      </c>
      <c r="C1601" s="259" t="s">
        <v>140</v>
      </c>
      <c r="D1601" s="259" t="s">
        <v>5</v>
      </c>
      <c r="E1601" s="259" t="s">
        <v>6</v>
      </c>
      <c r="F1601" s="260" t="s">
        <v>57</v>
      </c>
      <c r="G1601" s="261" t="s">
        <v>154</v>
      </c>
      <c r="H1601" s="260" t="s">
        <v>149</v>
      </c>
      <c r="I1601" s="261" t="s">
        <v>155</v>
      </c>
      <c r="J1601" s="260" t="s">
        <v>61</v>
      </c>
    </row>
    <row r="1602" spans="1:10" ht="13.5" thickBot="1">
      <c r="A1602" s="1671"/>
      <c r="B1602" s="261" t="s">
        <v>146</v>
      </c>
      <c r="C1602" s="261" t="s">
        <v>146</v>
      </c>
      <c r="D1602" s="261" t="s">
        <v>146</v>
      </c>
      <c r="E1602" s="261" t="s">
        <v>146</v>
      </c>
      <c r="F1602" s="261" t="s">
        <v>146</v>
      </c>
      <c r="G1602" s="261" t="s">
        <v>146</v>
      </c>
      <c r="H1602" s="261" t="s">
        <v>146</v>
      </c>
      <c r="I1602" s="261" t="s">
        <v>146</v>
      </c>
      <c r="J1602" s="261" t="s">
        <v>146</v>
      </c>
    </row>
    <row r="1603" spans="1:10">
      <c r="A1603" s="74">
        <v>41309</v>
      </c>
      <c r="B1603" s="318">
        <v>34.68</v>
      </c>
      <c r="C1603" s="318">
        <v>34.08</v>
      </c>
      <c r="D1603" s="318">
        <v>32.67</v>
      </c>
      <c r="E1603" s="318">
        <v>31.71</v>
      </c>
      <c r="F1603" s="257">
        <v>35.950000000000003</v>
      </c>
      <c r="G1603" s="319">
        <v>22.66</v>
      </c>
      <c r="H1603" s="547">
        <v>53.83</v>
      </c>
      <c r="I1603" s="547">
        <v>29.75</v>
      </c>
      <c r="J1603" s="257">
        <f>(99/5.966)</f>
        <v>16.594032852832719</v>
      </c>
    </row>
    <row r="1604" spans="1:10">
      <c r="A1604" s="10">
        <v>41316</v>
      </c>
      <c r="B1604" s="318">
        <v>34.39</v>
      </c>
      <c r="C1604" s="318">
        <v>33.99</v>
      </c>
      <c r="D1604" s="318">
        <v>32.58</v>
      </c>
      <c r="E1604" s="318">
        <v>31.79</v>
      </c>
      <c r="F1604" s="257">
        <v>35.950000000000003</v>
      </c>
      <c r="G1604" s="252">
        <v>22.72</v>
      </c>
      <c r="H1604" s="547">
        <v>53.83</v>
      </c>
      <c r="I1604" s="252">
        <v>29.75</v>
      </c>
      <c r="J1604" s="257">
        <f>(99/5.966)</f>
        <v>16.594032852832719</v>
      </c>
    </row>
    <row r="1605" spans="1:10">
      <c r="A1605" s="10">
        <v>41323</v>
      </c>
      <c r="B1605" s="318">
        <v>36.19</v>
      </c>
      <c r="C1605" s="318">
        <v>35.299999999999997</v>
      </c>
      <c r="D1605" s="318">
        <v>33.81</v>
      </c>
      <c r="E1605" s="318">
        <v>32.770000000000003</v>
      </c>
      <c r="F1605" s="257">
        <v>35.950000000000003</v>
      </c>
      <c r="G1605" s="252">
        <v>22.85</v>
      </c>
      <c r="H1605" s="547">
        <v>53.83</v>
      </c>
      <c r="I1605" s="252">
        <v>29.75</v>
      </c>
      <c r="J1605" s="257">
        <f>(99/5.966)</f>
        <v>16.594032852832719</v>
      </c>
    </row>
    <row r="1606" spans="1:10">
      <c r="A1606" s="10">
        <v>41330</v>
      </c>
      <c r="B1606" s="318">
        <v>36.200000000000003</v>
      </c>
      <c r="C1606" s="318">
        <v>35.72</v>
      </c>
      <c r="D1606" s="318">
        <v>34.25</v>
      </c>
      <c r="E1606" s="318">
        <v>33.090000000000003</v>
      </c>
      <c r="F1606" s="257">
        <v>35.950000000000003</v>
      </c>
      <c r="G1606" s="252">
        <v>22.94</v>
      </c>
      <c r="H1606" s="547">
        <v>53.83</v>
      </c>
      <c r="I1606" s="252">
        <v>29.85</v>
      </c>
      <c r="J1606" s="257">
        <f>(99/5.966)</f>
        <v>16.594032852832719</v>
      </c>
    </row>
    <row r="1607" spans="1:10">
      <c r="A1607" s="262" t="s">
        <v>473</v>
      </c>
      <c r="B1607" s="263">
        <f t="shared" ref="B1607:J1607" si="156">AVERAGE(B1603:B1606)</f>
        <v>35.364999999999995</v>
      </c>
      <c r="C1607" s="263">
        <f t="shared" si="156"/>
        <v>34.772499999999994</v>
      </c>
      <c r="D1607" s="263">
        <f t="shared" si="156"/>
        <v>33.327500000000001</v>
      </c>
      <c r="E1607" s="263">
        <f t="shared" si="156"/>
        <v>32.340000000000003</v>
      </c>
      <c r="F1607" s="263">
        <f t="shared" si="156"/>
        <v>35.950000000000003</v>
      </c>
      <c r="G1607" s="263">
        <f t="shared" si="156"/>
        <v>22.792499999999997</v>
      </c>
      <c r="H1607" s="263">
        <f t="shared" si="156"/>
        <v>53.83</v>
      </c>
      <c r="I1607" s="263">
        <f t="shared" si="156"/>
        <v>29.774999999999999</v>
      </c>
      <c r="J1607" s="263">
        <f t="shared" si="156"/>
        <v>16.594032852832719</v>
      </c>
    </row>
    <row r="1609" spans="1:10">
      <c r="A1609" s="1671" t="s">
        <v>1</v>
      </c>
      <c r="B1609" s="259" t="s">
        <v>139</v>
      </c>
      <c r="C1609" s="259" t="s">
        <v>140</v>
      </c>
      <c r="D1609" s="259" t="s">
        <v>5</v>
      </c>
      <c r="E1609" s="259" t="s">
        <v>6</v>
      </c>
      <c r="F1609" s="260" t="s">
        <v>57</v>
      </c>
      <c r="G1609" s="261" t="s">
        <v>154</v>
      </c>
      <c r="H1609" s="260" t="s">
        <v>149</v>
      </c>
      <c r="I1609" s="261" t="s">
        <v>155</v>
      </c>
      <c r="J1609" s="260" t="s">
        <v>61</v>
      </c>
    </row>
    <row r="1610" spans="1:10" ht="13.5" thickBot="1">
      <c r="A1610" s="1671"/>
      <c r="B1610" s="261" t="s">
        <v>146</v>
      </c>
      <c r="C1610" s="261" t="s">
        <v>146</v>
      </c>
      <c r="D1610" s="261" t="s">
        <v>146</v>
      </c>
      <c r="E1610" s="261" t="s">
        <v>146</v>
      </c>
      <c r="F1610" s="261" t="s">
        <v>146</v>
      </c>
      <c r="G1610" s="261" t="s">
        <v>146</v>
      </c>
      <c r="H1610" s="261" t="s">
        <v>146</v>
      </c>
      <c r="I1610" s="261" t="s">
        <v>146</v>
      </c>
      <c r="J1610" s="261" t="s">
        <v>146</v>
      </c>
    </row>
    <row r="1611" spans="1:10">
      <c r="A1611" s="74">
        <v>41337</v>
      </c>
      <c r="B1611" s="318">
        <v>36.200000000000003</v>
      </c>
      <c r="C1611" s="318">
        <v>35.67</v>
      </c>
      <c r="D1611" s="318">
        <v>34.19</v>
      </c>
      <c r="E1611" s="318">
        <v>33.01</v>
      </c>
      <c r="F1611" s="257">
        <v>35.950000000000003</v>
      </c>
      <c r="G1611" s="319">
        <v>22.85</v>
      </c>
      <c r="H1611" s="547">
        <v>53.83</v>
      </c>
      <c r="I1611" s="547">
        <v>29.75</v>
      </c>
      <c r="J1611" s="257">
        <f>(99/5.966)</f>
        <v>16.594032852832719</v>
      </c>
    </row>
    <row r="1612" spans="1:10">
      <c r="A1612" s="10">
        <v>41344</v>
      </c>
      <c r="B1612" s="318">
        <v>34.979999999999997</v>
      </c>
      <c r="C1612" s="318">
        <v>34.69</v>
      </c>
      <c r="D1612" s="318">
        <v>33.229999999999997</v>
      </c>
      <c r="E1612" s="318">
        <v>31.69</v>
      </c>
      <c r="F1612" s="257">
        <v>35.950000000000003</v>
      </c>
      <c r="G1612" s="252">
        <v>22.42</v>
      </c>
      <c r="H1612" s="547">
        <v>53.83</v>
      </c>
      <c r="I1612" s="252">
        <v>29.75</v>
      </c>
      <c r="J1612" s="257">
        <f>(109/5.966)</f>
        <v>18.270197787462287</v>
      </c>
    </row>
    <row r="1613" spans="1:10">
      <c r="A1613" s="10">
        <v>41351</v>
      </c>
      <c r="B1613" s="318">
        <v>34.979999999999997</v>
      </c>
      <c r="C1613" s="318">
        <v>33.64</v>
      </c>
      <c r="D1613" s="318">
        <v>32.18</v>
      </c>
      <c r="E1613" s="318">
        <v>30.4</v>
      </c>
      <c r="F1613" s="257">
        <v>35.950000000000003</v>
      </c>
      <c r="G1613" s="252">
        <v>22.4</v>
      </c>
      <c r="H1613" s="547">
        <v>53.83</v>
      </c>
      <c r="I1613" s="252">
        <v>29.7</v>
      </c>
      <c r="J1613" s="257">
        <f>(109/5.966)</f>
        <v>18.270197787462287</v>
      </c>
    </row>
    <row r="1614" spans="1:10">
      <c r="A1614" s="10">
        <v>41358</v>
      </c>
      <c r="B1614" s="318">
        <v>34.979999999999997</v>
      </c>
      <c r="C1614" s="318">
        <v>34.69</v>
      </c>
      <c r="D1614" s="318">
        <v>33.229999999999997</v>
      </c>
      <c r="E1614" s="318">
        <v>30.64</v>
      </c>
      <c r="F1614" s="257">
        <v>35.950000000000003</v>
      </c>
      <c r="G1614" s="252">
        <v>22.4</v>
      </c>
      <c r="H1614" s="547">
        <v>53.83</v>
      </c>
      <c r="I1614" s="252">
        <v>29.75</v>
      </c>
      <c r="J1614" s="257">
        <f>(109/5.966)</f>
        <v>18.270197787462287</v>
      </c>
    </row>
    <row r="1615" spans="1:10">
      <c r="A1615" s="262" t="s">
        <v>475</v>
      </c>
      <c r="B1615" s="263">
        <f t="shared" ref="B1615:H1615" si="157">AVERAGE(B1611:B1614)</f>
        <v>35.284999999999997</v>
      </c>
      <c r="C1615" s="263">
        <f t="shared" si="157"/>
        <v>34.672499999999999</v>
      </c>
      <c r="D1615" s="263">
        <f t="shared" si="157"/>
        <v>33.207499999999996</v>
      </c>
      <c r="E1615" s="263">
        <f t="shared" si="157"/>
        <v>31.434999999999999</v>
      </c>
      <c r="F1615" s="263">
        <f t="shared" si="157"/>
        <v>35.950000000000003</v>
      </c>
      <c r="G1615" s="263">
        <f t="shared" si="157"/>
        <v>22.517499999999998</v>
      </c>
      <c r="H1615" s="263">
        <f t="shared" si="157"/>
        <v>53.83</v>
      </c>
      <c r="I1615" s="263">
        <f>AVERAGE(I1611:I1614)</f>
        <v>29.737500000000001</v>
      </c>
      <c r="J1615" s="263">
        <f>AVERAGE(J1611:J1614)</f>
        <v>17.851156553804895</v>
      </c>
    </row>
    <row r="1617" spans="1:13">
      <c r="A1617" s="1671" t="s">
        <v>1</v>
      </c>
      <c r="B1617" s="259" t="s">
        <v>139</v>
      </c>
      <c r="C1617" s="259" t="s">
        <v>140</v>
      </c>
      <c r="D1617" s="259" t="s">
        <v>5</v>
      </c>
      <c r="E1617" s="259" t="s">
        <v>6</v>
      </c>
      <c r="F1617" s="260" t="s">
        <v>57</v>
      </c>
      <c r="G1617" s="261" t="s">
        <v>154</v>
      </c>
      <c r="H1617" s="260" t="s">
        <v>149</v>
      </c>
      <c r="I1617" s="261" t="s">
        <v>155</v>
      </c>
      <c r="J1617" s="260" t="s">
        <v>61</v>
      </c>
    </row>
    <row r="1618" spans="1:13">
      <c r="A1618" s="1671"/>
      <c r="B1618" s="261" t="s">
        <v>146</v>
      </c>
      <c r="C1618" s="261" t="s">
        <v>146</v>
      </c>
      <c r="D1618" s="261" t="s">
        <v>146</v>
      </c>
      <c r="E1618" s="261" t="s">
        <v>146</v>
      </c>
      <c r="F1618" s="261" t="s">
        <v>146</v>
      </c>
      <c r="G1618" s="261" t="s">
        <v>146</v>
      </c>
      <c r="H1618" s="261" t="s">
        <v>146</v>
      </c>
      <c r="I1618" s="261" t="s">
        <v>146</v>
      </c>
      <c r="J1618" s="261" t="s">
        <v>146</v>
      </c>
    </row>
    <row r="1619" spans="1:13">
      <c r="A1619" s="10">
        <v>41365</v>
      </c>
      <c r="B1619" s="318">
        <v>35.51</v>
      </c>
      <c r="C1619" s="318">
        <v>34.92</v>
      </c>
      <c r="D1619" s="318">
        <v>33.47</v>
      </c>
      <c r="E1619" s="318">
        <v>30.96</v>
      </c>
      <c r="F1619" s="257">
        <v>35.950000000000003</v>
      </c>
      <c r="G1619" s="319">
        <v>22.39</v>
      </c>
      <c r="H1619" s="547">
        <v>55.68</v>
      </c>
      <c r="I1619" s="547">
        <v>29.75</v>
      </c>
      <c r="J1619" s="257">
        <f>(109/5.966)</f>
        <v>18.270197787462287</v>
      </c>
    </row>
    <row r="1620" spans="1:13">
      <c r="A1620" s="10">
        <v>41372</v>
      </c>
      <c r="B1620" s="318">
        <v>34.979999999999997</v>
      </c>
      <c r="C1620" s="318">
        <v>34.619999999999997</v>
      </c>
      <c r="D1620" s="318">
        <v>33.130000000000003</v>
      </c>
      <c r="E1620" s="318">
        <v>30.2</v>
      </c>
      <c r="F1620" s="257">
        <v>36.950000000000003</v>
      </c>
      <c r="G1620" s="252">
        <v>22.4</v>
      </c>
      <c r="H1620" s="547">
        <v>55.68</v>
      </c>
      <c r="I1620" s="252">
        <v>29.75</v>
      </c>
      <c r="J1620" s="257">
        <f>(109/5.966)</f>
        <v>18.270197787462287</v>
      </c>
    </row>
    <row r="1621" spans="1:13">
      <c r="A1621" s="10">
        <v>41379</v>
      </c>
      <c r="B1621" s="318">
        <v>34.03</v>
      </c>
      <c r="C1621" s="318">
        <v>33.58</v>
      </c>
      <c r="D1621" s="318">
        <v>32.1</v>
      </c>
      <c r="E1621" s="318">
        <v>29.08</v>
      </c>
      <c r="F1621" s="257">
        <v>36.950000000000003</v>
      </c>
      <c r="G1621" s="252">
        <v>22.3</v>
      </c>
      <c r="H1621" s="547">
        <v>55.68</v>
      </c>
      <c r="I1621" s="252">
        <v>29.7</v>
      </c>
      <c r="J1621" s="257">
        <f>(109/5.966)</f>
        <v>18.270197787462287</v>
      </c>
    </row>
    <row r="1622" spans="1:13">
      <c r="A1622" s="10">
        <v>41386</v>
      </c>
      <c r="B1622" s="318">
        <v>33.4</v>
      </c>
      <c r="C1622" s="318">
        <v>32.94</v>
      </c>
      <c r="D1622" s="318">
        <v>31.51</v>
      </c>
      <c r="E1622" s="318">
        <v>28.54</v>
      </c>
      <c r="F1622" s="257">
        <v>36.950000000000003</v>
      </c>
      <c r="G1622" s="252">
        <v>22.4</v>
      </c>
      <c r="H1622" s="547">
        <v>55.68</v>
      </c>
      <c r="I1622" s="252">
        <v>29.7</v>
      </c>
      <c r="J1622" s="257">
        <f>(109/5.966)</f>
        <v>18.270197787462287</v>
      </c>
    </row>
    <row r="1623" spans="1:13">
      <c r="A1623" s="10">
        <v>41393</v>
      </c>
      <c r="B1623" s="318">
        <v>33.29</v>
      </c>
      <c r="C1623" s="318">
        <v>32.770000000000003</v>
      </c>
      <c r="D1623" s="318">
        <v>31.33</v>
      </c>
      <c r="E1623" s="318">
        <v>28.39</v>
      </c>
      <c r="F1623" s="257">
        <v>36.950000000000003</v>
      </c>
      <c r="G1623" s="252">
        <v>21.72</v>
      </c>
      <c r="H1623" s="547">
        <v>55.68</v>
      </c>
      <c r="I1623" s="252">
        <v>29.7</v>
      </c>
      <c r="J1623" s="257">
        <f>(109/5.966)</f>
        <v>18.270197787462287</v>
      </c>
    </row>
    <row r="1624" spans="1:13">
      <c r="A1624" s="262" t="s">
        <v>476</v>
      </c>
      <c r="B1624" s="263">
        <f t="shared" ref="B1624:J1624" si="158">AVERAGE(B1619:B1623)</f>
        <v>34.241999999999997</v>
      </c>
      <c r="C1624" s="263">
        <f t="shared" si="158"/>
        <v>33.766000000000005</v>
      </c>
      <c r="D1624" s="263">
        <f t="shared" si="158"/>
        <v>32.307999999999993</v>
      </c>
      <c r="E1624" s="263">
        <f t="shared" si="158"/>
        <v>29.434000000000005</v>
      </c>
      <c r="F1624" s="263">
        <f t="shared" si="158"/>
        <v>36.75</v>
      </c>
      <c r="G1624" s="263">
        <v>22.33</v>
      </c>
      <c r="H1624" s="263">
        <f t="shared" si="158"/>
        <v>55.679999999999993</v>
      </c>
      <c r="I1624" s="263">
        <f t="shared" si="158"/>
        <v>29.72</v>
      </c>
      <c r="J1624" s="263">
        <f t="shared" si="158"/>
        <v>18.270197787462287</v>
      </c>
    </row>
    <row r="1625" spans="1:13">
      <c r="M1625" s="190"/>
    </row>
    <row r="1626" spans="1:13">
      <c r="A1626" s="1671" t="s">
        <v>1</v>
      </c>
      <c r="B1626" s="259" t="s">
        <v>139</v>
      </c>
      <c r="C1626" s="259" t="s">
        <v>140</v>
      </c>
      <c r="D1626" s="259" t="s">
        <v>5</v>
      </c>
      <c r="E1626" s="259" t="s">
        <v>6</v>
      </c>
      <c r="F1626" s="260" t="s">
        <v>57</v>
      </c>
      <c r="G1626" s="261" t="s">
        <v>154</v>
      </c>
      <c r="H1626" s="260" t="s">
        <v>149</v>
      </c>
      <c r="I1626" s="261" t="s">
        <v>155</v>
      </c>
      <c r="J1626" s="260" t="s">
        <v>61</v>
      </c>
    </row>
    <row r="1627" spans="1:13">
      <c r="A1627" s="1671"/>
      <c r="B1627" s="261" t="s">
        <v>146</v>
      </c>
      <c r="C1627" s="261" t="s">
        <v>146</v>
      </c>
      <c r="D1627" s="261" t="s">
        <v>146</v>
      </c>
      <c r="E1627" s="261" t="s">
        <v>146</v>
      </c>
      <c r="F1627" s="261" t="s">
        <v>146</v>
      </c>
      <c r="G1627" s="261" t="s">
        <v>146</v>
      </c>
      <c r="H1627" s="261" t="s">
        <v>146</v>
      </c>
      <c r="I1627" s="261" t="s">
        <v>146</v>
      </c>
      <c r="J1627" s="261" t="s">
        <v>146</v>
      </c>
      <c r="L1627">
        <v>22.352566666666664</v>
      </c>
    </row>
    <row r="1628" spans="1:13">
      <c r="A1628" s="103">
        <v>41400</v>
      </c>
      <c r="B1628" s="139">
        <v>33.159999999999997</v>
      </c>
      <c r="C1628" s="318">
        <v>32.630000000000003</v>
      </c>
      <c r="D1628" s="318">
        <v>31.22</v>
      </c>
      <c r="E1628" s="318">
        <v>28.24</v>
      </c>
      <c r="F1628" s="554">
        <v>36.950000000000003</v>
      </c>
      <c r="G1628" s="319">
        <v>21.657952380952377</v>
      </c>
      <c r="H1628" s="547">
        <v>55.58</v>
      </c>
      <c r="I1628" s="547">
        <v>29.65</v>
      </c>
      <c r="J1628" s="257">
        <f>(109/5.966)</f>
        <v>18.270197787462287</v>
      </c>
    </row>
    <row r="1629" spans="1:13">
      <c r="A1629" s="103">
        <v>41407</v>
      </c>
      <c r="B1629" s="139">
        <v>34.24</v>
      </c>
      <c r="C1629" s="318">
        <v>33.65</v>
      </c>
      <c r="D1629" s="318">
        <v>32.19</v>
      </c>
      <c r="E1629" s="318">
        <v>29.17</v>
      </c>
      <c r="F1629" s="554">
        <v>36.950000000000003</v>
      </c>
      <c r="G1629" s="252">
        <v>21.683309523809523</v>
      </c>
      <c r="H1629" s="547">
        <v>55.58</v>
      </c>
      <c r="I1629" s="252">
        <v>29.75</v>
      </c>
      <c r="J1629" s="257">
        <f>(109/5.966)</f>
        <v>18.270197787462287</v>
      </c>
    </row>
    <row r="1630" spans="1:13">
      <c r="A1630" s="103">
        <v>41414</v>
      </c>
      <c r="B1630" s="139">
        <v>35.99</v>
      </c>
      <c r="C1630" s="318">
        <v>35.39</v>
      </c>
      <c r="D1630" s="318">
        <v>33.869999999999997</v>
      </c>
      <c r="E1630" s="318">
        <v>29.44</v>
      </c>
      <c r="F1630" s="554">
        <v>36.950000000000003</v>
      </c>
      <c r="G1630" s="252">
        <v>22.392919047619046</v>
      </c>
      <c r="H1630" s="547">
        <v>55.58</v>
      </c>
      <c r="I1630" s="252">
        <v>29.75</v>
      </c>
      <c r="J1630" s="257">
        <f>(109/5.966)</f>
        <v>18.270197787462287</v>
      </c>
    </row>
    <row r="1631" spans="1:13">
      <c r="A1631" s="10">
        <v>41421</v>
      </c>
      <c r="B1631" s="318">
        <v>33.979999999999997</v>
      </c>
      <c r="C1631" s="318">
        <v>33.880000000000003</v>
      </c>
      <c r="D1631" s="318">
        <v>32.369999999999997</v>
      </c>
      <c r="E1631" s="318">
        <v>27.86</v>
      </c>
      <c r="F1631" s="257">
        <v>34.75</v>
      </c>
      <c r="G1631" s="252">
        <v>22.437861904761906</v>
      </c>
      <c r="H1631" s="547">
        <v>55.58</v>
      </c>
      <c r="I1631" s="252">
        <v>29.65</v>
      </c>
      <c r="J1631" s="257">
        <f>(109/5.966)</f>
        <v>18.270197787462287</v>
      </c>
    </row>
    <row r="1632" spans="1:13">
      <c r="A1632" s="262" t="s">
        <v>477</v>
      </c>
      <c r="B1632" s="263">
        <f t="shared" ref="B1632:H1632" si="159">AVERAGE(B1628:B1631)</f>
        <v>34.342500000000001</v>
      </c>
      <c r="C1632" s="263">
        <f t="shared" si="159"/>
        <v>33.887500000000003</v>
      </c>
      <c r="D1632" s="263">
        <f t="shared" si="159"/>
        <v>32.412500000000001</v>
      </c>
      <c r="E1632" s="263">
        <f t="shared" si="159"/>
        <v>28.677499999999998</v>
      </c>
      <c r="F1632" s="263">
        <f t="shared" si="159"/>
        <v>36.400000000000006</v>
      </c>
      <c r="G1632" s="263">
        <f t="shared" si="159"/>
        <v>22.04301071428571</v>
      </c>
      <c r="H1632" s="263">
        <f t="shared" si="159"/>
        <v>55.58</v>
      </c>
      <c r="I1632" s="263">
        <f>AVERAGE(I1628:I1631)</f>
        <v>29.700000000000003</v>
      </c>
      <c r="J1632" s="263">
        <f>AVERAGE(J1628:J1631)</f>
        <v>18.270197787462287</v>
      </c>
      <c r="M1632" s="190"/>
    </row>
    <row r="1634" spans="1:13">
      <c r="A1634" s="1671" t="s">
        <v>1</v>
      </c>
      <c r="B1634" s="259" t="s">
        <v>139</v>
      </c>
      <c r="C1634" s="259" t="s">
        <v>140</v>
      </c>
      <c r="D1634" s="259" t="s">
        <v>5</v>
      </c>
      <c r="E1634" s="259" t="s">
        <v>6</v>
      </c>
      <c r="F1634" s="260" t="s">
        <v>57</v>
      </c>
      <c r="G1634" s="261" t="s">
        <v>154</v>
      </c>
      <c r="H1634" s="260" t="s">
        <v>149</v>
      </c>
      <c r="I1634" s="261" t="s">
        <v>155</v>
      </c>
      <c r="J1634" s="260" t="s">
        <v>61</v>
      </c>
      <c r="L1634">
        <v>22.140347619047613</v>
      </c>
    </row>
    <row r="1635" spans="1:13">
      <c r="A1635" s="1671"/>
      <c r="B1635" s="261" t="s">
        <v>146</v>
      </c>
      <c r="C1635" s="261" t="s">
        <v>146</v>
      </c>
      <c r="D1635" s="261" t="s">
        <v>146</v>
      </c>
      <c r="E1635" s="261" t="s">
        <v>146</v>
      </c>
      <c r="F1635" s="261" t="s">
        <v>146</v>
      </c>
      <c r="G1635" s="261" t="s">
        <v>146</v>
      </c>
      <c r="H1635" s="261" t="s">
        <v>146</v>
      </c>
      <c r="I1635" s="261" t="s">
        <v>146</v>
      </c>
      <c r="J1635" s="261" t="s">
        <v>146</v>
      </c>
    </row>
    <row r="1636" spans="1:13">
      <c r="A1636" s="10">
        <v>41428</v>
      </c>
      <c r="B1636" s="139">
        <v>33.96</v>
      </c>
      <c r="C1636" s="318">
        <v>33.58</v>
      </c>
      <c r="D1636" s="318">
        <v>32.090000000000003</v>
      </c>
      <c r="E1636" s="318">
        <v>27.6</v>
      </c>
      <c r="F1636" s="554">
        <v>34.75</v>
      </c>
      <c r="G1636" s="319">
        <v>22.352499999999999</v>
      </c>
      <c r="H1636" s="547">
        <v>55.65</v>
      </c>
      <c r="I1636" s="547">
        <v>29.75</v>
      </c>
      <c r="J1636" s="257">
        <f>(109/5.966)</f>
        <v>18.270197787462287</v>
      </c>
    </row>
    <row r="1637" spans="1:13">
      <c r="A1637" s="10">
        <v>41435</v>
      </c>
      <c r="B1637" s="139">
        <v>33.409999999999997</v>
      </c>
      <c r="C1637" s="318">
        <v>33</v>
      </c>
      <c r="D1637" s="318">
        <v>31.51</v>
      </c>
      <c r="E1637" s="318">
        <v>27.03</v>
      </c>
      <c r="F1637" s="554">
        <v>34.75</v>
      </c>
      <c r="G1637" s="252">
        <v>22.1403</v>
      </c>
      <c r="H1637" s="547">
        <v>55.65</v>
      </c>
      <c r="I1637" s="252">
        <v>29.75</v>
      </c>
      <c r="J1637" s="257">
        <f>(120/5.966)</f>
        <v>20.11397921555481</v>
      </c>
    </row>
    <row r="1638" spans="1:13">
      <c r="A1638" s="10">
        <v>41442</v>
      </c>
      <c r="B1638" s="139">
        <v>34.450000000000003</v>
      </c>
      <c r="C1638" s="318">
        <v>33.92</v>
      </c>
      <c r="D1638" s="318">
        <v>32.450000000000003</v>
      </c>
      <c r="E1638" s="318">
        <v>28.94</v>
      </c>
      <c r="F1638" s="554">
        <v>34.75</v>
      </c>
      <c r="G1638" s="252">
        <v>21.544029999999999</v>
      </c>
      <c r="H1638" s="547">
        <v>55.65</v>
      </c>
      <c r="I1638" s="252">
        <v>29.7</v>
      </c>
      <c r="J1638" s="257">
        <f>(120/5.966)</f>
        <v>20.11397921555481</v>
      </c>
    </row>
    <row r="1639" spans="1:13">
      <c r="A1639" s="10">
        <v>41449</v>
      </c>
      <c r="B1639" s="318">
        <v>33.94</v>
      </c>
      <c r="C1639" s="318">
        <v>33.5</v>
      </c>
      <c r="D1639" s="318">
        <v>32.01</v>
      </c>
      <c r="E1639" s="318">
        <v>28.51</v>
      </c>
      <c r="F1639" s="257">
        <v>33.75</v>
      </c>
      <c r="G1639" s="252">
        <v>21.560700000000001</v>
      </c>
      <c r="H1639" s="547">
        <v>55.65</v>
      </c>
      <c r="I1639" s="252">
        <v>29.7</v>
      </c>
      <c r="J1639" s="257">
        <f>(120/5.966)</f>
        <v>20.11397921555481</v>
      </c>
      <c r="M1639" s="190"/>
    </row>
    <row r="1640" spans="1:13">
      <c r="A1640" s="262" t="s">
        <v>478</v>
      </c>
      <c r="B1640" s="263">
        <f t="shared" ref="B1640:H1640" si="160">AVERAGE(B1636:B1639)</f>
        <v>33.94</v>
      </c>
      <c r="C1640" s="263">
        <f t="shared" si="160"/>
        <v>33.5</v>
      </c>
      <c r="D1640" s="263">
        <f>AVERAGE(D1636:D1639)</f>
        <v>32.015000000000001</v>
      </c>
      <c r="E1640" s="263">
        <f>AVERAGE(E1636:E1639)</f>
        <v>28.020000000000003</v>
      </c>
      <c r="F1640" s="263">
        <f t="shared" si="160"/>
        <v>34.5</v>
      </c>
      <c r="G1640" s="263">
        <f t="shared" si="160"/>
        <v>21.899382500000002</v>
      </c>
      <c r="H1640" s="263">
        <f t="shared" si="160"/>
        <v>55.65</v>
      </c>
      <c r="I1640" s="263">
        <f>AVERAGE(I1636:I1639)</f>
        <v>29.725000000000001</v>
      </c>
      <c r="J1640" s="263">
        <f>AVERAGE(J1636:J1639)</f>
        <v>19.653033858531678</v>
      </c>
    </row>
    <row r="1641" spans="1:13">
      <c r="L1641">
        <v>21.544033333333338</v>
      </c>
    </row>
    <row r="1642" spans="1:13">
      <c r="A1642" s="1671" t="s">
        <v>1</v>
      </c>
      <c r="B1642" s="259" t="s">
        <v>139</v>
      </c>
      <c r="C1642" s="259" t="s">
        <v>140</v>
      </c>
      <c r="D1642" s="259" t="s">
        <v>5</v>
      </c>
      <c r="E1642" s="259" t="s">
        <v>6</v>
      </c>
      <c r="F1642" s="260" t="s">
        <v>57</v>
      </c>
      <c r="G1642" s="261" t="s">
        <v>154</v>
      </c>
      <c r="H1642" s="260" t="s">
        <v>149</v>
      </c>
      <c r="I1642" s="261" t="s">
        <v>155</v>
      </c>
      <c r="J1642" s="260" t="s">
        <v>61</v>
      </c>
    </row>
    <row r="1643" spans="1:13">
      <c r="A1643" s="1671"/>
      <c r="B1643" s="261" t="s">
        <v>146</v>
      </c>
      <c r="C1643" s="261" t="s">
        <v>146</v>
      </c>
      <c r="D1643" s="261" t="s">
        <v>146</v>
      </c>
      <c r="E1643" s="261" t="s">
        <v>146</v>
      </c>
      <c r="F1643" s="261" t="s">
        <v>146</v>
      </c>
      <c r="G1643" s="261" t="s">
        <v>146</v>
      </c>
      <c r="H1643" s="261" t="s">
        <v>146</v>
      </c>
      <c r="I1643" s="261" t="s">
        <v>146</v>
      </c>
      <c r="J1643" s="261" t="s">
        <v>146</v>
      </c>
    </row>
    <row r="1644" spans="1:13">
      <c r="A1644" s="10">
        <v>41457</v>
      </c>
      <c r="B1644" s="139">
        <v>33.99</v>
      </c>
      <c r="C1644" s="318">
        <v>33.590000000000003</v>
      </c>
      <c r="D1644" s="318">
        <v>32.1</v>
      </c>
      <c r="E1644" s="318">
        <v>29.4</v>
      </c>
      <c r="F1644" s="554">
        <v>33.75</v>
      </c>
      <c r="G1644" s="554">
        <v>21.472266666666666</v>
      </c>
      <c r="H1644" s="547">
        <v>56.63</v>
      </c>
      <c r="I1644" s="547">
        <v>29.75</v>
      </c>
      <c r="J1644" s="257">
        <f>(120/5.966)</f>
        <v>20.11397921555481</v>
      </c>
    </row>
    <row r="1645" spans="1:13">
      <c r="A1645" s="10">
        <v>41463</v>
      </c>
      <c r="B1645" s="139">
        <v>34.44</v>
      </c>
      <c r="C1645" s="318">
        <v>33.909999999999997</v>
      </c>
      <c r="D1645" s="318">
        <v>32.46</v>
      </c>
      <c r="E1645" s="318">
        <v>30.18</v>
      </c>
      <c r="F1645" s="554">
        <v>33.75</v>
      </c>
      <c r="G1645" s="554">
        <v>21.152699999999999</v>
      </c>
      <c r="H1645" s="547">
        <v>56.63</v>
      </c>
      <c r="I1645" s="252">
        <v>29.5</v>
      </c>
      <c r="J1645" s="257">
        <f>(120/5.966)</f>
        <v>20.11397921555481</v>
      </c>
    </row>
    <row r="1646" spans="1:13">
      <c r="A1646" s="10">
        <v>41470</v>
      </c>
      <c r="B1646" s="139">
        <v>35.76</v>
      </c>
      <c r="C1646" s="318">
        <v>34.85</v>
      </c>
      <c r="D1646" s="318">
        <v>33.31</v>
      </c>
      <c r="E1646" s="318">
        <v>30.18</v>
      </c>
      <c r="F1646" s="554">
        <v>33.75</v>
      </c>
      <c r="G1646" s="554">
        <v>22.262966666666667</v>
      </c>
      <c r="H1646" s="547">
        <v>56.63</v>
      </c>
      <c r="I1646" s="252">
        <v>29.7</v>
      </c>
      <c r="J1646" s="257">
        <f>(120/5.966)</f>
        <v>20.11397921555481</v>
      </c>
      <c r="M1646" s="190"/>
    </row>
    <row r="1647" spans="1:13">
      <c r="A1647" s="10">
        <v>41477</v>
      </c>
      <c r="B1647" s="139">
        <v>36.69</v>
      </c>
      <c r="C1647" s="318">
        <v>36.22</v>
      </c>
      <c r="D1647" s="318">
        <v>34.700000000000003</v>
      </c>
      <c r="E1647" s="318">
        <v>30.93</v>
      </c>
      <c r="F1647" s="554">
        <v>33.75</v>
      </c>
      <c r="G1647" s="554">
        <v>22.262966666666667</v>
      </c>
      <c r="H1647" s="547">
        <v>56.63</v>
      </c>
      <c r="I1647" s="252">
        <v>29.65</v>
      </c>
      <c r="J1647" s="257">
        <f>(120/5.966)</f>
        <v>20.11397921555481</v>
      </c>
      <c r="M1647" s="190"/>
    </row>
    <row r="1648" spans="1:13">
      <c r="A1648" s="10">
        <v>41484</v>
      </c>
      <c r="B1648" s="318">
        <v>36.270000000000003</v>
      </c>
      <c r="C1648" s="318">
        <v>35.799999999999997</v>
      </c>
      <c r="D1648" s="318">
        <v>34.31</v>
      </c>
      <c r="E1648" s="318">
        <v>30.52</v>
      </c>
      <c r="F1648" s="257">
        <v>33.75</v>
      </c>
      <c r="G1648" s="554">
        <v>21.936800000000002</v>
      </c>
      <c r="H1648" s="547">
        <v>56.63</v>
      </c>
      <c r="I1648" s="252">
        <v>29.6</v>
      </c>
      <c r="J1648" s="257">
        <f>(120/5.966)</f>
        <v>20.11397921555481</v>
      </c>
    </row>
    <row r="1649" spans="1:17">
      <c r="A1649" s="262" t="s">
        <v>479</v>
      </c>
      <c r="B1649" s="263">
        <f t="shared" ref="B1649:J1649" si="161">AVERAGE(B1644:B1648)</f>
        <v>35.43</v>
      </c>
      <c r="C1649" s="263">
        <f t="shared" si="161"/>
        <v>34.874000000000002</v>
      </c>
      <c r="D1649" s="263">
        <f t="shared" si="161"/>
        <v>33.375999999999998</v>
      </c>
      <c r="E1649" s="263">
        <f t="shared" si="161"/>
        <v>30.242000000000001</v>
      </c>
      <c r="F1649" s="263">
        <f t="shared" si="161"/>
        <v>33.75</v>
      </c>
      <c r="G1649" s="263">
        <f t="shared" si="161"/>
        <v>21.817540000000001</v>
      </c>
      <c r="H1649" s="263">
        <f t="shared" si="161"/>
        <v>56.63000000000001</v>
      </c>
      <c r="I1649" s="263">
        <f t="shared" si="161"/>
        <v>29.639999999999997</v>
      </c>
      <c r="J1649" s="263">
        <f t="shared" si="161"/>
        <v>20.11397921555481</v>
      </c>
      <c r="L1649">
        <v>21.560699999999997</v>
      </c>
    </row>
    <row r="1650" spans="1:17" ht="14.25" customHeight="1" thickBot="1">
      <c r="A1650" s="564"/>
      <c r="B1650" s="564"/>
      <c r="C1650" s="564"/>
      <c r="D1650" s="564"/>
      <c r="E1650" s="564"/>
      <c r="F1650" s="564"/>
      <c r="G1650" s="564"/>
      <c r="H1650" s="548"/>
      <c r="I1650" s="564"/>
      <c r="J1650" s="564"/>
    </row>
    <row r="1651" spans="1:17">
      <c r="A1651" s="1691" t="s">
        <v>1</v>
      </c>
      <c r="B1651" s="568" t="s">
        <v>139</v>
      </c>
      <c r="C1651" s="568" t="s">
        <v>140</v>
      </c>
      <c r="D1651" s="568" t="s">
        <v>5</v>
      </c>
      <c r="E1651" s="568" t="s">
        <v>6</v>
      </c>
      <c r="F1651" s="569" t="s">
        <v>57</v>
      </c>
      <c r="G1651" s="570" t="s">
        <v>154</v>
      </c>
      <c r="H1651" s="569" t="s">
        <v>149</v>
      </c>
      <c r="I1651" s="570" t="s">
        <v>155</v>
      </c>
      <c r="J1651" s="571" t="s">
        <v>61</v>
      </c>
    </row>
    <row r="1652" spans="1:17">
      <c r="A1652" s="1692"/>
      <c r="B1652" s="261" t="s">
        <v>146</v>
      </c>
      <c r="C1652" s="261" t="s">
        <v>146</v>
      </c>
      <c r="D1652" s="261" t="s">
        <v>146</v>
      </c>
      <c r="E1652" s="261" t="s">
        <v>146</v>
      </c>
      <c r="F1652" s="261" t="s">
        <v>146</v>
      </c>
      <c r="G1652" s="261" t="s">
        <v>146</v>
      </c>
      <c r="H1652" s="261" t="s">
        <v>146</v>
      </c>
      <c r="I1652" s="261" t="s">
        <v>146</v>
      </c>
      <c r="J1652" s="572" t="s">
        <v>146</v>
      </c>
    </row>
    <row r="1653" spans="1:17">
      <c r="A1653" s="10">
        <v>41491</v>
      </c>
      <c r="B1653" s="139">
        <v>36.270000000000003</v>
      </c>
      <c r="C1653" s="318">
        <v>35.799999999999997</v>
      </c>
      <c r="D1653" s="318">
        <v>34.31</v>
      </c>
      <c r="E1653" s="318">
        <v>30.52</v>
      </c>
      <c r="F1653" s="554">
        <v>33.75</v>
      </c>
      <c r="G1653" s="554">
        <v>21.83</v>
      </c>
      <c r="H1653" s="547">
        <v>57.63</v>
      </c>
      <c r="I1653" s="547">
        <v>29.65</v>
      </c>
      <c r="J1653" s="573">
        <f>(120/5.966)</f>
        <v>20.11397921555481</v>
      </c>
    </row>
    <row r="1654" spans="1:17">
      <c r="A1654" s="10">
        <v>41498</v>
      </c>
      <c r="B1654" s="139">
        <v>35.78</v>
      </c>
      <c r="C1654" s="318">
        <v>35.450000000000003</v>
      </c>
      <c r="D1654" s="318">
        <v>33.950000000000003</v>
      </c>
      <c r="E1654" s="318">
        <v>30.15</v>
      </c>
      <c r="F1654" s="554">
        <v>33.75</v>
      </c>
      <c r="G1654" s="554">
        <v>21.44</v>
      </c>
      <c r="H1654" s="547">
        <v>57.63</v>
      </c>
      <c r="I1654" s="252">
        <v>29.65</v>
      </c>
      <c r="J1654" s="573">
        <f>(120/5.966)</f>
        <v>20.11397921555481</v>
      </c>
    </row>
    <row r="1655" spans="1:17" ht="13.5" thickBot="1">
      <c r="A1655" s="10">
        <v>41505</v>
      </c>
      <c r="B1655" s="139">
        <v>35.770000000000003</v>
      </c>
      <c r="C1655" s="318">
        <v>35.299999999999997</v>
      </c>
      <c r="D1655" s="318">
        <v>33.799999999999997</v>
      </c>
      <c r="E1655" s="318">
        <v>30.43</v>
      </c>
      <c r="F1655" s="554">
        <v>33.75</v>
      </c>
      <c r="G1655" s="554">
        <v>21.21</v>
      </c>
      <c r="H1655" s="547">
        <v>57.63</v>
      </c>
      <c r="I1655" s="252">
        <v>29.65</v>
      </c>
      <c r="J1655" s="573">
        <f>(120/5.966)</f>
        <v>20.11397921555481</v>
      </c>
      <c r="N1655" s="583"/>
    </row>
    <row r="1656" spans="1:17">
      <c r="A1656" s="10">
        <v>41513</v>
      </c>
      <c r="B1656" s="139">
        <v>36.299999999999997</v>
      </c>
      <c r="C1656" s="318">
        <v>35.76</v>
      </c>
      <c r="D1656" s="318">
        <v>34.270000000000003</v>
      </c>
      <c r="E1656" s="318">
        <v>31.66</v>
      </c>
      <c r="F1656" s="554">
        <v>33.75</v>
      </c>
      <c r="G1656" s="554">
        <v>21.5600238</v>
      </c>
      <c r="H1656" s="547">
        <v>57.63</v>
      </c>
      <c r="I1656" s="252">
        <v>29.75</v>
      </c>
      <c r="J1656" s="573">
        <f>(120/5.966)</f>
        <v>20.11397921555481</v>
      </c>
      <c r="Q1656" s="585">
        <v>41519</v>
      </c>
    </row>
    <row r="1657" spans="1:17" ht="13.5" thickBot="1">
      <c r="A1657" s="574" t="s">
        <v>480</v>
      </c>
      <c r="B1657" s="575">
        <f t="shared" ref="B1657:J1657" si="162">AVERAGE(B1653:B1656)</f>
        <v>36.03</v>
      </c>
      <c r="C1657" s="575">
        <f t="shared" si="162"/>
        <v>35.577500000000001</v>
      </c>
      <c r="D1657" s="575">
        <f t="shared" si="162"/>
        <v>34.082500000000003</v>
      </c>
      <c r="E1657" s="575">
        <f t="shared" si="162"/>
        <v>30.689999999999998</v>
      </c>
      <c r="F1657" s="575">
        <f t="shared" si="162"/>
        <v>33.75</v>
      </c>
      <c r="G1657" s="575">
        <f t="shared" si="162"/>
        <v>21.510005949999996</v>
      </c>
      <c r="H1657" s="575">
        <f t="shared" si="162"/>
        <v>57.63</v>
      </c>
      <c r="I1657" s="575">
        <f t="shared" si="162"/>
        <v>29.674999999999997</v>
      </c>
      <c r="J1657" s="576">
        <f t="shared" si="162"/>
        <v>20.11397921555481</v>
      </c>
      <c r="Q1657" s="586">
        <v>41526</v>
      </c>
    </row>
    <row r="1658" spans="1:17" ht="13.5" thickBot="1">
      <c r="Q1658" s="587">
        <v>41534</v>
      </c>
    </row>
    <row r="1659" spans="1:17">
      <c r="A1659" s="1691" t="s">
        <v>1</v>
      </c>
      <c r="B1659" s="568" t="s">
        <v>139</v>
      </c>
      <c r="C1659" s="568" t="s">
        <v>140</v>
      </c>
      <c r="D1659" s="568" t="s">
        <v>5</v>
      </c>
      <c r="E1659" s="568" t="s">
        <v>6</v>
      </c>
      <c r="F1659" s="569" t="s">
        <v>57</v>
      </c>
      <c r="G1659" s="570" t="s">
        <v>154</v>
      </c>
      <c r="H1659" s="569" t="s">
        <v>149</v>
      </c>
      <c r="I1659" s="570" t="s">
        <v>155</v>
      </c>
      <c r="J1659" s="571" t="s">
        <v>61</v>
      </c>
      <c r="Q1659" s="587">
        <v>41540</v>
      </c>
    </row>
    <row r="1660" spans="1:17" ht="13.5" thickBot="1">
      <c r="A1660" s="1692"/>
      <c r="B1660" s="261" t="s">
        <v>146</v>
      </c>
      <c r="C1660" s="261" t="s">
        <v>146</v>
      </c>
      <c r="D1660" s="261" t="s">
        <v>146</v>
      </c>
      <c r="E1660" s="261" t="s">
        <v>146</v>
      </c>
      <c r="F1660" s="261" t="s">
        <v>146</v>
      </c>
      <c r="G1660" s="261" t="s">
        <v>146</v>
      </c>
      <c r="H1660" s="261" t="s">
        <v>146</v>
      </c>
      <c r="I1660" s="261" t="s">
        <v>146</v>
      </c>
      <c r="J1660" s="572" t="s">
        <v>146</v>
      </c>
      <c r="Q1660" s="587">
        <v>41547</v>
      </c>
    </row>
    <row r="1661" spans="1:17">
      <c r="A1661" s="566">
        <v>41519</v>
      </c>
      <c r="B1661" s="139">
        <v>36.950000000000003</v>
      </c>
      <c r="C1661" s="318">
        <v>36.450000000000003</v>
      </c>
      <c r="D1661" s="318">
        <v>34.909999999999997</v>
      </c>
      <c r="E1661" s="318">
        <v>32.44</v>
      </c>
      <c r="F1661" s="554">
        <v>33.75</v>
      </c>
      <c r="G1661" s="134">
        <v>21.616500000000002</v>
      </c>
      <c r="H1661" s="547">
        <v>57.8</v>
      </c>
      <c r="I1661" s="547">
        <v>29.75</v>
      </c>
      <c r="J1661" s="573">
        <f>(130/5.966)</f>
        <v>21.790144150184378</v>
      </c>
    </row>
    <row r="1662" spans="1:17">
      <c r="A1662" s="567">
        <v>41526</v>
      </c>
      <c r="B1662" s="139">
        <v>36.520000000000003</v>
      </c>
      <c r="C1662" s="318">
        <v>36.049999999999997</v>
      </c>
      <c r="D1662" s="318">
        <v>34.549999999999997</v>
      </c>
      <c r="E1662" s="318">
        <v>32.03</v>
      </c>
      <c r="F1662" s="554">
        <v>33.75</v>
      </c>
      <c r="G1662" s="134">
        <v>21.604733333333336</v>
      </c>
      <c r="H1662" s="547">
        <v>57.8</v>
      </c>
      <c r="I1662" s="252">
        <v>29.65</v>
      </c>
      <c r="J1662" s="573">
        <f>(130/5.966)</f>
        <v>21.790144150184378</v>
      </c>
      <c r="N1662" s="583"/>
    </row>
    <row r="1663" spans="1:17">
      <c r="A1663" s="10">
        <v>41534</v>
      </c>
      <c r="B1663" s="139">
        <v>35.450000000000003</v>
      </c>
      <c r="C1663" s="318">
        <v>35.07</v>
      </c>
      <c r="D1663" s="318">
        <v>33.590000000000003</v>
      </c>
      <c r="E1663" s="318">
        <v>31.8</v>
      </c>
      <c r="F1663" s="554">
        <v>33.75</v>
      </c>
      <c r="G1663" s="134">
        <v>21.332100000000001</v>
      </c>
      <c r="H1663" s="547">
        <v>57.8</v>
      </c>
      <c r="I1663" s="252">
        <v>29.7</v>
      </c>
      <c r="J1663" s="573">
        <f>(130/5.966)</f>
        <v>21.790144150184378</v>
      </c>
    </row>
    <row r="1664" spans="1:17">
      <c r="A1664" s="10">
        <v>41540</v>
      </c>
      <c r="B1664" s="139">
        <v>35.01</v>
      </c>
      <c r="C1664" s="318">
        <v>34.729999999999997</v>
      </c>
      <c r="D1664" s="318">
        <v>33.22</v>
      </c>
      <c r="E1664" s="318">
        <v>31.57</v>
      </c>
      <c r="F1664" s="554">
        <v>34.75</v>
      </c>
      <c r="G1664" s="134">
        <v>21.359142857142853</v>
      </c>
      <c r="H1664" s="547">
        <v>57.8</v>
      </c>
      <c r="I1664" s="252">
        <v>29.65</v>
      </c>
      <c r="J1664" s="573">
        <f>(130/5.966)</f>
        <v>21.790144150184378</v>
      </c>
    </row>
    <row r="1665" spans="1:16">
      <c r="A1665" s="10">
        <v>41547</v>
      </c>
      <c r="B1665" s="139">
        <v>34.44</v>
      </c>
      <c r="C1665" s="318">
        <v>34.04</v>
      </c>
      <c r="D1665" s="318">
        <v>32.54</v>
      </c>
      <c r="E1665" s="318">
        <v>31</v>
      </c>
      <c r="F1665" s="554">
        <v>34.75</v>
      </c>
      <c r="G1665" s="134">
        <v>21.281499999999998</v>
      </c>
      <c r="H1665" s="547">
        <v>57.8</v>
      </c>
      <c r="I1665" s="252">
        <v>29.65</v>
      </c>
      <c r="J1665" s="573">
        <f>(130/5.966)</f>
        <v>21.790144150184378</v>
      </c>
      <c r="P1665" s="583">
        <v>21.366033333333331</v>
      </c>
    </row>
    <row r="1666" spans="1:16" ht="13.5" thickBot="1">
      <c r="A1666" s="574" t="s">
        <v>481</v>
      </c>
      <c r="B1666" s="575">
        <f>AVERAGE(B1661:B1665)</f>
        <v>35.673999999999999</v>
      </c>
      <c r="C1666" s="575">
        <f t="shared" ref="C1666:J1666" si="163">AVERAGE(C1661:C1665)</f>
        <v>35.267999999999994</v>
      </c>
      <c r="D1666" s="575">
        <f t="shared" si="163"/>
        <v>33.761999999999993</v>
      </c>
      <c r="E1666" s="575">
        <f t="shared" si="163"/>
        <v>31.768000000000001</v>
      </c>
      <c r="F1666" s="575">
        <f t="shared" si="163"/>
        <v>34.15</v>
      </c>
      <c r="G1666" s="575">
        <f t="shared" si="163"/>
        <v>21.438795238095238</v>
      </c>
      <c r="H1666" s="575">
        <f t="shared" si="163"/>
        <v>57.8</v>
      </c>
      <c r="I1666" s="575">
        <f t="shared" si="163"/>
        <v>29.68</v>
      </c>
      <c r="J1666" s="576">
        <f t="shared" si="163"/>
        <v>21.790144150184378</v>
      </c>
    </row>
    <row r="1667" spans="1:16" ht="13.5" thickBot="1"/>
    <row r="1668" spans="1:16">
      <c r="A1668" s="1691" t="s">
        <v>1</v>
      </c>
      <c r="B1668" s="568" t="s">
        <v>139</v>
      </c>
      <c r="C1668" s="568" t="s">
        <v>140</v>
      </c>
      <c r="D1668" s="568" t="s">
        <v>5</v>
      </c>
      <c r="E1668" s="568" t="s">
        <v>6</v>
      </c>
      <c r="F1668" s="569" t="s">
        <v>57</v>
      </c>
      <c r="G1668" s="570" t="s">
        <v>154</v>
      </c>
      <c r="H1668" s="569" t="s">
        <v>149</v>
      </c>
      <c r="I1668" s="570" t="s">
        <v>155</v>
      </c>
      <c r="J1668" s="571" t="s">
        <v>61</v>
      </c>
    </row>
    <row r="1669" spans="1:16" ht="13.5" thickBot="1">
      <c r="A1669" s="1692"/>
      <c r="B1669" s="261" t="s">
        <v>146</v>
      </c>
      <c r="C1669" s="261" t="s">
        <v>146</v>
      </c>
      <c r="D1669" s="261" t="s">
        <v>146</v>
      </c>
      <c r="E1669" s="261" t="s">
        <v>146</v>
      </c>
      <c r="F1669" s="261" t="s">
        <v>146</v>
      </c>
      <c r="G1669" s="261" t="s">
        <v>146</v>
      </c>
      <c r="H1669" s="261" t="s">
        <v>146</v>
      </c>
      <c r="I1669" s="261" t="s">
        <v>146</v>
      </c>
      <c r="J1669" s="572" t="s">
        <v>146</v>
      </c>
      <c r="N1669" s="583"/>
    </row>
    <row r="1670" spans="1:16">
      <c r="A1670" s="74">
        <v>41554</v>
      </c>
      <c r="B1670" s="139">
        <v>33.97</v>
      </c>
      <c r="C1670" s="318">
        <v>33.5</v>
      </c>
      <c r="D1670" s="318">
        <v>32</v>
      </c>
      <c r="E1670" s="318">
        <v>30.29</v>
      </c>
      <c r="F1670" s="554">
        <v>34.75</v>
      </c>
      <c r="G1670" s="134">
        <v>21.16</v>
      </c>
      <c r="H1670" s="547">
        <v>57.8</v>
      </c>
      <c r="I1670" s="547">
        <v>29.65</v>
      </c>
      <c r="J1670" s="573">
        <f>(130/5.966)</f>
        <v>21.790144150184378</v>
      </c>
    </row>
    <row r="1671" spans="1:16">
      <c r="A1671" s="10">
        <v>41561</v>
      </c>
      <c r="B1671" s="139">
        <v>34.479999999999997</v>
      </c>
      <c r="C1671" s="318">
        <v>33.93</v>
      </c>
      <c r="D1671" s="318">
        <v>32.42</v>
      </c>
      <c r="E1671" s="318">
        <v>31.21</v>
      </c>
      <c r="F1671" s="554">
        <v>34.75</v>
      </c>
      <c r="G1671" s="134">
        <v>21.16</v>
      </c>
      <c r="H1671" s="547">
        <v>57.8</v>
      </c>
      <c r="I1671" s="547">
        <v>29.6</v>
      </c>
      <c r="J1671" s="573">
        <f>(130/5.966)</f>
        <v>21.790144150184378</v>
      </c>
    </row>
    <row r="1672" spans="1:16">
      <c r="A1672" s="567">
        <v>41569</v>
      </c>
      <c r="B1672" s="139">
        <v>33.76</v>
      </c>
      <c r="C1672" s="318">
        <v>33.369999999999997</v>
      </c>
      <c r="D1672" s="318">
        <v>31.86</v>
      </c>
      <c r="E1672" s="318">
        <v>30.63</v>
      </c>
      <c r="F1672" s="554">
        <v>34.549999999999997</v>
      </c>
      <c r="G1672" s="134">
        <v>31.63</v>
      </c>
      <c r="H1672" s="547">
        <v>57.8</v>
      </c>
      <c r="I1672" s="547">
        <v>29.5</v>
      </c>
      <c r="J1672" s="573">
        <f>(130/5.966)</f>
        <v>21.790144150184378</v>
      </c>
      <c r="P1672" s="583">
        <v>21.374200000000002</v>
      </c>
    </row>
    <row r="1673" spans="1:16">
      <c r="A1673" s="10">
        <v>41575</v>
      </c>
      <c r="B1673" s="139">
        <v>32.979999999999997</v>
      </c>
      <c r="C1673" s="318">
        <v>32.6</v>
      </c>
      <c r="D1673" s="318">
        <v>31.11</v>
      </c>
      <c r="E1673" s="318">
        <v>30.14</v>
      </c>
      <c r="F1673" s="554">
        <v>34.549999999999997</v>
      </c>
      <c r="G1673" s="134">
        <v>21.48</v>
      </c>
      <c r="H1673" s="547">
        <v>57.8</v>
      </c>
      <c r="I1673" s="547">
        <v>29.5</v>
      </c>
      <c r="J1673" s="573">
        <f>(130/5.966)</f>
        <v>21.790144150184378</v>
      </c>
    </row>
    <row r="1674" spans="1:16" ht="13.5" thickBot="1">
      <c r="A1674" s="574" t="s">
        <v>482</v>
      </c>
      <c r="B1674" s="575">
        <f t="shared" ref="B1674:H1674" si="164">AVERAGE(B1670:B1673)</f>
        <v>33.797499999999992</v>
      </c>
      <c r="C1674" s="575">
        <f t="shared" si="164"/>
        <v>33.35</v>
      </c>
      <c r="D1674" s="575">
        <f t="shared" si="164"/>
        <v>31.8475</v>
      </c>
      <c r="E1674" s="575">
        <f t="shared" si="164"/>
        <v>30.567499999999999</v>
      </c>
      <c r="F1674" s="575">
        <f t="shared" si="164"/>
        <v>34.65</v>
      </c>
      <c r="G1674" s="575">
        <f t="shared" si="164"/>
        <v>23.857500000000002</v>
      </c>
      <c r="H1674" s="575">
        <f t="shared" si="164"/>
        <v>57.8</v>
      </c>
      <c r="I1674" s="575">
        <f>AVERAGE(I1670:I1673)</f>
        <v>29.5625</v>
      </c>
      <c r="J1674" s="576">
        <f>AVERAGE(J1670:J1673)</f>
        <v>21.790144150184378</v>
      </c>
    </row>
    <row r="1675" spans="1:16" ht="13.5" thickBot="1">
      <c r="N1675" s="583"/>
    </row>
    <row r="1676" spans="1:16">
      <c r="A1676" s="1691" t="s">
        <v>1</v>
      </c>
      <c r="B1676" s="568" t="s">
        <v>139</v>
      </c>
      <c r="C1676" s="568" t="s">
        <v>140</v>
      </c>
      <c r="D1676" s="568" t="s">
        <v>5</v>
      </c>
      <c r="E1676" s="568" t="s">
        <v>6</v>
      </c>
      <c r="F1676" s="569" t="s">
        <v>57</v>
      </c>
      <c r="G1676" s="570" t="s">
        <v>154</v>
      </c>
      <c r="H1676" s="569" t="s">
        <v>149</v>
      </c>
      <c r="I1676" s="570" t="s">
        <v>155</v>
      </c>
      <c r="J1676" s="571" t="s">
        <v>61</v>
      </c>
    </row>
    <row r="1677" spans="1:16" ht="13.5" thickBot="1">
      <c r="A1677" s="1692"/>
      <c r="B1677" s="261" t="s">
        <v>146</v>
      </c>
      <c r="C1677" s="261" t="s">
        <v>146</v>
      </c>
      <c r="D1677" s="261" t="s">
        <v>146</v>
      </c>
      <c r="E1677" s="261" t="s">
        <v>146</v>
      </c>
      <c r="F1677" s="261" t="s">
        <v>146</v>
      </c>
      <c r="G1677" s="261" t="s">
        <v>146</v>
      </c>
      <c r="H1677" s="261" t="s">
        <v>146</v>
      </c>
      <c r="I1677" s="261" t="s">
        <v>146</v>
      </c>
      <c r="J1677" s="572" t="s">
        <v>146</v>
      </c>
    </row>
    <row r="1678" spans="1:16">
      <c r="A1678" s="74">
        <v>41582</v>
      </c>
      <c r="B1678" s="139">
        <v>32.25</v>
      </c>
      <c r="C1678" s="318">
        <v>31.86</v>
      </c>
      <c r="D1678" s="318">
        <v>30.69</v>
      </c>
      <c r="E1678" s="318">
        <v>30.42</v>
      </c>
      <c r="F1678" s="554">
        <v>34.549999999999997</v>
      </c>
      <c r="G1678" s="134">
        <v>21.37</v>
      </c>
      <c r="H1678" s="547">
        <v>57.75</v>
      </c>
      <c r="I1678" s="547">
        <v>29.5</v>
      </c>
      <c r="J1678" s="573">
        <f>(130/5.966)</f>
        <v>21.790144150184378</v>
      </c>
    </row>
    <row r="1679" spans="1:16">
      <c r="A1679" s="10">
        <v>41589</v>
      </c>
      <c r="B1679" s="139">
        <v>31.06</v>
      </c>
      <c r="C1679" s="318">
        <v>30.77</v>
      </c>
      <c r="D1679" s="318">
        <v>29.34</v>
      </c>
      <c r="E1679" s="318">
        <v>29.86</v>
      </c>
      <c r="F1679" s="554">
        <v>34.549999999999997</v>
      </c>
      <c r="G1679" s="134">
        <v>21.37</v>
      </c>
      <c r="H1679" s="547">
        <v>57.75</v>
      </c>
      <c r="I1679" s="547">
        <v>29.5</v>
      </c>
      <c r="J1679" s="573">
        <f>(130/5.966)</f>
        <v>21.790144150184378</v>
      </c>
      <c r="P1679" s="583">
        <v>21.177633333333329</v>
      </c>
    </row>
    <row r="1680" spans="1:16">
      <c r="A1680" s="567">
        <v>41596</v>
      </c>
      <c r="B1680" s="139">
        <v>32.94</v>
      </c>
      <c r="C1680" s="318">
        <v>32.19</v>
      </c>
      <c r="D1680" s="318">
        <v>30.68</v>
      </c>
      <c r="E1680" s="318">
        <v>30.34</v>
      </c>
      <c r="F1680" s="554">
        <v>34.549999999999997</v>
      </c>
      <c r="G1680" s="134">
        <v>21.18</v>
      </c>
      <c r="H1680" s="547">
        <v>57.75</v>
      </c>
      <c r="I1680" s="547">
        <v>29.5</v>
      </c>
      <c r="J1680" s="573">
        <f>(130/5.966)</f>
        <v>21.790144150184378</v>
      </c>
    </row>
    <row r="1681" spans="1:16">
      <c r="A1681" s="10">
        <v>41603</v>
      </c>
      <c r="B1681" s="139">
        <v>34.479999999999997</v>
      </c>
      <c r="C1681" s="318">
        <v>33.9</v>
      </c>
      <c r="D1681" s="318">
        <v>32.43</v>
      </c>
      <c r="E1681" s="318">
        <v>31.29</v>
      </c>
      <c r="F1681" s="554">
        <v>34.549999999999997</v>
      </c>
      <c r="G1681" s="134">
        <v>21.18</v>
      </c>
      <c r="H1681" s="547">
        <v>57.75</v>
      </c>
      <c r="I1681" s="547">
        <v>29.5</v>
      </c>
      <c r="J1681" s="573">
        <f>(130/5.966)</f>
        <v>21.790144150184378</v>
      </c>
    </row>
    <row r="1682" spans="1:16" ht="13.5" thickBot="1">
      <c r="A1682" s="574" t="s">
        <v>483</v>
      </c>
      <c r="B1682" s="575">
        <f t="shared" ref="B1682:H1682" si="165">AVERAGE(B1678:B1681)</f>
        <v>32.682499999999997</v>
      </c>
      <c r="C1682" s="575">
        <f t="shared" si="165"/>
        <v>32.18</v>
      </c>
      <c r="D1682" s="575">
        <f t="shared" si="165"/>
        <v>30.785000000000004</v>
      </c>
      <c r="E1682" s="575">
        <f t="shared" si="165"/>
        <v>30.477499999999999</v>
      </c>
      <c r="F1682" s="575">
        <f t="shared" si="165"/>
        <v>34.549999999999997</v>
      </c>
      <c r="G1682" s="575">
        <f t="shared" si="165"/>
        <v>21.274999999999999</v>
      </c>
      <c r="H1682" s="575">
        <f t="shared" si="165"/>
        <v>57.75</v>
      </c>
      <c r="I1682" s="575">
        <f>AVERAGE(I1678:I1681)</f>
        <v>29.5</v>
      </c>
      <c r="J1682" s="576">
        <f>AVERAGE(J1678:J1681)</f>
        <v>21.790144150184378</v>
      </c>
      <c r="N1682" s="583"/>
    </row>
    <row r="1683" spans="1:16" ht="13.5" thickBot="1">
      <c r="C1683" s="564"/>
      <c r="D1683" s="564"/>
      <c r="E1683" s="564"/>
      <c r="F1683" s="564"/>
      <c r="G1683" s="564"/>
      <c r="H1683" s="548"/>
      <c r="I1683" s="564"/>
    </row>
    <row r="1684" spans="1:16">
      <c r="A1684" s="1691" t="s">
        <v>1</v>
      </c>
      <c r="B1684" s="568" t="s">
        <v>139</v>
      </c>
      <c r="C1684" s="568" t="s">
        <v>140</v>
      </c>
      <c r="D1684" s="568" t="s">
        <v>5</v>
      </c>
      <c r="E1684" s="568" t="s">
        <v>6</v>
      </c>
      <c r="F1684" s="569" t="s">
        <v>57</v>
      </c>
      <c r="G1684" s="570" t="s">
        <v>154</v>
      </c>
      <c r="H1684" s="569" t="s">
        <v>149</v>
      </c>
      <c r="I1684" s="570" t="s">
        <v>155</v>
      </c>
      <c r="J1684" s="571" t="s">
        <v>61</v>
      </c>
    </row>
    <row r="1685" spans="1:16" ht="13.5" thickBot="1">
      <c r="A1685" s="1692"/>
      <c r="B1685" s="261" t="s">
        <v>146</v>
      </c>
      <c r="C1685" s="261" t="s">
        <v>146</v>
      </c>
      <c r="D1685" s="261" t="s">
        <v>146</v>
      </c>
      <c r="E1685" s="261" t="s">
        <v>146</v>
      </c>
      <c r="F1685" s="261" t="s">
        <v>146</v>
      </c>
      <c r="G1685" s="261" t="s">
        <v>146</v>
      </c>
      <c r="H1685" s="261" t="s">
        <v>146</v>
      </c>
      <c r="I1685" s="261" t="s">
        <v>146</v>
      </c>
      <c r="J1685" s="572" t="s">
        <v>146</v>
      </c>
    </row>
    <row r="1686" spans="1:16">
      <c r="A1686" s="74">
        <v>41610</v>
      </c>
      <c r="B1686" s="139">
        <v>34.42</v>
      </c>
      <c r="C1686" s="318">
        <v>33.9</v>
      </c>
      <c r="D1686" s="318">
        <v>32.42</v>
      </c>
      <c r="E1686" s="318">
        <v>31.24</v>
      </c>
      <c r="F1686" s="554">
        <v>34.549999999999997</v>
      </c>
      <c r="G1686" s="134">
        <v>21.24</v>
      </c>
      <c r="H1686" s="547">
        <v>54.63</v>
      </c>
      <c r="I1686" s="547">
        <v>29.5</v>
      </c>
      <c r="J1686" s="573">
        <f>(130/5.966)</f>
        <v>21.790144150184378</v>
      </c>
      <c r="P1686" s="583">
        <v>5.6</v>
      </c>
    </row>
    <row r="1687" spans="1:16" ht="13.5" thickBot="1">
      <c r="A1687" s="10">
        <v>41617</v>
      </c>
      <c r="B1687" s="139">
        <v>34.950000000000003</v>
      </c>
      <c r="C1687" s="318">
        <v>34.49</v>
      </c>
      <c r="D1687" s="318">
        <v>32.950000000000003</v>
      </c>
      <c r="E1687" s="318">
        <v>31.76</v>
      </c>
      <c r="F1687" s="554">
        <v>34.549999999999997</v>
      </c>
      <c r="G1687" s="134">
        <v>21.21</v>
      </c>
      <c r="H1687" s="547">
        <v>54.63</v>
      </c>
      <c r="I1687" s="547">
        <v>29.5</v>
      </c>
      <c r="J1687" s="573">
        <f>(130/5.966)</f>
        <v>21.790144150184378</v>
      </c>
      <c r="P1687" s="583"/>
    </row>
    <row r="1688" spans="1:16">
      <c r="A1688" s="10">
        <v>41624</v>
      </c>
      <c r="B1688" s="139">
        <v>34.72</v>
      </c>
      <c r="C1688" s="318">
        <v>34.299999999999997</v>
      </c>
      <c r="D1688" s="318">
        <v>32.880000000000003</v>
      </c>
      <c r="E1688" s="318">
        <v>31.62</v>
      </c>
      <c r="F1688" s="554">
        <v>34.549999999999997</v>
      </c>
      <c r="G1688" s="134">
        <v>21.2</v>
      </c>
      <c r="H1688" s="547">
        <v>54.63</v>
      </c>
      <c r="I1688" s="547">
        <v>29.5</v>
      </c>
      <c r="J1688" s="573">
        <f>(130/5.966)</f>
        <v>21.790144150184378</v>
      </c>
      <c r="P1688" s="588">
        <v>41610</v>
      </c>
    </row>
    <row r="1689" spans="1:16">
      <c r="A1689" s="567">
        <v>41631</v>
      </c>
      <c r="B1689" s="139">
        <v>34.39</v>
      </c>
      <c r="C1689" s="318">
        <v>33.97</v>
      </c>
      <c r="D1689" s="318">
        <v>32.479999999999997</v>
      </c>
      <c r="E1689" s="318">
        <v>31.39</v>
      </c>
      <c r="F1689" s="554">
        <v>34.549999999999997</v>
      </c>
      <c r="G1689" s="134">
        <v>21.32</v>
      </c>
      <c r="H1689" s="547">
        <v>54.63</v>
      </c>
      <c r="I1689" s="547">
        <v>29</v>
      </c>
      <c r="J1689" s="573">
        <f>(130/5.966)</f>
        <v>21.790144150184378</v>
      </c>
      <c r="P1689" s="587">
        <v>41617</v>
      </c>
    </row>
    <row r="1690" spans="1:16">
      <c r="A1690" s="10">
        <v>41638</v>
      </c>
      <c r="B1690" s="139">
        <v>35.409999999999997</v>
      </c>
      <c r="C1690" s="318">
        <v>34.9</v>
      </c>
      <c r="D1690" s="318">
        <v>33.43</v>
      </c>
      <c r="E1690" s="318">
        <v>31.69</v>
      </c>
      <c r="F1690" s="554">
        <v>34.549999999999997</v>
      </c>
      <c r="G1690" s="134">
        <v>21.35</v>
      </c>
      <c r="H1690" s="547">
        <v>54.63</v>
      </c>
      <c r="I1690" s="547">
        <v>29</v>
      </c>
      <c r="J1690" s="573">
        <f>(140/5.966)</f>
        <v>23.466309084813943</v>
      </c>
      <c r="P1690" s="587">
        <v>41624</v>
      </c>
    </row>
    <row r="1691" spans="1:16" ht="13.5" thickBot="1">
      <c r="A1691" s="574" t="s">
        <v>485</v>
      </c>
      <c r="B1691" s="575">
        <f t="shared" ref="B1691:H1691" si="166">AVERAGE(B1686:B1690)</f>
        <v>34.778000000000006</v>
      </c>
      <c r="C1691" s="575">
        <f t="shared" si="166"/>
        <v>34.311999999999998</v>
      </c>
      <c r="D1691" s="575">
        <f t="shared" si="166"/>
        <v>32.832000000000001</v>
      </c>
      <c r="E1691" s="575">
        <f t="shared" si="166"/>
        <v>31.540000000000003</v>
      </c>
      <c r="F1691" s="575">
        <f t="shared" si="166"/>
        <v>34.549999999999997</v>
      </c>
      <c r="G1691" s="575">
        <f t="shared" si="166"/>
        <v>21.263999999999999</v>
      </c>
      <c r="H1691" s="575">
        <f t="shared" si="166"/>
        <v>54.63000000000001</v>
      </c>
      <c r="I1691" s="575">
        <f>AVERAGE(I1686:I1690)</f>
        <v>29.3</v>
      </c>
      <c r="J1691" s="576">
        <f>AVERAGE(J1686:J1690)</f>
        <v>22.125377137110291</v>
      </c>
      <c r="P1691" s="587">
        <v>41631</v>
      </c>
    </row>
    <row r="1692" spans="1:16" ht="13.5" thickBot="1">
      <c r="A1692" s="564"/>
      <c r="B1692" s="564"/>
      <c r="C1692" s="564"/>
      <c r="D1692" s="564"/>
      <c r="E1692" s="564"/>
      <c r="F1692" s="564"/>
      <c r="G1692" s="564"/>
      <c r="H1692" s="548"/>
      <c r="I1692" s="564"/>
      <c r="J1692" s="564"/>
      <c r="P1692" s="587">
        <v>41638</v>
      </c>
    </row>
    <row r="1693" spans="1:16">
      <c r="A1693" s="1691" t="s">
        <v>1</v>
      </c>
      <c r="B1693" s="568" t="s">
        <v>139</v>
      </c>
      <c r="C1693" s="568" t="s">
        <v>140</v>
      </c>
      <c r="D1693" s="568" t="s">
        <v>5</v>
      </c>
      <c r="E1693" s="568" t="s">
        <v>6</v>
      </c>
      <c r="F1693" s="569" t="s">
        <v>57</v>
      </c>
      <c r="G1693" s="570" t="s">
        <v>154</v>
      </c>
      <c r="H1693" s="569" t="s">
        <v>149</v>
      </c>
      <c r="I1693" s="570" t="s">
        <v>155</v>
      </c>
      <c r="J1693" s="571" t="s">
        <v>61</v>
      </c>
    </row>
    <row r="1694" spans="1:16" ht="13.5" thickBot="1">
      <c r="A1694" s="1692"/>
      <c r="B1694" s="261" t="s">
        <v>146</v>
      </c>
      <c r="C1694" s="261" t="s">
        <v>146</v>
      </c>
      <c r="D1694" s="261" t="s">
        <v>146</v>
      </c>
      <c r="E1694" s="261" t="s">
        <v>146</v>
      </c>
      <c r="F1694" s="261" t="s">
        <v>146</v>
      </c>
      <c r="G1694" s="261" t="s">
        <v>146</v>
      </c>
      <c r="H1694" s="261" t="s">
        <v>146</v>
      </c>
      <c r="I1694" s="261" t="s">
        <v>146</v>
      </c>
      <c r="J1694" s="572" t="s">
        <v>146</v>
      </c>
    </row>
    <row r="1695" spans="1:16">
      <c r="A1695" s="74">
        <v>41645</v>
      </c>
      <c r="B1695" s="139">
        <v>35.270000000000003</v>
      </c>
      <c r="C1695" s="318">
        <v>34.9</v>
      </c>
      <c r="D1695" s="318">
        <v>33.43</v>
      </c>
      <c r="E1695" s="318">
        <v>31.69</v>
      </c>
      <c r="F1695" s="554">
        <v>34.549999999999997</v>
      </c>
      <c r="G1695" s="134">
        <v>21.35</v>
      </c>
      <c r="H1695" s="547">
        <v>54.63</v>
      </c>
      <c r="I1695" s="547">
        <v>29</v>
      </c>
      <c r="J1695" s="573">
        <f>(135/5.966)</f>
        <v>22.628226617499163</v>
      </c>
    </row>
    <row r="1696" spans="1:16">
      <c r="A1696" s="10">
        <v>41652</v>
      </c>
      <c r="B1696" s="139">
        <v>34.53</v>
      </c>
      <c r="C1696" s="318">
        <v>34.33</v>
      </c>
      <c r="D1696" s="318">
        <v>32.869999999999997</v>
      </c>
      <c r="E1696" s="318">
        <v>31.56</v>
      </c>
      <c r="F1696" s="554">
        <v>34.549999999999997</v>
      </c>
      <c r="G1696" s="134">
        <v>21.28</v>
      </c>
      <c r="H1696" s="547">
        <v>54.63</v>
      </c>
      <c r="I1696" s="547">
        <v>29</v>
      </c>
      <c r="J1696" s="573">
        <f>(135/5.966)</f>
        <v>22.628226617499163</v>
      </c>
    </row>
    <row r="1697" spans="1:10">
      <c r="A1697" s="10">
        <v>41659</v>
      </c>
      <c r="B1697" s="139">
        <v>34.020000000000003</v>
      </c>
      <c r="C1697" s="318">
        <v>33.65</v>
      </c>
      <c r="D1697" s="318">
        <v>32.14</v>
      </c>
      <c r="E1697" s="318">
        <v>31.12</v>
      </c>
      <c r="F1697" s="554">
        <v>34.549999999999997</v>
      </c>
      <c r="G1697" s="134">
        <v>21.28</v>
      </c>
      <c r="H1697" s="547">
        <v>54.63</v>
      </c>
      <c r="I1697" s="547">
        <v>29.5</v>
      </c>
      <c r="J1697" s="573">
        <f>(135/5.966)</f>
        <v>22.628226617499163</v>
      </c>
    </row>
    <row r="1698" spans="1:10" ht="13.5" thickBot="1">
      <c r="A1698" s="567">
        <v>41666</v>
      </c>
      <c r="B1698" s="139">
        <v>33.14</v>
      </c>
      <c r="C1698" s="318">
        <v>33.4</v>
      </c>
      <c r="D1698" s="318">
        <v>31.9</v>
      </c>
      <c r="E1698" s="318">
        <v>30.83</v>
      </c>
      <c r="F1698" s="554">
        <v>34.549999999999997</v>
      </c>
      <c r="G1698" s="134">
        <v>21.13</v>
      </c>
      <c r="H1698" s="547">
        <v>54.63</v>
      </c>
      <c r="I1698" s="547">
        <v>29.5</v>
      </c>
      <c r="J1698" s="573">
        <f>(135/5.966)</f>
        <v>22.628226617499163</v>
      </c>
    </row>
    <row r="1699" spans="1:10" ht="13.5" thickBot="1">
      <c r="A1699" s="582" t="s">
        <v>486</v>
      </c>
      <c r="B1699" s="575">
        <f>AVERAGE(B1695:B1698)</f>
        <v>34.240000000000009</v>
      </c>
      <c r="C1699" s="575">
        <f t="shared" ref="C1699:J1699" si="167">AVERAGE(C1695:C1698)</f>
        <v>34.07</v>
      </c>
      <c r="D1699" s="575">
        <f t="shared" si="167"/>
        <v>32.585000000000001</v>
      </c>
      <c r="E1699" s="575">
        <f t="shared" si="167"/>
        <v>31.3</v>
      </c>
      <c r="F1699" s="575">
        <f t="shared" si="167"/>
        <v>34.549999999999997</v>
      </c>
      <c r="G1699" s="575">
        <f t="shared" si="167"/>
        <v>21.26</v>
      </c>
      <c r="H1699" s="575">
        <f t="shared" si="167"/>
        <v>54.63</v>
      </c>
      <c r="I1699" s="575">
        <f t="shared" si="167"/>
        <v>29.25</v>
      </c>
      <c r="J1699" s="575">
        <f t="shared" si="167"/>
        <v>22.628226617499163</v>
      </c>
    </row>
    <row r="1700" spans="1:10" ht="13.5" thickBot="1"/>
    <row r="1701" spans="1:10">
      <c r="A1701" s="1691" t="s">
        <v>1</v>
      </c>
      <c r="B1701" s="568" t="s">
        <v>139</v>
      </c>
      <c r="C1701" s="568" t="s">
        <v>140</v>
      </c>
      <c r="D1701" s="568" t="s">
        <v>5</v>
      </c>
      <c r="E1701" s="568" t="s">
        <v>6</v>
      </c>
      <c r="F1701" s="569" t="s">
        <v>57</v>
      </c>
      <c r="G1701" s="570" t="s">
        <v>154</v>
      </c>
      <c r="H1701" s="569" t="s">
        <v>149</v>
      </c>
      <c r="I1701" s="570" t="s">
        <v>155</v>
      </c>
      <c r="J1701" s="571" t="s">
        <v>61</v>
      </c>
    </row>
    <row r="1702" spans="1:10" ht="13.5" thickBot="1">
      <c r="A1702" s="1692"/>
      <c r="B1702" s="261" t="s">
        <v>146</v>
      </c>
      <c r="C1702" s="261" t="s">
        <v>146</v>
      </c>
      <c r="D1702" s="261" t="s">
        <v>146</v>
      </c>
      <c r="E1702" s="261" t="s">
        <v>146</v>
      </c>
      <c r="F1702" s="261" t="s">
        <v>146</v>
      </c>
      <c r="G1702" s="261" t="s">
        <v>146</v>
      </c>
      <c r="H1702" s="261" t="s">
        <v>146</v>
      </c>
      <c r="I1702" s="261" t="s">
        <v>146</v>
      </c>
      <c r="J1702" s="572" t="s">
        <v>146</v>
      </c>
    </row>
    <row r="1703" spans="1:10">
      <c r="A1703" s="74">
        <v>41673</v>
      </c>
      <c r="B1703" s="139">
        <v>33.82</v>
      </c>
      <c r="C1703" s="318">
        <v>33.4</v>
      </c>
      <c r="D1703" s="318">
        <v>31.9</v>
      </c>
      <c r="E1703" s="318">
        <v>30.83</v>
      </c>
      <c r="F1703" s="554">
        <v>34.549999999999997</v>
      </c>
      <c r="G1703" s="134">
        <v>21.13</v>
      </c>
      <c r="H1703" s="547">
        <v>51.75</v>
      </c>
      <c r="I1703" s="547">
        <v>29.5</v>
      </c>
      <c r="J1703" s="573">
        <f>(135/5.966)</f>
        <v>22.628226617499163</v>
      </c>
    </row>
    <row r="1704" spans="1:10">
      <c r="A1704" s="10">
        <v>41680</v>
      </c>
      <c r="B1704" s="139">
        <v>33.33</v>
      </c>
      <c r="C1704" s="318">
        <v>32.880000000000003</v>
      </c>
      <c r="D1704" s="318">
        <v>31.37</v>
      </c>
      <c r="E1704" s="318">
        <v>30.34</v>
      </c>
      <c r="F1704" s="554">
        <v>34.549999999999997</v>
      </c>
      <c r="G1704" s="134">
        <v>21.07</v>
      </c>
      <c r="H1704" s="547">
        <v>51.75</v>
      </c>
      <c r="I1704" s="547">
        <v>29.5</v>
      </c>
      <c r="J1704" s="573">
        <f>(135/5.966)</f>
        <v>22.628226617499163</v>
      </c>
    </row>
    <row r="1705" spans="1:10">
      <c r="A1705" s="10">
        <v>41687</v>
      </c>
      <c r="B1705" s="139">
        <v>33.31</v>
      </c>
      <c r="C1705" s="318">
        <v>32.81</v>
      </c>
      <c r="D1705" s="318">
        <v>31.32</v>
      </c>
      <c r="E1705" s="318">
        <v>30.28</v>
      </c>
      <c r="F1705" s="554">
        <v>34.549999999999997</v>
      </c>
      <c r="G1705" s="134">
        <v>20.98</v>
      </c>
      <c r="H1705" s="547">
        <v>51.75</v>
      </c>
      <c r="I1705" s="547">
        <v>29.5</v>
      </c>
      <c r="J1705" s="573">
        <f>(140/5.966)</f>
        <v>23.466309084813943</v>
      </c>
    </row>
    <row r="1706" spans="1:10" ht="13.5" thickBot="1">
      <c r="A1706" s="567">
        <v>41694</v>
      </c>
      <c r="B1706" s="139">
        <v>33.979999999999997</v>
      </c>
      <c r="C1706" s="318">
        <v>33.479999999999997</v>
      </c>
      <c r="D1706" s="318">
        <v>31.95</v>
      </c>
      <c r="E1706" s="318">
        <v>30.5</v>
      </c>
      <c r="F1706" s="554">
        <v>34.549999999999997</v>
      </c>
      <c r="G1706" s="134">
        <v>20.91</v>
      </c>
      <c r="H1706" s="547">
        <v>51.75</v>
      </c>
      <c r="I1706" s="547">
        <v>29.5</v>
      </c>
      <c r="J1706" s="573">
        <f>(140/5.966)</f>
        <v>23.466309084813943</v>
      </c>
    </row>
    <row r="1707" spans="1:10" ht="13.5" thickBot="1">
      <c r="A1707" s="582" t="s">
        <v>487</v>
      </c>
      <c r="B1707" s="575">
        <f>AVERAGE(B1703:B1706)</f>
        <v>33.61</v>
      </c>
      <c r="C1707" s="575">
        <f t="shared" ref="C1707:J1707" si="168">AVERAGE(C1703:C1706)</f>
        <v>33.142499999999998</v>
      </c>
      <c r="D1707" s="575">
        <f t="shared" si="168"/>
        <v>31.635000000000002</v>
      </c>
      <c r="E1707" s="575">
        <f t="shared" si="168"/>
        <v>30.487500000000001</v>
      </c>
      <c r="F1707" s="575">
        <f t="shared" si="168"/>
        <v>34.549999999999997</v>
      </c>
      <c r="G1707" s="575">
        <f t="shared" si="168"/>
        <v>21.022500000000001</v>
      </c>
      <c r="H1707" s="575">
        <f t="shared" si="168"/>
        <v>51.75</v>
      </c>
      <c r="I1707" s="575">
        <f t="shared" si="168"/>
        <v>29.5</v>
      </c>
      <c r="J1707" s="575">
        <f t="shared" si="168"/>
        <v>23.047267851156551</v>
      </c>
    </row>
    <row r="1708" spans="1:10" ht="13.5" thickBot="1"/>
    <row r="1709" spans="1:10">
      <c r="A1709" s="1691" t="s">
        <v>1</v>
      </c>
      <c r="B1709" s="568" t="s">
        <v>139</v>
      </c>
      <c r="C1709" s="568" t="s">
        <v>140</v>
      </c>
      <c r="D1709" s="568" t="s">
        <v>5</v>
      </c>
      <c r="E1709" s="568" t="s">
        <v>6</v>
      </c>
      <c r="F1709" s="569" t="s">
        <v>57</v>
      </c>
      <c r="G1709" s="570" t="s">
        <v>154</v>
      </c>
      <c r="H1709" s="569" t="s">
        <v>149</v>
      </c>
      <c r="I1709" s="570" t="s">
        <v>155</v>
      </c>
      <c r="J1709" s="571" t="s">
        <v>61</v>
      </c>
    </row>
    <row r="1710" spans="1:10" ht="13.5" thickBot="1">
      <c r="A1710" s="1692"/>
      <c r="B1710" s="261" t="s">
        <v>146</v>
      </c>
      <c r="C1710" s="261" t="s">
        <v>146</v>
      </c>
      <c r="D1710" s="261" t="s">
        <v>146</v>
      </c>
      <c r="E1710" s="261" t="s">
        <v>146</v>
      </c>
      <c r="F1710" s="261" t="s">
        <v>146</v>
      </c>
      <c r="G1710" s="261" t="s">
        <v>146</v>
      </c>
      <c r="H1710" s="261" t="s">
        <v>146</v>
      </c>
      <c r="I1710" s="261" t="s">
        <v>146</v>
      </c>
      <c r="J1710" s="572" t="s">
        <v>146</v>
      </c>
    </row>
    <row r="1711" spans="1:10">
      <c r="A1711" s="74">
        <v>41701</v>
      </c>
      <c r="B1711" s="139">
        <v>33.979999999999997</v>
      </c>
      <c r="C1711" s="318">
        <v>33.42</v>
      </c>
      <c r="D1711" s="318">
        <v>31.92</v>
      </c>
      <c r="E1711" s="318">
        <v>30.44</v>
      </c>
      <c r="F1711" s="554">
        <v>34.549999999999997</v>
      </c>
      <c r="G1711" s="134">
        <v>20.99</v>
      </c>
      <c r="H1711" s="547">
        <v>51.8</v>
      </c>
      <c r="I1711" s="547">
        <v>29.5</v>
      </c>
      <c r="J1711" s="573">
        <f>(140/5.966)</f>
        <v>23.466309084813943</v>
      </c>
    </row>
    <row r="1712" spans="1:10">
      <c r="A1712" s="10">
        <v>41708</v>
      </c>
      <c r="B1712" s="139">
        <v>34.49</v>
      </c>
      <c r="C1712" s="318">
        <v>33.979999999999997</v>
      </c>
      <c r="D1712" s="318">
        <v>32.51</v>
      </c>
      <c r="E1712" s="318">
        <v>30.92</v>
      </c>
      <c r="F1712" s="554">
        <v>34.549999999999997</v>
      </c>
      <c r="G1712" s="134">
        <v>21.08</v>
      </c>
      <c r="H1712" s="547">
        <v>51.8</v>
      </c>
      <c r="I1712" s="547">
        <v>29.5</v>
      </c>
      <c r="J1712" s="573">
        <f>(140/5.966)</f>
        <v>23.466309084813943</v>
      </c>
    </row>
    <row r="1713" spans="1:10">
      <c r="A1713" s="10">
        <v>41715</v>
      </c>
      <c r="B1713" s="139">
        <v>33.81</v>
      </c>
      <c r="C1713" s="318">
        <v>33.369999999999997</v>
      </c>
      <c r="D1713" s="318">
        <v>31.89</v>
      </c>
      <c r="E1713" s="318">
        <v>29.9</v>
      </c>
      <c r="F1713" s="554">
        <v>34.549999999999997</v>
      </c>
      <c r="G1713" s="134">
        <v>21.05</v>
      </c>
      <c r="H1713" s="547">
        <v>51.8</v>
      </c>
      <c r="I1713" s="547">
        <v>29.5</v>
      </c>
      <c r="J1713" s="573">
        <f>(140/5.966)</f>
        <v>23.466309084813943</v>
      </c>
    </row>
    <row r="1714" spans="1:10">
      <c r="A1714" s="567">
        <v>41722</v>
      </c>
      <c r="B1714" s="139">
        <v>33.78</v>
      </c>
      <c r="C1714" s="318">
        <v>34.07</v>
      </c>
      <c r="D1714" s="318">
        <v>32.61</v>
      </c>
      <c r="E1714" s="318">
        <v>30.58</v>
      </c>
      <c r="F1714" s="554">
        <v>34.549999999999997</v>
      </c>
      <c r="G1714" s="134">
        <v>21.03</v>
      </c>
      <c r="H1714" s="547">
        <v>51.8</v>
      </c>
      <c r="I1714" s="547">
        <v>29.5</v>
      </c>
      <c r="J1714" s="573">
        <f>(140/5.966)</f>
        <v>23.466309084813943</v>
      </c>
    </row>
    <row r="1715" spans="1:10" ht="13.5" thickBot="1">
      <c r="A1715" s="567">
        <v>41729</v>
      </c>
      <c r="B1715" s="139">
        <v>33.799999999999997</v>
      </c>
      <c r="C1715" s="318">
        <v>33.270000000000003</v>
      </c>
      <c r="D1715" s="318">
        <v>31.79</v>
      </c>
      <c r="E1715" s="318">
        <v>29.82</v>
      </c>
      <c r="F1715" s="554">
        <v>34.549999999999997</v>
      </c>
      <c r="G1715" s="134">
        <v>20.75</v>
      </c>
      <c r="H1715" s="547">
        <v>51.8</v>
      </c>
      <c r="I1715" s="547">
        <v>29.5</v>
      </c>
      <c r="J1715" s="573">
        <f>(140/5.966)</f>
        <v>23.466309084813943</v>
      </c>
    </row>
    <row r="1716" spans="1:10" ht="13.5" thickBot="1">
      <c r="A1716" s="582" t="s">
        <v>488</v>
      </c>
      <c r="B1716" s="575">
        <f>AVERAGE(B1711:B1715)</f>
        <v>33.972000000000001</v>
      </c>
      <c r="C1716" s="575">
        <f t="shared" ref="C1716:J1716" si="169">AVERAGE(C1711:C1715)</f>
        <v>33.622</v>
      </c>
      <c r="D1716" s="575">
        <f t="shared" si="169"/>
        <v>32.143999999999998</v>
      </c>
      <c r="E1716" s="575">
        <f t="shared" si="169"/>
        <v>30.332000000000001</v>
      </c>
      <c r="F1716" s="575">
        <f t="shared" si="169"/>
        <v>34.549999999999997</v>
      </c>
      <c r="G1716" s="575">
        <f t="shared" si="169"/>
        <v>20.979999999999997</v>
      </c>
      <c r="H1716" s="575">
        <f t="shared" si="169"/>
        <v>51.8</v>
      </c>
      <c r="I1716" s="575">
        <f t="shared" si="169"/>
        <v>29.5</v>
      </c>
      <c r="J1716" s="575">
        <f t="shared" si="169"/>
        <v>23.466309084813943</v>
      </c>
    </row>
    <row r="1717" spans="1:10" ht="13.5" thickBot="1"/>
    <row r="1718" spans="1:10">
      <c r="A1718" s="1691" t="s">
        <v>1</v>
      </c>
      <c r="B1718" s="568" t="s">
        <v>139</v>
      </c>
      <c r="C1718" s="568" t="s">
        <v>140</v>
      </c>
      <c r="D1718" s="568" t="s">
        <v>5</v>
      </c>
      <c r="E1718" s="568" t="s">
        <v>6</v>
      </c>
      <c r="F1718" s="569" t="s">
        <v>57</v>
      </c>
      <c r="G1718" s="570" t="s">
        <v>154</v>
      </c>
      <c r="H1718" s="569" t="s">
        <v>149</v>
      </c>
      <c r="I1718" s="570" t="s">
        <v>155</v>
      </c>
      <c r="J1718" s="571" t="s">
        <v>61</v>
      </c>
    </row>
    <row r="1719" spans="1:10">
      <c r="A1719" s="1692"/>
      <c r="B1719" s="261" t="s">
        <v>146</v>
      </c>
      <c r="C1719" s="261" t="s">
        <v>146</v>
      </c>
      <c r="D1719" s="261" t="s">
        <v>146</v>
      </c>
      <c r="E1719" s="261" t="s">
        <v>146</v>
      </c>
      <c r="F1719" s="261" t="s">
        <v>146</v>
      </c>
      <c r="G1719" s="261" t="s">
        <v>146</v>
      </c>
      <c r="H1719" s="261" t="s">
        <v>146</v>
      </c>
      <c r="I1719" s="261" t="s">
        <v>146</v>
      </c>
      <c r="J1719" s="572" t="s">
        <v>146</v>
      </c>
    </row>
    <row r="1720" spans="1:10">
      <c r="A1720" s="10">
        <v>41736</v>
      </c>
      <c r="B1720" s="139">
        <v>34.31</v>
      </c>
      <c r="C1720" s="318">
        <v>33.81</v>
      </c>
      <c r="D1720" s="318">
        <v>32.299999999999997</v>
      </c>
      <c r="E1720" s="318">
        <v>30.3</v>
      </c>
      <c r="F1720" s="554">
        <v>34.549999999999997</v>
      </c>
      <c r="G1720" s="134">
        <v>21</v>
      </c>
      <c r="H1720" s="547">
        <v>53.67</v>
      </c>
      <c r="I1720" s="547">
        <v>29.5</v>
      </c>
      <c r="J1720" s="573">
        <v>23.466309084813943</v>
      </c>
    </row>
    <row r="1721" spans="1:10">
      <c r="A1721" s="10">
        <v>41743</v>
      </c>
      <c r="B1721" s="139">
        <v>34.950000000000003</v>
      </c>
      <c r="C1721" s="318">
        <v>34.479999999999997</v>
      </c>
      <c r="D1721" s="318">
        <v>32.99</v>
      </c>
      <c r="E1721" s="318">
        <v>30.28</v>
      </c>
      <c r="F1721" s="554">
        <v>34.549999999999997</v>
      </c>
      <c r="G1721" s="134">
        <v>21.01</v>
      </c>
      <c r="H1721" s="547">
        <v>53.67</v>
      </c>
      <c r="I1721" s="547">
        <v>29.5</v>
      </c>
      <c r="J1721" s="573">
        <v>23.466309084813943</v>
      </c>
    </row>
    <row r="1722" spans="1:10">
      <c r="A1722" s="10">
        <v>41750</v>
      </c>
      <c r="B1722" s="139">
        <v>34.979999999999997</v>
      </c>
      <c r="C1722" s="318">
        <v>34.49</v>
      </c>
      <c r="D1722" s="318">
        <v>32.97</v>
      </c>
      <c r="E1722" s="318">
        <v>30.26</v>
      </c>
      <c r="F1722" s="554">
        <v>34.549999999999997</v>
      </c>
      <c r="G1722" s="134">
        <v>21.47</v>
      </c>
      <c r="H1722" s="547">
        <v>53.67</v>
      </c>
      <c r="I1722" s="547">
        <v>29.5</v>
      </c>
      <c r="J1722" s="573">
        <v>23.466309084813943</v>
      </c>
    </row>
    <row r="1723" spans="1:10" ht="13.5" thickBot="1">
      <c r="A1723" s="10">
        <v>41757</v>
      </c>
      <c r="B1723" s="139">
        <v>34.97</v>
      </c>
      <c r="C1723" s="318">
        <v>34.49</v>
      </c>
      <c r="D1723" s="318">
        <v>32.97</v>
      </c>
      <c r="E1723" s="318">
        <v>30.9</v>
      </c>
      <c r="F1723" s="554">
        <v>34.549999999999997</v>
      </c>
      <c r="G1723" s="134">
        <v>21.34</v>
      </c>
      <c r="H1723" s="547">
        <v>53.67</v>
      </c>
      <c r="I1723" s="547">
        <v>29.5</v>
      </c>
      <c r="J1723" s="573">
        <v>23.466309084813943</v>
      </c>
    </row>
    <row r="1724" spans="1:10" ht="13.5" thickBot="1">
      <c r="A1724" s="582" t="s">
        <v>489</v>
      </c>
      <c r="B1724" s="575">
        <f t="shared" ref="B1724:H1724" si="170">AVERAGE(B1720:B1723)</f>
        <v>34.802500000000002</v>
      </c>
      <c r="C1724" s="575">
        <f t="shared" si="170"/>
        <v>34.317500000000003</v>
      </c>
      <c r="D1724" s="575">
        <f t="shared" si="170"/>
        <v>32.807499999999997</v>
      </c>
      <c r="E1724" s="575">
        <f t="shared" si="170"/>
        <v>30.435000000000002</v>
      </c>
      <c r="F1724" s="575">
        <f t="shared" si="170"/>
        <v>34.549999999999997</v>
      </c>
      <c r="G1724" s="575">
        <f t="shared" si="170"/>
        <v>21.205000000000002</v>
      </c>
      <c r="H1724" s="575">
        <f t="shared" si="170"/>
        <v>53.67</v>
      </c>
      <c r="I1724" s="575">
        <f>AVERAGE(I1720:I1723)</f>
        <v>29.5</v>
      </c>
      <c r="J1724" s="575">
        <v>23.466309084813943</v>
      </c>
    </row>
    <row r="1725" spans="1:10" s="564" customFormat="1" ht="13.5" thickBot="1">
      <c r="H1725" s="548"/>
    </row>
    <row r="1726" spans="1:10" s="564" customFormat="1">
      <c r="A1726" s="1691" t="s">
        <v>1</v>
      </c>
      <c r="B1726" s="568" t="s">
        <v>139</v>
      </c>
      <c r="C1726" s="568" t="s">
        <v>140</v>
      </c>
      <c r="D1726" s="568" t="s">
        <v>5</v>
      </c>
      <c r="E1726" s="568" t="s">
        <v>6</v>
      </c>
      <c r="F1726" s="569" t="s">
        <v>57</v>
      </c>
      <c r="G1726" s="570" t="s">
        <v>154</v>
      </c>
      <c r="H1726" s="569" t="s">
        <v>149</v>
      </c>
      <c r="I1726" s="570" t="s">
        <v>155</v>
      </c>
      <c r="J1726" s="571" t="s">
        <v>61</v>
      </c>
    </row>
    <row r="1727" spans="1:10" s="564" customFormat="1">
      <c r="A1727" s="1692"/>
      <c r="B1727" s="261" t="s">
        <v>146</v>
      </c>
      <c r="C1727" s="261" t="s">
        <v>146</v>
      </c>
      <c r="D1727" s="261" t="s">
        <v>146</v>
      </c>
      <c r="E1727" s="261" t="s">
        <v>146</v>
      </c>
      <c r="F1727" s="261" t="s">
        <v>146</v>
      </c>
      <c r="G1727" s="261" t="s">
        <v>146</v>
      </c>
      <c r="H1727" s="261" t="s">
        <v>146</v>
      </c>
      <c r="I1727" s="261" t="s">
        <v>146</v>
      </c>
      <c r="J1727" s="572" t="s">
        <v>146</v>
      </c>
    </row>
    <row r="1728" spans="1:10" s="564" customFormat="1">
      <c r="A1728" s="10">
        <v>41764</v>
      </c>
      <c r="B1728" s="139">
        <v>34.950000000000003</v>
      </c>
      <c r="C1728" s="318">
        <v>34.479999999999997</v>
      </c>
      <c r="D1728" s="318">
        <v>32.97</v>
      </c>
      <c r="E1728" s="318">
        <v>30.88</v>
      </c>
      <c r="F1728" s="554">
        <v>34.549999999999997</v>
      </c>
      <c r="G1728" s="134">
        <v>21.36</v>
      </c>
      <c r="H1728" s="547">
        <v>54.2</v>
      </c>
      <c r="I1728" s="547">
        <v>29.5</v>
      </c>
      <c r="J1728" s="573">
        <v>23.466309084813943</v>
      </c>
    </row>
    <row r="1729" spans="1:10" s="564" customFormat="1">
      <c r="A1729" s="10">
        <v>41771</v>
      </c>
      <c r="B1729" s="139">
        <v>34.54</v>
      </c>
      <c r="C1729" s="318">
        <v>34.01</v>
      </c>
      <c r="D1729" s="318">
        <v>32.520000000000003</v>
      </c>
      <c r="E1729" s="318">
        <v>30.48</v>
      </c>
      <c r="F1729" s="554">
        <v>34.549999999999997</v>
      </c>
      <c r="G1729" s="134">
        <v>21</v>
      </c>
      <c r="H1729" s="547">
        <v>54.2</v>
      </c>
      <c r="I1729" s="547">
        <v>29.5</v>
      </c>
      <c r="J1729" s="573">
        <v>23.466309084813943</v>
      </c>
    </row>
    <row r="1730" spans="1:10" s="564" customFormat="1">
      <c r="A1730" s="10">
        <v>41778</v>
      </c>
      <c r="B1730" s="139">
        <v>33.85</v>
      </c>
      <c r="C1730" s="318">
        <v>34.17</v>
      </c>
      <c r="D1730" s="318">
        <v>32.67</v>
      </c>
      <c r="E1730" s="318">
        <v>30.66</v>
      </c>
      <c r="F1730" s="554">
        <v>34.549999999999997</v>
      </c>
      <c r="G1730" s="134">
        <v>20.98</v>
      </c>
      <c r="H1730" s="547">
        <v>54.2</v>
      </c>
      <c r="I1730" s="547">
        <v>29.5</v>
      </c>
      <c r="J1730" s="573">
        <v>23.466309084813943</v>
      </c>
    </row>
    <row r="1731" spans="1:10" s="564" customFormat="1" ht="13.5" thickBot="1">
      <c r="A1731" s="10">
        <v>41785</v>
      </c>
      <c r="B1731" s="139">
        <v>35.090000000000003</v>
      </c>
      <c r="C1731" s="318">
        <v>34.58</v>
      </c>
      <c r="D1731" s="318">
        <v>33.08</v>
      </c>
      <c r="E1731" s="318">
        <v>31.04</v>
      </c>
      <c r="F1731" s="554">
        <v>34.549999999999997</v>
      </c>
      <c r="G1731" s="134">
        <v>21.16</v>
      </c>
      <c r="H1731" s="547">
        <v>54.2</v>
      </c>
      <c r="I1731" s="547">
        <v>29.5</v>
      </c>
      <c r="J1731" s="573">
        <v>23.466309084813943</v>
      </c>
    </row>
    <row r="1732" spans="1:10" s="564" customFormat="1" ht="13.5" thickBot="1">
      <c r="A1732" s="582" t="s">
        <v>490</v>
      </c>
      <c r="B1732" s="575">
        <f t="shared" ref="B1732:H1732" si="171">AVERAGE(B1728:B1731)</f>
        <v>34.607500000000002</v>
      </c>
      <c r="C1732" s="575">
        <f t="shared" si="171"/>
        <v>34.31</v>
      </c>
      <c r="D1732" s="575">
        <f t="shared" si="171"/>
        <v>32.81</v>
      </c>
      <c r="E1732" s="575">
        <f t="shared" si="171"/>
        <v>30.765000000000001</v>
      </c>
      <c r="F1732" s="575">
        <f t="shared" si="171"/>
        <v>34.549999999999997</v>
      </c>
      <c r="G1732" s="575">
        <f t="shared" si="171"/>
        <v>21.125</v>
      </c>
      <c r="H1732" s="575">
        <f t="shared" si="171"/>
        <v>54.2</v>
      </c>
      <c r="I1732" s="575">
        <f>AVERAGE(I1728:I1731)</f>
        <v>29.5</v>
      </c>
      <c r="J1732" s="575">
        <v>23.466309084813943</v>
      </c>
    </row>
    <row r="1733" spans="1:10" s="564" customFormat="1" ht="13.5" thickBot="1">
      <c r="H1733" s="548"/>
    </row>
    <row r="1734" spans="1:10" s="564" customFormat="1">
      <c r="A1734" s="1691" t="s">
        <v>1</v>
      </c>
      <c r="B1734" s="568" t="s">
        <v>139</v>
      </c>
      <c r="C1734" s="568" t="s">
        <v>140</v>
      </c>
      <c r="D1734" s="568" t="s">
        <v>5</v>
      </c>
      <c r="E1734" s="568" t="s">
        <v>6</v>
      </c>
      <c r="F1734" s="569" t="s">
        <v>57</v>
      </c>
      <c r="G1734" s="570" t="s">
        <v>154</v>
      </c>
      <c r="H1734" s="569" t="s">
        <v>149</v>
      </c>
      <c r="I1734" s="570" t="s">
        <v>155</v>
      </c>
      <c r="J1734" s="571" t="s">
        <v>61</v>
      </c>
    </row>
    <row r="1735" spans="1:10" s="564" customFormat="1">
      <c r="A1735" s="1692"/>
      <c r="B1735" s="261" t="s">
        <v>146</v>
      </c>
      <c r="C1735" s="261" t="s">
        <v>146</v>
      </c>
      <c r="D1735" s="261" t="s">
        <v>146</v>
      </c>
      <c r="E1735" s="261" t="s">
        <v>146</v>
      </c>
      <c r="F1735" s="261" t="s">
        <v>146</v>
      </c>
      <c r="G1735" s="261" t="s">
        <v>146</v>
      </c>
      <c r="H1735" s="261" t="s">
        <v>146</v>
      </c>
      <c r="I1735" s="261" t="s">
        <v>146</v>
      </c>
      <c r="J1735" s="572" t="s">
        <v>146</v>
      </c>
    </row>
    <row r="1736" spans="1:10" s="564" customFormat="1">
      <c r="A1736" s="10">
        <v>41792</v>
      </c>
      <c r="B1736" s="139">
        <v>34.270000000000003</v>
      </c>
      <c r="C1736" s="318">
        <v>33.86</v>
      </c>
      <c r="D1736" s="318">
        <v>32.29</v>
      </c>
      <c r="E1736" s="318">
        <v>30.28</v>
      </c>
      <c r="F1736" s="554">
        <v>34.549999999999997</v>
      </c>
      <c r="G1736" s="134">
        <v>21.19</v>
      </c>
      <c r="H1736" s="547">
        <v>53.68</v>
      </c>
      <c r="I1736" s="547">
        <v>29.5</v>
      </c>
      <c r="J1736" s="573">
        <v>23.466309084813943</v>
      </c>
    </row>
    <row r="1737" spans="1:10" s="564" customFormat="1">
      <c r="A1737" s="10">
        <v>41799</v>
      </c>
      <c r="B1737" s="139">
        <v>35.28</v>
      </c>
      <c r="C1737" s="318">
        <v>34.79</v>
      </c>
      <c r="D1737" s="318">
        <v>33.29</v>
      </c>
      <c r="E1737" s="318">
        <v>30.25</v>
      </c>
      <c r="F1737" s="554">
        <v>34.549999999999997</v>
      </c>
      <c r="G1737" s="134">
        <v>21.2</v>
      </c>
      <c r="H1737" s="547">
        <v>53.68</v>
      </c>
      <c r="I1737" s="547">
        <v>29.5</v>
      </c>
      <c r="J1737" s="573">
        <v>23.466309084813943</v>
      </c>
    </row>
    <row r="1738" spans="1:10" s="564" customFormat="1">
      <c r="A1738" s="10">
        <v>41806</v>
      </c>
      <c r="B1738" s="139">
        <v>34.86</v>
      </c>
      <c r="C1738" s="318">
        <v>34.47</v>
      </c>
      <c r="D1738" s="318">
        <v>32.979999999999997</v>
      </c>
      <c r="E1738" s="318">
        <v>29.92</v>
      </c>
      <c r="F1738" s="554">
        <v>34.549999999999997</v>
      </c>
      <c r="G1738" s="134">
        <v>21.16</v>
      </c>
      <c r="H1738" s="547">
        <v>53.68</v>
      </c>
      <c r="I1738" s="547">
        <v>29.5</v>
      </c>
      <c r="J1738" s="573">
        <v>23.466309084813943</v>
      </c>
    </row>
    <row r="1739" spans="1:10" s="564" customFormat="1" ht="13.5" thickBot="1">
      <c r="A1739" s="10">
        <v>41813</v>
      </c>
      <c r="B1739" s="139">
        <v>35.659999999999997</v>
      </c>
      <c r="C1739" s="318">
        <v>35.340000000000003</v>
      </c>
      <c r="D1739" s="318">
        <v>33.86</v>
      </c>
      <c r="E1739" s="318">
        <v>30.68</v>
      </c>
      <c r="F1739" s="554">
        <v>34.549999999999997</v>
      </c>
      <c r="G1739" s="134">
        <v>21.29</v>
      </c>
      <c r="H1739" s="547">
        <v>53.68</v>
      </c>
      <c r="I1739" s="547">
        <v>29.5</v>
      </c>
      <c r="J1739" s="573">
        <v>23.466309084813943</v>
      </c>
    </row>
    <row r="1740" spans="1:10" s="564" customFormat="1" ht="13.5" thickBot="1">
      <c r="A1740" s="582" t="s">
        <v>491</v>
      </c>
      <c r="B1740" s="575">
        <f t="shared" ref="B1740:H1740" si="172">AVERAGE(B1736:B1739)</f>
        <v>35.017499999999998</v>
      </c>
      <c r="C1740" s="575">
        <f t="shared" si="172"/>
        <v>34.615000000000002</v>
      </c>
      <c r="D1740" s="575">
        <f t="shared" si="172"/>
        <v>33.105000000000004</v>
      </c>
      <c r="E1740" s="575">
        <f t="shared" si="172"/>
        <v>30.282499999999999</v>
      </c>
      <c r="F1740" s="575">
        <f t="shared" si="172"/>
        <v>34.549999999999997</v>
      </c>
      <c r="G1740" s="575">
        <f t="shared" si="172"/>
        <v>21.21</v>
      </c>
      <c r="H1740" s="575">
        <f t="shared" si="172"/>
        <v>53.68</v>
      </c>
      <c r="I1740" s="575">
        <f>AVERAGE(I1736:I1739)</f>
        <v>29.5</v>
      </c>
      <c r="J1740" s="575">
        <v>23.466309084813943</v>
      </c>
    </row>
    <row r="1741" spans="1:10" s="564" customFormat="1" ht="13.5" thickBot="1">
      <c r="H1741" s="548"/>
    </row>
    <row r="1742" spans="1:10" s="564" customFormat="1">
      <c r="A1742" s="1691" t="s">
        <v>1</v>
      </c>
      <c r="B1742" s="568" t="s">
        <v>139</v>
      </c>
      <c r="C1742" s="568" t="s">
        <v>140</v>
      </c>
      <c r="D1742" s="568" t="s">
        <v>5</v>
      </c>
      <c r="E1742" s="568" t="s">
        <v>6</v>
      </c>
      <c r="F1742" s="569" t="s">
        <v>57</v>
      </c>
      <c r="G1742" s="570" t="s">
        <v>154</v>
      </c>
      <c r="H1742" s="569" t="s">
        <v>149</v>
      </c>
      <c r="I1742" s="570" t="s">
        <v>155</v>
      </c>
      <c r="J1742" s="571" t="s">
        <v>61</v>
      </c>
    </row>
    <row r="1743" spans="1:10" s="564" customFormat="1">
      <c r="A1743" s="1692"/>
      <c r="B1743" s="261" t="s">
        <v>146</v>
      </c>
      <c r="C1743" s="261" t="s">
        <v>146</v>
      </c>
      <c r="D1743" s="261" t="s">
        <v>146</v>
      </c>
      <c r="E1743" s="261" t="s">
        <v>146</v>
      </c>
      <c r="F1743" s="261" t="s">
        <v>146</v>
      </c>
      <c r="G1743" s="261" t="s">
        <v>146</v>
      </c>
      <c r="H1743" s="261" t="s">
        <v>146</v>
      </c>
      <c r="I1743" s="261" t="s">
        <v>146</v>
      </c>
      <c r="J1743" s="572" t="s">
        <v>146</v>
      </c>
    </row>
    <row r="1744" spans="1:10" s="564" customFormat="1">
      <c r="A1744" s="10">
        <v>41822</v>
      </c>
      <c r="B1744" s="139">
        <v>35.68</v>
      </c>
      <c r="C1744" s="318">
        <v>35.369999999999997</v>
      </c>
      <c r="D1744" s="318">
        <v>33.899000000000001</v>
      </c>
      <c r="E1744" s="318">
        <v>30.64</v>
      </c>
      <c r="F1744" s="554">
        <v>34.549999999999997</v>
      </c>
      <c r="G1744" s="134">
        <v>21.29</v>
      </c>
      <c r="H1744" s="547">
        <v>53.15</v>
      </c>
      <c r="I1744" s="547">
        <v>29.5</v>
      </c>
      <c r="J1744" s="573">
        <v>23.466309084813943</v>
      </c>
    </row>
    <row r="1745" spans="1:10" s="564" customFormat="1">
      <c r="A1745" s="10">
        <v>41827</v>
      </c>
      <c r="B1745" s="139">
        <v>35.520000000000003</v>
      </c>
      <c r="C1745" s="318">
        <v>35.08</v>
      </c>
      <c r="D1745" s="318">
        <v>33.630000000000003</v>
      </c>
      <c r="E1745" s="318">
        <v>30.43</v>
      </c>
      <c r="F1745" s="554">
        <v>34.549999999999997</v>
      </c>
      <c r="G1745" s="134">
        <v>21.38</v>
      </c>
      <c r="H1745" s="547">
        <v>53.15</v>
      </c>
      <c r="I1745" s="547">
        <v>29.5</v>
      </c>
      <c r="J1745" s="573">
        <v>23.466309084813943</v>
      </c>
    </row>
    <row r="1746" spans="1:10" s="564" customFormat="1">
      <c r="A1746" s="10">
        <v>41834</v>
      </c>
      <c r="B1746" s="139">
        <v>35.520000000000003</v>
      </c>
      <c r="C1746" s="318">
        <v>34.99</v>
      </c>
      <c r="D1746" s="318">
        <v>33.520000000000003</v>
      </c>
      <c r="E1746" s="318">
        <v>30.11</v>
      </c>
      <c r="F1746" s="554">
        <v>34.549999999999997</v>
      </c>
      <c r="G1746" s="134">
        <v>21.48</v>
      </c>
      <c r="H1746" s="547">
        <v>53.15</v>
      </c>
      <c r="I1746" s="547">
        <v>29.5</v>
      </c>
      <c r="J1746" s="573">
        <v>23.466309084813943</v>
      </c>
    </row>
    <row r="1747" spans="1:10">
      <c r="A1747" s="10">
        <v>41841</v>
      </c>
      <c r="B1747" s="139">
        <v>35.020000000000003</v>
      </c>
      <c r="C1747" s="318">
        <v>34.56</v>
      </c>
      <c r="D1747" s="318">
        <v>33.049999999999997</v>
      </c>
      <c r="E1747" s="318">
        <v>29.94</v>
      </c>
      <c r="F1747" s="554">
        <v>34.549999999999997</v>
      </c>
      <c r="G1747" s="134">
        <v>21.55</v>
      </c>
      <c r="H1747" s="547">
        <v>53.15</v>
      </c>
      <c r="I1747" s="547">
        <v>29.5</v>
      </c>
      <c r="J1747" s="573">
        <v>23.466309084813943</v>
      </c>
    </row>
    <row r="1748" spans="1:10" ht="13.5" thickBot="1">
      <c r="A1748" s="10">
        <v>41848</v>
      </c>
      <c r="B1748" s="139">
        <v>34.520000000000003</v>
      </c>
      <c r="C1748" s="318">
        <v>34.049999999999997</v>
      </c>
      <c r="D1748" s="318">
        <v>32.56</v>
      </c>
      <c r="E1748" s="318">
        <v>29.59</v>
      </c>
      <c r="F1748" s="554">
        <v>34.549999999999997</v>
      </c>
      <c r="G1748" s="134">
        <v>21.92</v>
      </c>
      <c r="H1748" s="547">
        <v>53.15</v>
      </c>
      <c r="I1748" s="547">
        <v>29.5</v>
      </c>
      <c r="J1748" s="573">
        <v>23.466309084813943</v>
      </c>
    </row>
    <row r="1749" spans="1:10" ht="13.5" thickBot="1">
      <c r="A1749" s="582" t="s">
        <v>492</v>
      </c>
      <c r="B1749" s="575">
        <f t="shared" ref="B1749:H1749" si="173">AVERAGE(B1744:B1748)</f>
        <v>35.252000000000002</v>
      </c>
      <c r="C1749" s="575">
        <f t="shared" si="173"/>
        <v>34.81</v>
      </c>
      <c r="D1749" s="575">
        <f t="shared" si="173"/>
        <v>33.331800000000001</v>
      </c>
      <c r="E1749" s="575">
        <f t="shared" si="173"/>
        <v>30.142000000000003</v>
      </c>
      <c r="F1749" s="575">
        <f t="shared" si="173"/>
        <v>34.549999999999997</v>
      </c>
      <c r="G1749" s="575">
        <f t="shared" si="173"/>
        <v>21.524000000000001</v>
      </c>
      <c r="H1749" s="575">
        <f t="shared" si="173"/>
        <v>53.15</v>
      </c>
      <c r="I1749" s="575">
        <f>AVERAGE(I1744:I1748)</f>
        <v>29.5</v>
      </c>
      <c r="J1749" s="575">
        <v>23.466309084813943</v>
      </c>
    </row>
    <row r="1750" spans="1:10" ht="13.5" thickBot="1">
      <c r="A1750" s="564"/>
      <c r="B1750" s="564"/>
      <c r="C1750" s="564"/>
      <c r="D1750" s="564"/>
      <c r="E1750" s="564"/>
      <c r="F1750" s="564"/>
      <c r="G1750" s="564"/>
      <c r="H1750" s="548"/>
      <c r="I1750" s="564"/>
      <c r="J1750" s="564"/>
    </row>
    <row r="1751" spans="1:10">
      <c r="A1751" s="1691" t="s">
        <v>1</v>
      </c>
      <c r="B1751" s="568" t="s">
        <v>139</v>
      </c>
      <c r="C1751" s="568" t="s">
        <v>140</v>
      </c>
      <c r="D1751" s="568" t="s">
        <v>5</v>
      </c>
      <c r="E1751" s="568" t="s">
        <v>6</v>
      </c>
      <c r="F1751" s="569" t="s">
        <v>57</v>
      </c>
      <c r="G1751" s="570" t="s">
        <v>154</v>
      </c>
      <c r="H1751" s="569" t="s">
        <v>149</v>
      </c>
      <c r="I1751" s="570" t="s">
        <v>155</v>
      </c>
      <c r="J1751" s="571" t="s">
        <v>61</v>
      </c>
    </row>
    <row r="1752" spans="1:10">
      <c r="A1752" s="1692"/>
      <c r="B1752" s="261" t="s">
        <v>146</v>
      </c>
      <c r="C1752" s="261" t="s">
        <v>146</v>
      </c>
      <c r="D1752" s="261" t="s">
        <v>146</v>
      </c>
      <c r="E1752" s="261" t="s">
        <v>146</v>
      </c>
      <c r="F1752" s="261" t="s">
        <v>146</v>
      </c>
      <c r="G1752" s="261" t="s">
        <v>146</v>
      </c>
      <c r="H1752" s="261" t="s">
        <v>146</v>
      </c>
      <c r="I1752" s="261" t="s">
        <v>146</v>
      </c>
      <c r="J1752" s="572" t="s">
        <v>146</v>
      </c>
    </row>
    <row r="1753" spans="1:10">
      <c r="A1753" s="10">
        <v>41855</v>
      </c>
      <c r="B1753" s="139">
        <v>34.049999999999997</v>
      </c>
      <c r="C1753" s="139">
        <v>33.64</v>
      </c>
      <c r="D1753" s="139">
        <v>32.14</v>
      </c>
      <c r="E1753" s="139">
        <v>29.44</v>
      </c>
      <c r="F1753" s="139">
        <v>34.549999999999997</v>
      </c>
      <c r="G1753" s="139">
        <v>24</v>
      </c>
      <c r="H1753" s="139">
        <v>53.15</v>
      </c>
      <c r="I1753" s="139">
        <v>29.5</v>
      </c>
      <c r="J1753" s="139">
        <v>23.466309084813943</v>
      </c>
    </row>
    <row r="1754" spans="1:10">
      <c r="A1754" s="10">
        <v>41862</v>
      </c>
      <c r="B1754" s="139">
        <v>33.520000000000003</v>
      </c>
      <c r="C1754" s="318">
        <v>33.090000000000003</v>
      </c>
      <c r="D1754" s="318">
        <v>31.62</v>
      </c>
      <c r="E1754" s="318">
        <v>29.08</v>
      </c>
      <c r="F1754" s="554">
        <v>34.549999999999997</v>
      </c>
      <c r="G1754" s="134">
        <v>24.8</v>
      </c>
      <c r="H1754" s="547">
        <v>53.15</v>
      </c>
      <c r="I1754" s="547">
        <v>29.5</v>
      </c>
      <c r="J1754" s="573">
        <v>23.466309084813943</v>
      </c>
    </row>
    <row r="1755" spans="1:10">
      <c r="A1755" s="10">
        <v>41869</v>
      </c>
      <c r="B1755" s="139">
        <v>33.520000000000003</v>
      </c>
      <c r="C1755" s="318">
        <v>33.090000000000003</v>
      </c>
      <c r="D1755" s="318">
        <v>31.61</v>
      </c>
      <c r="E1755" s="318">
        <v>29.96</v>
      </c>
      <c r="F1755" s="554">
        <v>34.549999999999997</v>
      </c>
      <c r="G1755" s="134">
        <v>22.48</v>
      </c>
      <c r="H1755" s="547">
        <v>53.15</v>
      </c>
      <c r="I1755" s="547">
        <v>29.5</v>
      </c>
      <c r="J1755" s="573">
        <v>23.466309084813943</v>
      </c>
    </row>
    <row r="1756" spans="1:10" ht="13.5" thickBot="1">
      <c r="A1756" s="10">
        <v>41876</v>
      </c>
      <c r="B1756" s="139">
        <v>33.520000000000003</v>
      </c>
      <c r="C1756" s="318">
        <v>33.03</v>
      </c>
      <c r="D1756" s="318">
        <v>31.53</v>
      </c>
      <c r="E1756" s="318">
        <v>29.97</v>
      </c>
      <c r="F1756" s="554">
        <v>34.549999999999997</v>
      </c>
      <c r="G1756" s="134">
        <v>21.5</v>
      </c>
      <c r="H1756" s="547">
        <v>53.15</v>
      </c>
      <c r="I1756" s="547">
        <v>29.5</v>
      </c>
      <c r="J1756" s="573">
        <v>23.466309084813943</v>
      </c>
    </row>
    <row r="1757" spans="1:10" ht="13.5" thickBot="1">
      <c r="A1757" s="582" t="s">
        <v>493</v>
      </c>
      <c r="B1757" s="575">
        <f t="shared" ref="B1757:I1757" si="174">AVERAGE(B1754:B1756)</f>
        <v>33.520000000000003</v>
      </c>
      <c r="C1757" s="575">
        <f t="shared" si="174"/>
        <v>33.07</v>
      </c>
      <c r="D1757" s="575">
        <f t="shared" si="174"/>
        <v>31.58666666666667</v>
      </c>
      <c r="E1757" s="575">
        <f t="shared" si="174"/>
        <v>29.669999999999998</v>
      </c>
      <c r="F1757" s="575">
        <f t="shared" si="174"/>
        <v>34.549999999999997</v>
      </c>
      <c r="G1757" s="575">
        <f t="shared" si="174"/>
        <v>22.926666666666666</v>
      </c>
      <c r="H1757" s="575">
        <f t="shared" si="174"/>
        <v>53.15</v>
      </c>
      <c r="I1757" s="575">
        <f t="shared" si="174"/>
        <v>29.5</v>
      </c>
      <c r="J1757" s="575">
        <v>23.466309084813943</v>
      </c>
    </row>
    <row r="1758" spans="1:10" ht="13.5" thickBot="1">
      <c r="A1758" s="564"/>
      <c r="B1758" s="564"/>
      <c r="C1758" s="564"/>
      <c r="D1758" s="564"/>
      <c r="E1758" s="564"/>
      <c r="F1758" s="564"/>
      <c r="G1758" s="564"/>
      <c r="H1758" s="548"/>
      <c r="I1758" s="564"/>
      <c r="J1758" s="564"/>
    </row>
    <row r="1759" spans="1:10">
      <c r="A1759" s="1691" t="s">
        <v>1</v>
      </c>
      <c r="B1759" s="568" t="s">
        <v>139</v>
      </c>
      <c r="C1759" s="568" t="s">
        <v>140</v>
      </c>
      <c r="D1759" s="568" t="s">
        <v>5</v>
      </c>
      <c r="E1759" s="568" t="s">
        <v>6</v>
      </c>
      <c r="F1759" s="569" t="s">
        <v>57</v>
      </c>
      <c r="G1759" s="570" t="s">
        <v>154</v>
      </c>
      <c r="H1759" s="569" t="s">
        <v>149</v>
      </c>
      <c r="I1759" s="570" t="s">
        <v>155</v>
      </c>
      <c r="J1759" s="571" t="s">
        <v>61</v>
      </c>
    </row>
    <row r="1760" spans="1:10">
      <c r="A1760" s="1692"/>
      <c r="B1760" s="261" t="s">
        <v>146</v>
      </c>
      <c r="C1760" s="261" t="s">
        <v>146</v>
      </c>
      <c r="D1760" s="261" t="s">
        <v>146</v>
      </c>
      <c r="E1760" s="261" t="s">
        <v>146</v>
      </c>
      <c r="F1760" s="261" t="s">
        <v>146</v>
      </c>
      <c r="G1760" s="261" t="s">
        <v>146</v>
      </c>
      <c r="H1760" s="261" t="s">
        <v>146</v>
      </c>
      <c r="I1760" s="261" t="s">
        <v>146</v>
      </c>
      <c r="J1760" s="572" t="s">
        <v>146</v>
      </c>
    </row>
    <row r="1761" spans="1:10">
      <c r="A1761" s="10">
        <v>41883</v>
      </c>
      <c r="B1761" s="139">
        <v>33.31</v>
      </c>
      <c r="C1761" s="318">
        <v>32.840000000000003</v>
      </c>
      <c r="D1761" s="318">
        <v>31.34</v>
      </c>
      <c r="E1761" s="318">
        <v>29.53</v>
      </c>
      <c r="F1761" s="554">
        <v>34.549999999999997</v>
      </c>
      <c r="G1761" s="134">
        <v>21.5</v>
      </c>
      <c r="H1761" s="547">
        <v>53.15</v>
      </c>
      <c r="I1761" s="547">
        <v>29.5</v>
      </c>
      <c r="J1761" s="573">
        <v>23.466309084813943</v>
      </c>
    </row>
    <row r="1762" spans="1:10">
      <c r="A1762" s="10">
        <v>41890</v>
      </c>
      <c r="B1762" s="139">
        <v>32.86</v>
      </c>
      <c r="C1762" s="318">
        <v>32.42</v>
      </c>
      <c r="D1762" s="318">
        <v>30.92</v>
      </c>
      <c r="E1762" s="318">
        <v>29.08</v>
      </c>
      <c r="F1762" s="554">
        <v>34.549999999999997</v>
      </c>
      <c r="G1762" s="134">
        <v>21.4</v>
      </c>
      <c r="H1762" s="547">
        <v>53.15</v>
      </c>
      <c r="I1762" s="547">
        <v>29.5</v>
      </c>
      <c r="J1762" s="573">
        <v>23.466309084813943</v>
      </c>
    </row>
    <row r="1763" spans="1:10">
      <c r="A1763" s="10">
        <v>41898</v>
      </c>
      <c r="B1763" s="139">
        <v>32.53</v>
      </c>
      <c r="C1763" s="318">
        <v>32.11</v>
      </c>
      <c r="D1763" s="318">
        <v>30.65</v>
      </c>
      <c r="E1763" s="318">
        <v>28.74</v>
      </c>
      <c r="F1763" s="554">
        <v>34.549999999999997</v>
      </c>
      <c r="G1763" s="134">
        <v>21.38</v>
      </c>
      <c r="H1763" s="547">
        <v>53.15</v>
      </c>
      <c r="I1763" s="547">
        <v>29.5</v>
      </c>
      <c r="J1763" s="573">
        <v>23.466309084813943</v>
      </c>
    </row>
    <row r="1764" spans="1:10">
      <c r="A1764" s="10">
        <v>41904</v>
      </c>
      <c r="B1764" s="139">
        <v>32.31</v>
      </c>
      <c r="C1764" s="318">
        <v>31.89</v>
      </c>
      <c r="D1764" s="318">
        <v>30.38</v>
      </c>
      <c r="E1764" s="318">
        <v>28.12</v>
      </c>
      <c r="F1764" s="554">
        <v>34.549999999999997</v>
      </c>
      <c r="G1764" s="134">
        <v>21.33</v>
      </c>
      <c r="H1764" s="547">
        <v>53.15</v>
      </c>
      <c r="I1764" s="547">
        <v>29.5</v>
      </c>
      <c r="J1764" s="573">
        <v>23.466309084813943</v>
      </c>
    </row>
    <row r="1765" spans="1:10" ht="13.5" thickBot="1">
      <c r="A1765" s="10">
        <v>41911</v>
      </c>
      <c r="B1765" s="139">
        <v>32.79</v>
      </c>
      <c r="C1765" s="318">
        <v>32.31</v>
      </c>
      <c r="D1765" s="318">
        <v>30.77</v>
      </c>
      <c r="E1765" s="318">
        <v>28.01</v>
      </c>
      <c r="F1765" s="554">
        <v>34.549999999999997</v>
      </c>
      <c r="G1765" s="134">
        <v>21.25</v>
      </c>
      <c r="H1765" s="547">
        <v>53.15</v>
      </c>
      <c r="I1765" s="547">
        <v>29.5</v>
      </c>
      <c r="J1765" s="573">
        <v>23.466309084813943</v>
      </c>
    </row>
    <row r="1766" spans="1:10" ht="13.5" thickBot="1">
      <c r="A1766" s="582" t="s">
        <v>494</v>
      </c>
      <c r="B1766" s="575">
        <f t="shared" ref="B1766:H1766" si="175">AVERAGE(B1761:B1765)</f>
        <v>32.76</v>
      </c>
      <c r="C1766" s="575">
        <f t="shared" si="175"/>
        <v>32.314</v>
      </c>
      <c r="D1766" s="575">
        <f t="shared" si="175"/>
        <v>30.812000000000001</v>
      </c>
      <c r="E1766" s="575">
        <f t="shared" si="175"/>
        <v>28.695999999999998</v>
      </c>
      <c r="F1766" s="575">
        <f t="shared" si="175"/>
        <v>34.549999999999997</v>
      </c>
      <c r="G1766" s="575">
        <f t="shared" si="175"/>
        <v>21.372</v>
      </c>
      <c r="H1766" s="575">
        <f t="shared" si="175"/>
        <v>53.15</v>
      </c>
      <c r="I1766" s="575">
        <f>AVERAGE(I1761:I1765)</f>
        <v>29.5</v>
      </c>
      <c r="J1766" s="575">
        <v>23.466309084813943</v>
      </c>
    </row>
    <row r="1767" spans="1:10" ht="13.5" thickBot="1">
      <c r="A1767" s="564"/>
      <c r="B1767" s="564"/>
      <c r="C1767" s="564"/>
      <c r="D1767" s="564"/>
      <c r="E1767" s="564"/>
      <c r="F1767" s="564"/>
      <c r="G1767" s="564"/>
      <c r="H1767" s="548"/>
      <c r="I1767" s="564"/>
      <c r="J1767" s="564"/>
    </row>
    <row r="1768" spans="1:10">
      <c r="A1768" s="1691" t="s">
        <v>1</v>
      </c>
      <c r="B1768" s="568" t="s">
        <v>139</v>
      </c>
      <c r="C1768" s="568" t="s">
        <v>140</v>
      </c>
      <c r="D1768" s="568" t="s">
        <v>5</v>
      </c>
      <c r="E1768" s="568" t="s">
        <v>6</v>
      </c>
      <c r="F1768" s="569" t="s">
        <v>57</v>
      </c>
      <c r="G1768" s="570" t="s">
        <v>154</v>
      </c>
      <c r="H1768" s="569" t="s">
        <v>149</v>
      </c>
      <c r="I1768" s="570" t="s">
        <v>155</v>
      </c>
      <c r="J1768" s="571" t="s">
        <v>61</v>
      </c>
    </row>
    <row r="1769" spans="1:10">
      <c r="A1769" s="1692"/>
      <c r="B1769" s="261" t="s">
        <v>146</v>
      </c>
      <c r="C1769" s="261" t="s">
        <v>146</v>
      </c>
      <c r="D1769" s="261" t="s">
        <v>146</v>
      </c>
      <c r="E1769" s="261" t="s">
        <v>146</v>
      </c>
      <c r="F1769" s="261" t="s">
        <v>146</v>
      </c>
      <c r="G1769" s="261" t="s">
        <v>146</v>
      </c>
      <c r="H1769" s="261" t="s">
        <v>146</v>
      </c>
      <c r="I1769" s="261" t="s">
        <v>146</v>
      </c>
      <c r="J1769" s="572" t="s">
        <v>146</v>
      </c>
    </row>
    <row r="1770" spans="1:10">
      <c r="A1770" s="10">
        <v>41918</v>
      </c>
      <c r="B1770" s="139">
        <v>32.5</v>
      </c>
      <c r="C1770" s="318">
        <v>32.049999999999997</v>
      </c>
      <c r="D1770" s="318">
        <v>30.55</v>
      </c>
      <c r="E1770" s="318">
        <v>27.83</v>
      </c>
      <c r="F1770" s="554">
        <v>34.549999999999997</v>
      </c>
      <c r="G1770" s="134">
        <v>21.25</v>
      </c>
      <c r="H1770" s="547">
        <v>52.72</v>
      </c>
      <c r="I1770" s="547">
        <v>29.5</v>
      </c>
      <c r="J1770" s="573">
        <v>23.466309084813943</v>
      </c>
    </row>
    <row r="1771" spans="1:10">
      <c r="A1771" s="10">
        <v>41925</v>
      </c>
      <c r="B1771" s="139">
        <v>31.52</v>
      </c>
      <c r="C1771" s="318">
        <v>31.05</v>
      </c>
      <c r="D1771" s="318">
        <v>29.57</v>
      </c>
      <c r="E1771" s="318">
        <v>27.37</v>
      </c>
      <c r="F1771" s="554">
        <v>34.549999999999997</v>
      </c>
      <c r="G1771" s="134">
        <v>21.13</v>
      </c>
      <c r="H1771" s="547">
        <v>52.72</v>
      </c>
      <c r="I1771" s="547">
        <v>29.5</v>
      </c>
      <c r="J1771" s="573">
        <v>23.466309084813943</v>
      </c>
    </row>
    <row r="1772" spans="1:10">
      <c r="A1772" s="10">
        <v>41933</v>
      </c>
      <c r="B1772" s="139">
        <v>29.89</v>
      </c>
      <c r="C1772" s="318">
        <v>29.76</v>
      </c>
      <c r="D1772" s="318">
        <v>28.24</v>
      </c>
      <c r="E1772" s="318">
        <v>26.31</v>
      </c>
      <c r="F1772" s="554">
        <v>34.549999999999997</v>
      </c>
      <c r="G1772" s="134">
        <v>21.06</v>
      </c>
      <c r="H1772" s="547">
        <v>52.72</v>
      </c>
      <c r="I1772" s="547">
        <v>29.5</v>
      </c>
      <c r="J1772" s="573">
        <v>23.466309084813943</v>
      </c>
    </row>
    <row r="1773" spans="1:10" ht="13.5" thickBot="1">
      <c r="A1773" s="10">
        <v>41939</v>
      </c>
      <c r="B1773" s="139">
        <v>29.49</v>
      </c>
      <c r="C1773" s="318">
        <v>29.09</v>
      </c>
      <c r="D1773" s="318">
        <v>27.57</v>
      </c>
      <c r="E1773" s="318">
        <v>25.88</v>
      </c>
      <c r="F1773" s="554">
        <v>34.549999999999997</v>
      </c>
      <c r="G1773" s="134">
        <v>20.81</v>
      </c>
      <c r="H1773" s="547">
        <v>52.72</v>
      </c>
      <c r="I1773" s="547">
        <v>29.5</v>
      </c>
      <c r="J1773" s="573">
        <v>23.466309084813943</v>
      </c>
    </row>
    <row r="1774" spans="1:10" ht="13.5" thickBot="1">
      <c r="A1774" s="582" t="s">
        <v>504</v>
      </c>
      <c r="B1774" s="575">
        <f t="shared" ref="B1774:I1774" si="176">AVERAGE(B1770:B1773)</f>
        <v>30.849999999999998</v>
      </c>
      <c r="C1774" s="575">
        <f t="shared" si="176"/>
        <v>30.487500000000001</v>
      </c>
      <c r="D1774" s="575">
        <f t="shared" si="176"/>
        <v>28.982500000000002</v>
      </c>
      <c r="E1774" s="575">
        <f t="shared" si="176"/>
        <v>26.8475</v>
      </c>
      <c r="F1774" s="575">
        <f t="shared" si="176"/>
        <v>34.549999999999997</v>
      </c>
      <c r="G1774" s="575">
        <f t="shared" si="176"/>
        <v>21.0625</v>
      </c>
      <c r="H1774" s="575">
        <f t="shared" si="176"/>
        <v>52.72</v>
      </c>
      <c r="I1774" s="575">
        <f t="shared" si="176"/>
        <v>29.5</v>
      </c>
      <c r="J1774" s="575">
        <v>23.466309084813943</v>
      </c>
    </row>
    <row r="1775" spans="1:10" ht="13.5" thickBot="1">
      <c r="A1775" s="564"/>
      <c r="B1775" s="564"/>
      <c r="C1775" s="564"/>
      <c r="D1775" s="564"/>
      <c r="E1775" s="564"/>
      <c r="F1775" s="564"/>
      <c r="G1775" s="564"/>
      <c r="H1775" s="548"/>
      <c r="I1775" s="564"/>
      <c r="J1775" s="564"/>
    </row>
    <row r="1776" spans="1:10">
      <c r="A1776" s="1691" t="s">
        <v>1</v>
      </c>
      <c r="B1776" s="568" t="s">
        <v>139</v>
      </c>
      <c r="C1776" s="568" t="s">
        <v>140</v>
      </c>
      <c r="D1776" s="568" t="s">
        <v>5</v>
      </c>
      <c r="E1776" s="568" t="s">
        <v>6</v>
      </c>
      <c r="F1776" s="569" t="s">
        <v>57</v>
      </c>
      <c r="G1776" s="570" t="s">
        <v>154</v>
      </c>
      <c r="H1776" s="569" t="s">
        <v>149</v>
      </c>
      <c r="I1776" s="570" t="s">
        <v>155</v>
      </c>
      <c r="J1776" s="571" t="s">
        <v>61</v>
      </c>
    </row>
    <row r="1777" spans="1:16">
      <c r="A1777" s="1692"/>
      <c r="B1777" s="261" t="s">
        <v>146</v>
      </c>
      <c r="C1777" s="261" t="s">
        <v>146</v>
      </c>
      <c r="D1777" s="261" t="s">
        <v>146</v>
      </c>
      <c r="E1777" s="261" t="s">
        <v>146</v>
      </c>
      <c r="F1777" s="261" t="s">
        <v>146</v>
      </c>
      <c r="G1777" s="261" t="s">
        <v>146</v>
      </c>
      <c r="H1777" s="261" t="s">
        <v>146</v>
      </c>
      <c r="I1777" s="261" t="s">
        <v>146</v>
      </c>
      <c r="J1777" s="572" t="s">
        <v>146</v>
      </c>
    </row>
    <row r="1778" spans="1:16">
      <c r="A1778" s="10">
        <v>41949</v>
      </c>
      <c r="B1778" s="139">
        <v>28.99</v>
      </c>
      <c r="C1778" s="318">
        <v>28.58</v>
      </c>
      <c r="D1778" s="318">
        <v>27.06</v>
      </c>
      <c r="E1778" s="318">
        <v>25.37</v>
      </c>
      <c r="F1778" s="554">
        <v>34.549999999999997</v>
      </c>
      <c r="G1778" s="134">
        <v>19.829999999999998</v>
      </c>
      <c r="H1778" s="547">
        <v>52.65</v>
      </c>
      <c r="I1778" s="547">
        <v>29.5</v>
      </c>
      <c r="J1778" s="573">
        <v>23.466309084813943</v>
      </c>
    </row>
    <row r="1779" spans="1:16">
      <c r="A1779" s="10">
        <v>41956</v>
      </c>
      <c r="B1779" s="139">
        <v>28.98</v>
      </c>
      <c r="C1779" s="318">
        <v>28.55</v>
      </c>
      <c r="D1779" s="318">
        <v>27.03</v>
      </c>
      <c r="E1779" s="318">
        <v>25.35</v>
      </c>
      <c r="F1779" s="554">
        <v>34.549999999999997</v>
      </c>
      <c r="G1779" s="134">
        <v>19.93</v>
      </c>
      <c r="H1779" s="547">
        <v>52.65</v>
      </c>
      <c r="I1779" s="547">
        <v>29.5</v>
      </c>
      <c r="J1779" s="573">
        <v>23.466309084813943</v>
      </c>
    </row>
    <row r="1780" spans="1:16">
      <c r="A1780" s="10">
        <v>41963</v>
      </c>
      <c r="B1780" s="139">
        <v>28.98</v>
      </c>
      <c r="C1780" s="318">
        <v>28.52</v>
      </c>
      <c r="D1780" s="318">
        <v>27</v>
      </c>
      <c r="E1780" s="318">
        <v>25.03</v>
      </c>
      <c r="F1780" s="554">
        <v>34.549999999999997</v>
      </c>
      <c r="G1780" s="134">
        <v>19.7</v>
      </c>
      <c r="H1780" s="547">
        <v>52.65</v>
      </c>
      <c r="I1780" s="547">
        <v>29.5</v>
      </c>
      <c r="J1780" s="573">
        <v>23.466309084813943</v>
      </c>
    </row>
    <row r="1781" spans="1:16" ht="13.5" thickBot="1">
      <c r="A1781" s="10">
        <v>41970</v>
      </c>
      <c r="B1781" s="139">
        <v>28.98</v>
      </c>
      <c r="C1781" s="318">
        <v>28.5</v>
      </c>
      <c r="D1781" s="318">
        <v>26.99</v>
      </c>
      <c r="E1781" s="318">
        <v>24.61</v>
      </c>
      <c r="F1781" s="554">
        <v>34.549999999999997</v>
      </c>
      <c r="G1781" s="134">
        <v>19.46</v>
      </c>
      <c r="H1781" s="547">
        <v>52.65</v>
      </c>
      <c r="I1781" s="547">
        <v>29.5</v>
      </c>
      <c r="J1781" s="573">
        <v>23.466309084813943</v>
      </c>
    </row>
    <row r="1782" spans="1:16" ht="13.5" thickBot="1">
      <c r="A1782" s="582" t="s">
        <v>505</v>
      </c>
      <c r="B1782" s="575">
        <f t="shared" ref="B1782:I1782" si="177">AVERAGE(B1778:B1781)</f>
        <v>28.982500000000002</v>
      </c>
      <c r="C1782" s="575">
        <f t="shared" si="177"/>
        <v>28.537499999999998</v>
      </c>
      <c r="D1782" s="575">
        <f t="shared" si="177"/>
        <v>27.02</v>
      </c>
      <c r="E1782" s="575">
        <f t="shared" si="177"/>
        <v>25.09</v>
      </c>
      <c r="F1782" s="575">
        <f t="shared" si="177"/>
        <v>34.549999999999997</v>
      </c>
      <c r="G1782" s="575">
        <f t="shared" si="177"/>
        <v>19.729999999999997</v>
      </c>
      <c r="H1782" s="575">
        <f t="shared" si="177"/>
        <v>52.65</v>
      </c>
      <c r="I1782" s="575">
        <f t="shared" si="177"/>
        <v>29.5</v>
      </c>
      <c r="J1782" s="575">
        <v>23.466309084813901</v>
      </c>
    </row>
    <row r="1783" spans="1:16" ht="13.5" thickBot="1">
      <c r="A1783" s="564"/>
      <c r="B1783" s="564"/>
      <c r="C1783" s="564"/>
      <c r="D1783" s="564"/>
      <c r="E1783" s="564"/>
      <c r="F1783" s="564"/>
      <c r="G1783" s="564"/>
      <c r="H1783" s="548"/>
      <c r="I1783" s="564"/>
      <c r="J1783" s="564"/>
    </row>
    <row r="1784" spans="1:16">
      <c r="A1784" s="1700" t="s">
        <v>1</v>
      </c>
      <c r="B1784" s="568" t="s">
        <v>139</v>
      </c>
      <c r="C1784" s="568" t="s">
        <v>140</v>
      </c>
      <c r="D1784" s="568" t="s">
        <v>5</v>
      </c>
      <c r="E1784" s="568" t="s">
        <v>6</v>
      </c>
      <c r="F1784" s="569" t="s">
        <v>57</v>
      </c>
      <c r="G1784" s="570" t="s">
        <v>154</v>
      </c>
      <c r="H1784" s="569" t="s">
        <v>149</v>
      </c>
      <c r="I1784" s="570" t="s">
        <v>155</v>
      </c>
      <c r="J1784" s="571" t="s">
        <v>61</v>
      </c>
    </row>
    <row r="1785" spans="1:16" ht="13.5" thickBot="1">
      <c r="A1785" s="1701"/>
      <c r="B1785" s="261" t="s">
        <v>146</v>
      </c>
      <c r="C1785" s="261" t="s">
        <v>146</v>
      </c>
      <c r="D1785" s="261" t="s">
        <v>146</v>
      </c>
      <c r="E1785" s="261" t="s">
        <v>146</v>
      </c>
      <c r="F1785" s="261" t="s">
        <v>146</v>
      </c>
      <c r="G1785" s="261" t="s">
        <v>146</v>
      </c>
      <c r="H1785" s="261" t="s">
        <v>146</v>
      </c>
      <c r="I1785" s="261" t="s">
        <v>146</v>
      </c>
      <c r="J1785" s="653" t="s">
        <v>146</v>
      </c>
    </row>
    <row r="1786" spans="1:16" ht="13.5" thickBot="1">
      <c r="A1786" s="10">
        <v>41974</v>
      </c>
      <c r="B1786" s="139">
        <v>27.98</v>
      </c>
      <c r="C1786" s="318">
        <v>27.52</v>
      </c>
      <c r="D1786" s="318">
        <v>26.03</v>
      </c>
      <c r="E1786" s="318">
        <v>24.44</v>
      </c>
      <c r="F1786" s="554">
        <v>34.549999999999997</v>
      </c>
      <c r="G1786" s="134">
        <v>19.18</v>
      </c>
      <c r="H1786" s="547">
        <v>51.65</v>
      </c>
      <c r="I1786" s="652">
        <v>29.5</v>
      </c>
      <c r="J1786" s="655">
        <f>(135/5.966)</f>
        <v>22.628226617499163</v>
      </c>
      <c r="N1786" s="564">
        <f>(135/25)</f>
        <v>5.4</v>
      </c>
      <c r="O1786" s="564">
        <v>135</v>
      </c>
      <c r="P1786" s="564">
        <f>(5.966/N1786)</f>
        <v>1.1048148148148147</v>
      </c>
    </row>
    <row r="1787" spans="1:16" ht="13.5" thickBot="1">
      <c r="A1787" s="10">
        <v>41981</v>
      </c>
      <c r="B1787" s="139">
        <v>26.53</v>
      </c>
      <c r="C1787" s="318">
        <v>26.16</v>
      </c>
      <c r="D1787" s="318">
        <v>24.76</v>
      </c>
      <c r="E1787" s="318">
        <v>22.72</v>
      </c>
      <c r="F1787" s="554">
        <v>34.549999999999997</v>
      </c>
      <c r="G1787" s="134">
        <v>19.03</v>
      </c>
      <c r="H1787" s="547">
        <v>51.65</v>
      </c>
      <c r="I1787" s="652">
        <v>29.5</v>
      </c>
      <c r="J1787" s="655">
        <f>(125/5.966)</f>
        <v>20.952061682869594</v>
      </c>
      <c r="K1787" s="564">
        <v>125</v>
      </c>
    </row>
    <row r="1788" spans="1:16" ht="13.5" thickBot="1">
      <c r="A1788" s="10">
        <v>41988</v>
      </c>
      <c r="B1788" s="139">
        <v>25.52</v>
      </c>
      <c r="C1788" s="318">
        <v>25.86</v>
      </c>
      <c r="D1788" s="318">
        <v>24.39</v>
      </c>
      <c r="E1788" s="318">
        <v>23.34</v>
      </c>
      <c r="F1788" s="554">
        <v>34.549999999999997</v>
      </c>
      <c r="G1788" s="134">
        <v>18.78</v>
      </c>
      <c r="H1788" s="547">
        <v>51.65</v>
      </c>
      <c r="I1788" s="652">
        <v>29.5</v>
      </c>
      <c r="J1788" s="655">
        <f>(115/5.966)</f>
        <v>19.275896748240026</v>
      </c>
      <c r="K1788" s="564">
        <v>115</v>
      </c>
      <c r="N1788" s="564">
        <v>25</v>
      </c>
      <c r="O1788" s="564">
        <f>(25/4.19)</f>
        <v>5.9665871121718368</v>
      </c>
      <c r="P1788" s="564">
        <f>(N1788/O1788)</f>
        <v>4.1900000000000004</v>
      </c>
    </row>
    <row r="1789" spans="1:16" ht="13.5" thickBot="1">
      <c r="A1789" s="10">
        <v>41995</v>
      </c>
      <c r="B1789" s="139">
        <v>23.52</v>
      </c>
      <c r="C1789" s="318">
        <v>23.51</v>
      </c>
      <c r="D1789" s="318">
        <v>22.11</v>
      </c>
      <c r="E1789" s="318">
        <v>21.11</v>
      </c>
      <c r="F1789" s="554">
        <v>34.549999999999997</v>
      </c>
      <c r="G1789" s="134">
        <v>18.61</v>
      </c>
      <c r="H1789" s="547">
        <v>51.65</v>
      </c>
      <c r="I1789" s="652">
        <v>29.5</v>
      </c>
      <c r="J1789" s="655">
        <f>(115/5.966)</f>
        <v>19.275896748240026</v>
      </c>
      <c r="K1789" s="564">
        <v>115</v>
      </c>
    </row>
    <row r="1790" spans="1:16" ht="13.5" thickBot="1">
      <c r="A1790" s="10">
        <v>42002</v>
      </c>
      <c r="B1790" s="139">
        <v>23.49</v>
      </c>
      <c r="C1790" s="318">
        <v>23</v>
      </c>
      <c r="D1790" s="318">
        <v>21.52</v>
      </c>
      <c r="E1790" s="318">
        <v>20.54</v>
      </c>
      <c r="F1790" s="554">
        <v>34.549999999999997</v>
      </c>
      <c r="G1790" s="134">
        <v>16.350000000000001</v>
      </c>
      <c r="H1790" s="547">
        <v>51.65</v>
      </c>
      <c r="I1790" s="652">
        <v>29.5</v>
      </c>
      <c r="J1790" s="655">
        <f>(115/5.966)</f>
        <v>19.275896748240026</v>
      </c>
      <c r="K1790" s="564">
        <v>105</v>
      </c>
      <c r="O1790" s="564">
        <f>(105/5.966)</f>
        <v>17.599731813610457</v>
      </c>
    </row>
    <row r="1791" spans="1:16" ht="13.5" thickBot="1">
      <c r="A1791" s="582" t="s">
        <v>506</v>
      </c>
      <c r="B1791" s="575">
        <f t="shared" ref="B1791:I1791" si="178">AVERAGE(B1787:B1790)</f>
        <v>24.764999999999997</v>
      </c>
      <c r="C1791" s="575">
        <f t="shared" si="178"/>
        <v>24.6325</v>
      </c>
      <c r="D1791" s="575">
        <f t="shared" si="178"/>
        <v>23.195</v>
      </c>
      <c r="E1791" s="575">
        <f t="shared" si="178"/>
        <v>21.927500000000002</v>
      </c>
      <c r="F1791" s="575">
        <f t="shared" si="178"/>
        <v>34.549999999999997</v>
      </c>
      <c r="G1791" s="575">
        <f t="shared" si="178"/>
        <v>18.192500000000003</v>
      </c>
      <c r="H1791" s="575">
        <f t="shared" si="178"/>
        <v>51.65</v>
      </c>
      <c r="I1791" s="575">
        <f t="shared" si="178"/>
        <v>29.5</v>
      </c>
      <c r="J1791" s="654">
        <f>AVERAGE(J1786:J1790)</f>
        <v>20.281595709017768</v>
      </c>
    </row>
    <row r="1792" spans="1:16">
      <c r="A1792" s="564"/>
      <c r="B1792" s="564"/>
      <c r="C1792" s="564"/>
      <c r="D1792" s="564"/>
      <c r="E1792" s="564"/>
      <c r="F1792" s="564"/>
      <c r="G1792" s="564"/>
      <c r="H1792" s="548"/>
      <c r="I1792" s="564"/>
      <c r="J1792" s="564"/>
    </row>
    <row r="1793" spans="1:15" ht="13.5" thickBot="1">
      <c r="A1793" s="564"/>
      <c r="B1793" s="564"/>
      <c r="C1793" s="564"/>
      <c r="D1793" s="564"/>
      <c r="E1793" s="564"/>
      <c r="F1793" s="564"/>
      <c r="G1793" s="564"/>
      <c r="H1793" s="548"/>
      <c r="I1793" s="564"/>
      <c r="J1793" s="564"/>
    </row>
    <row r="1794" spans="1:15">
      <c r="A1794" s="1695" t="s">
        <v>1</v>
      </c>
      <c r="B1794" s="656" t="s">
        <v>139</v>
      </c>
      <c r="C1794" s="656" t="s">
        <v>140</v>
      </c>
      <c r="D1794" s="656" t="s">
        <v>5</v>
      </c>
      <c r="E1794" s="656" t="s">
        <v>6</v>
      </c>
      <c r="F1794" s="657" t="s">
        <v>57</v>
      </c>
      <c r="G1794" s="658" t="s">
        <v>154</v>
      </c>
      <c r="H1794" s="657" t="s">
        <v>149</v>
      </c>
      <c r="I1794" s="658" t="s">
        <v>155</v>
      </c>
      <c r="J1794" s="659" t="s">
        <v>61</v>
      </c>
    </row>
    <row r="1795" spans="1:15" ht="13.5" thickBot="1">
      <c r="A1795" s="1696"/>
      <c r="B1795" s="660" t="s">
        <v>146</v>
      </c>
      <c r="C1795" s="660" t="s">
        <v>146</v>
      </c>
      <c r="D1795" s="660" t="s">
        <v>146</v>
      </c>
      <c r="E1795" s="660" t="s">
        <v>146</v>
      </c>
      <c r="F1795" s="660" t="s">
        <v>146</v>
      </c>
      <c r="G1795" s="660" t="s">
        <v>146</v>
      </c>
      <c r="H1795" s="660" t="s">
        <v>146</v>
      </c>
      <c r="I1795" s="660" t="s">
        <v>146</v>
      </c>
      <c r="J1795" s="661" t="s">
        <v>146</v>
      </c>
    </row>
    <row r="1796" spans="1:15" ht="13.5" thickBot="1">
      <c r="A1796" s="10">
        <v>42009</v>
      </c>
      <c r="B1796" s="139">
        <v>23.64</v>
      </c>
      <c r="C1796" s="318">
        <v>23.28</v>
      </c>
      <c r="D1796" s="318">
        <v>21.81</v>
      </c>
      <c r="E1796" s="318">
        <v>20.83</v>
      </c>
      <c r="F1796" s="554">
        <v>27</v>
      </c>
      <c r="G1796" s="134">
        <f>AVERAGE([3]bunker!$H$2303:$H$2304)</f>
        <v>16.350000000000001</v>
      </c>
      <c r="H1796" s="547">
        <v>50.65</v>
      </c>
      <c r="I1796" s="652">
        <v>29.5</v>
      </c>
      <c r="J1796" s="655">
        <f>(105/5.966)</f>
        <v>17.599731813610457</v>
      </c>
    </row>
    <row r="1797" spans="1:15" ht="13.5" thickBot="1">
      <c r="A1797" s="10">
        <v>42016</v>
      </c>
      <c r="B1797" s="139">
        <v>22.66</v>
      </c>
      <c r="C1797" s="318">
        <v>21.98</v>
      </c>
      <c r="D1797" s="318">
        <v>20.48</v>
      </c>
      <c r="E1797" s="318">
        <v>19.920000000000002</v>
      </c>
      <c r="F1797" s="554">
        <v>27</v>
      </c>
      <c r="G1797" s="134"/>
      <c r="H1797" s="547">
        <v>50.65</v>
      </c>
      <c r="I1797" s="652">
        <v>21.95</v>
      </c>
      <c r="J1797" s="655">
        <f>(105/5.966)</f>
        <v>17.599731813610457</v>
      </c>
    </row>
    <row r="1798" spans="1:15" ht="13.5" thickBot="1">
      <c r="A1798" s="10">
        <v>42023</v>
      </c>
      <c r="B1798" s="139">
        <v>20.49</v>
      </c>
      <c r="C1798" s="318">
        <v>20.03</v>
      </c>
      <c r="D1798" s="318">
        <v>18.55</v>
      </c>
      <c r="E1798" s="318">
        <v>18.350000000000001</v>
      </c>
      <c r="F1798" s="554">
        <v>27</v>
      </c>
      <c r="G1798" s="134">
        <f>AVERAGE([3]bunker!$H$2313:$H$2318)</f>
        <v>15.299999999999999</v>
      </c>
      <c r="H1798" s="547">
        <v>50.65</v>
      </c>
      <c r="I1798" s="652">
        <v>19.55</v>
      </c>
      <c r="J1798" s="655">
        <f>(105/5.966)</f>
        <v>17.599731813610457</v>
      </c>
      <c r="O1798" s="564">
        <v>14.041666666666666</v>
      </c>
    </row>
    <row r="1799" spans="1:15" ht="13.5" thickBot="1">
      <c r="A1799" s="10">
        <v>42030</v>
      </c>
      <c r="B1799" s="139">
        <v>20.49</v>
      </c>
      <c r="C1799" s="318">
        <v>19.989999999999998</v>
      </c>
      <c r="D1799" s="318">
        <v>18.53</v>
      </c>
      <c r="E1799" s="318">
        <v>18</v>
      </c>
      <c r="F1799" s="554">
        <v>27</v>
      </c>
      <c r="G1799" s="134">
        <f>AVERAGE([3]bunker!$H$2320:$H$2325)</f>
        <v>15.174999999999999</v>
      </c>
      <c r="H1799" s="547">
        <v>50.65</v>
      </c>
      <c r="I1799" s="652">
        <v>19.55</v>
      </c>
      <c r="J1799" s="655">
        <f>(105/5.966)</f>
        <v>17.599731813610457</v>
      </c>
    </row>
    <row r="1800" spans="1:15" ht="13.5" thickBot="1">
      <c r="A1800" s="662" t="s">
        <v>507</v>
      </c>
      <c r="B1800" s="663">
        <f>AVERAGE(B1797:B1799)</f>
        <v>21.213333333333335</v>
      </c>
      <c r="C1800" s="663">
        <f>AVERAGE(C1797:C1799)</f>
        <v>20.666666666666668</v>
      </c>
      <c r="D1800" s="663">
        <f>AVERAGE(D1797:D1799)</f>
        <v>19.186666666666667</v>
      </c>
      <c r="E1800" s="663">
        <f>AVERAGE(E1797:E1799)</f>
        <v>18.756666666666668</v>
      </c>
      <c r="F1800" s="663">
        <f>AVERAGE(F1796:F1799)</f>
        <v>27</v>
      </c>
      <c r="G1800" s="663">
        <f>AVERAGE(G1796:G1799)</f>
        <v>15.608333333333333</v>
      </c>
      <c r="H1800" s="663">
        <f>AVERAGE(H1796:H1799)</f>
        <v>50.65</v>
      </c>
      <c r="I1800" s="663">
        <f>AVERAGE(I1796:I1799)</f>
        <v>22.637499999999999</v>
      </c>
      <c r="J1800" s="664">
        <f>AVERAGE(J1796:J1799)</f>
        <v>17.599731813610457</v>
      </c>
    </row>
    <row r="1802" spans="1:15" ht="13.5" thickBot="1"/>
    <row r="1803" spans="1:15">
      <c r="A1803" s="1695" t="s">
        <v>1</v>
      </c>
      <c r="B1803" s="656" t="s">
        <v>139</v>
      </c>
      <c r="C1803" s="656" t="s">
        <v>140</v>
      </c>
      <c r="D1803" s="656" t="s">
        <v>5</v>
      </c>
      <c r="E1803" s="656" t="s">
        <v>6</v>
      </c>
      <c r="F1803" s="657" t="s">
        <v>57</v>
      </c>
      <c r="G1803" s="658" t="s">
        <v>154</v>
      </c>
      <c r="H1803" s="657" t="s">
        <v>149</v>
      </c>
      <c r="I1803" s="658" t="s">
        <v>155</v>
      </c>
      <c r="J1803" s="659" t="s">
        <v>61</v>
      </c>
    </row>
    <row r="1804" spans="1:15" ht="13.5" thickBot="1">
      <c r="A1804" s="1696"/>
      <c r="B1804" s="660" t="s">
        <v>146</v>
      </c>
      <c r="C1804" s="660" t="s">
        <v>146</v>
      </c>
      <c r="D1804" s="660" t="s">
        <v>146</v>
      </c>
      <c r="E1804" s="660" t="s">
        <v>146</v>
      </c>
      <c r="F1804" s="660" t="s">
        <v>146</v>
      </c>
      <c r="G1804" s="660" t="s">
        <v>146</v>
      </c>
      <c r="H1804" s="660" t="s">
        <v>146</v>
      </c>
      <c r="I1804" s="660" t="s">
        <v>146</v>
      </c>
      <c r="J1804" s="661" t="s">
        <v>146</v>
      </c>
      <c r="O1804" s="583"/>
    </row>
    <row r="1805" spans="1:15">
      <c r="A1805" s="10">
        <v>42037</v>
      </c>
      <c r="B1805" s="139">
        <v>21.48</v>
      </c>
      <c r="C1805" s="318">
        <v>20.97</v>
      </c>
      <c r="D1805" s="318">
        <v>19.489999999999998</v>
      </c>
      <c r="E1805" s="318">
        <v>17.97</v>
      </c>
      <c r="F1805" s="554">
        <v>27</v>
      </c>
      <c r="G1805" s="134">
        <f>AVERAGE([3]bunker!$H$2320:$H$2325)</f>
        <v>15.174999999999999</v>
      </c>
      <c r="H1805" s="547">
        <v>50.65</v>
      </c>
      <c r="I1805" s="652">
        <v>19.55</v>
      </c>
      <c r="J1805" s="666">
        <f>(92/5.966)</f>
        <v>15.420717398592021</v>
      </c>
      <c r="O1805" s="583">
        <v>13.895833333333334</v>
      </c>
    </row>
    <row r="1806" spans="1:15">
      <c r="A1806" s="10">
        <v>42044</v>
      </c>
      <c r="B1806" s="139">
        <v>22.99</v>
      </c>
      <c r="C1806" s="318">
        <v>22.5</v>
      </c>
      <c r="D1806" s="318">
        <v>20.97</v>
      </c>
      <c r="E1806" s="318">
        <v>19.98</v>
      </c>
      <c r="F1806" s="554">
        <v>27</v>
      </c>
      <c r="G1806" s="134">
        <v>15.5</v>
      </c>
      <c r="H1806" s="547">
        <v>50.65</v>
      </c>
      <c r="I1806" s="652">
        <v>19.55</v>
      </c>
      <c r="J1806" s="667">
        <f>(92/5.966)</f>
        <v>15.420717398592021</v>
      </c>
      <c r="O1806" s="583"/>
    </row>
    <row r="1807" spans="1:15">
      <c r="A1807" s="10">
        <v>42051</v>
      </c>
      <c r="B1807" s="139">
        <v>23.47</v>
      </c>
      <c r="C1807" s="318">
        <v>22.99</v>
      </c>
      <c r="D1807" s="318">
        <v>21.49</v>
      </c>
      <c r="E1807" s="318">
        <v>20.48</v>
      </c>
      <c r="F1807" s="554">
        <v>27</v>
      </c>
      <c r="G1807" s="134">
        <v>15.44</v>
      </c>
      <c r="H1807" s="547">
        <v>50.65</v>
      </c>
      <c r="I1807" s="652">
        <v>19.55</v>
      </c>
      <c r="J1807" s="667">
        <f>(92/5.966)</f>
        <v>15.420717398592021</v>
      </c>
      <c r="O1807" s="583"/>
    </row>
    <row r="1808" spans="1:15" ht="13.5" thickBot="1">
      <c r="A1808" s="10">
        <v>42058</v>
      </c>
      <c r="B1808" s="139">
        <v>23.99</v>
      </c>
      <c r="C1808" s="318">
        <v>23.29</v>
      </c>
      <c r="D1808" s="318">
        <v>21.81</v>
      </c>
      <c r="E1808" s="318">
        <v>20.8</v>
      </c>
      <c r="F1808" s="554">
        <v>27</v>
      </c>
      <c r="G1808" s="134">
        <v>15.38</v>
      </c>
      <c r="H1808" s="547">
        <v>50.65</v>
      </c>
      <c r="I1808" s="652">
        <v>19.55</v>
      </c>
      <c r="J1808" s="667">
        <f>(92/5.966)</f>
        <v>15.420717398592021</v>
      </c>
      <c r="O1808" s="583"/>
    </row>
    <row r="1809" spans="1:15" ht="13.5" thickBot="1">
      <c r="A1809" s="662" t="s">
        <v>509</v>
      </c>
      <c r="B1809" s="663">
        <f>AVERAGE(B1806:B1808)</f>
        <v>23.483333333333331</v>
      </c>
      <c r="C1809" s="663">
        <f>AVERAGE(C1806:C1808)</f>
        <v>22.926666666666666</v>
      </c>
      <c r="D1809" s="663">
        <f>AVERAGE(D1806:D1808)</f>
        <v>21.423333333333332</v>
      </c>
      <c r="E1809" s="663">
        <f>AVERAGE(E1806:E1808)</f>
        <v>20.420000000000002</v>
      </c>
      <c r="F1809" s="663">
        <f>AVERAGE(F1805:F1808)</f>
        <v>27</v>
      </c>
      <c r="G1809" s="663">
        <f>AVERAGE(G1806:G1808)</f>
        <v>15.44</v>
      </c>
      <c r="H1809" s="663">
        <f>AVERAGE(H1806:H1808)</f>
        <v>50.65</v>
      </c>
      <c r="I1809" s="663">
        <f>AVERAGE(I1806:I1808)</f>
        <v>19.55</v>
      </c>
      <c r="J1809" s="664">
        <f>AVERAGE(J1805:J1808)</f>
        <v>15.420717398592021</v>
      </c>
      <c r="O1809" s="583"/>
    </row>
    <row r="1810" spans="1:15">
      <c r="A1810" s="703"/>
      <c r="B1810" s="704"/>
      <c r="C1810" s="704"/>
      <c r="D1810" s="704"/>
      <c r="E1810" s="704"/>
      <c r="F1810" s="704"/>
      <c r="G1810" s="704"/>
      <c r="H1810" s="705"/>
      <c r="I1810" s="704"/>
      <c r="J1810" s="704"/>
      <c r="O1810" s="583"/>
    </row>
    <row r="1811" spans="1:15" ht="13.5" thickBot="1">
      <c r="O1811" s="583"/>
    </row>
    <row r="1812" spans="1:15">
      <c r="A1812" s="1695" t="s">
        <v>1</v>
      </c>
      <c r="B1812" s="656" t="s">
        <v>139</v>
      </c>
      <c r="C1812" s="656" t="s">
        <v>140</v>
      </c>
      <c r="D1812" s="656" t="s">
        <v>5</v>
      </c>
      <c r="E1812" s="656" t="s">
        <v>6</v>
      </c>
      <c r="F1812" s="657" t="s">
        <v>57</v>
      </c>
      <c r="G1812" s="658" t="s">
        <v>154</v>
      </c>
      <c r="H1812" s="657" t="s">
        <v>149</v>
      </c>
      <c r="I1812" s="658" t="s">
        <v>155</v>
      </c>
      <c r="J1812" s="659" t="s">
        <v>61</v>
      </c>
      <c r="O1812" s="583">
        <v>13.75</v>
      </c>
    </row>
    <row r="1813" spans="1:15">
      <c r="A1813" s="1696"/>
      <c r="B1813" s="711" t="s">
        <v>146</v>
      </c>
      <c r="C1813" s="711" t="s">
        <v>146</v>
      </c>
      <c r="D1813" s="711" t="s">
        <v>146</v>
      </c>
      <c r="E1813" s="711" t="s">
        <v>146</v>
      </c>
      <c r="F1813" s="711" t="s">
        <v>146</v>
      </c>
      <c r="G1813" s="711" t="s">
        <v>146</v>
      </c>
      <c r="H1813" s="711" t="s">
        <v>146</v>
      </c>
      <c r="I1813" s="711" t="s">
        <v>146</v>
      </c>
      <c r="J1813" s="661" t="s">
        <v>146</v>
      </c>
      <c r="O1813" s="583"/>
    </row>
    <row r="1814" spans="1:15">
      <c r="A1814" s="103">
        <v>42065</v>
      </c>
      <c r="B1814" s="139">
        <v>24.99</v>
      </c>
      <c r="C1814" s="318">
        <v>24.47</v>
      </c>
      <c r="D1814" s="318">
        <v>22.95</v>
      </c>
      <c r="E1814" s="318">
        <v>20.98</v>
      </c>
      <c r="F1814" s="257">
        <v>27</v>
      </c>
      <c r="G1814" s="134">
        <f>AVERAGE([3]bunker!$G$2303:$G$2304)</f>
        <v>15.5</v>
      </c>
      <c r="H1814" s="547">
        <v>50.65</v>
      </c>
      <c r="I1814" s="547">
        <v>19.55</v>
      </c>
      <c r="J1814" s="667">
        <f>(92/5.966)</f>
        <v>15.420717398592021</v>
      </c>
      <c r="O1814" s="583"/>
    </row>
    <row r="1815" spans="1:15">
      <c r="A1815" s="103">
        <v>42072</v>
      </c>
      <c r="B1815" s="139">
        <v>24.98</v>
      </c>
      <c r="C1815" s="318">
        <v>24.48</v>
      </c>
      <c r="D1815" s="318">
        <v>22.98</v>
      </c>
      <c r="E1815" s="318">
        <v>20.61</v>
      </c>
      <c r="F1815" s="257">
        <v>27</v>
      </c>
      <c r="G1815" s="134">
        <f>AVERAGE([3]bunker!$G$2306:$G$2310)</f>
        <v>14.7</v>
      </c>
      <c r="H1815" s="547">
        <v>50.65</v>
      </c>
      <c r="I1815" s="547">
        <v>19.55</v>
      </c>
      <c r="J1815" s="667">
        <f>(92/5.966)</f>
        <v>15.420717398592021</v>
      </c>
      <c r="O1815" s="583"/>
    </row>
    <row r="1816" spans="1:15">
      <c r="A1816" s="103">
        <v>42079</v>
      </c>
      <c r="B1816" s="139">
        <v>24.5</v>
      </c>
      <c r="C1816" s="318">
        <v>24</v>
      </c>
      <c r="D1816" s="318">
        <v>22.5</v>
      </c>
      <c r="E1816" s="318">
        <v>20</v>
      </c>
      <c r="F1816" s="257">
        <v>27</v>
      </c>
      <c r="G1816" s="134">
        <v>14.25</v>
      </c>
      <c r="H1816" s="547">
        <v>50.65</v>
      </c>
      <c r="I1816" s="547">
        <v>19.55</v>
      </c>
      <c r="J1816" s="667">
        <f>(92/5.966)</f>
        <v>15.420717398592021</v>
      </c>
      <c r="O1816" s="583"/>
    </row>
    <row r="1817" spans="1:15">
      <c r="A1817" s="103">
        <v>42086</v>
      </c>
      <c r="B1817" s="139">
        <v>23.99</v>
      </c>
      <c r="C1817" s="318">
        <v>23.52</v>
      </c>
      <c r="D1817" s="318">
        <v>22.04</v>
      </c>
      <c r="E1817" s="318">
        <v>19.52</v>
      </c>
      <c r="F1817" s="257">
        <v>27</v>
      </c>
      <c r="G1817" s="134">
        <v>13.96</v>
      </c>
      <c r="H1817" s="547">
        <v>50.65</v>
      </c>
      <c r="I1817" s="547">
        <v>19.55</v>
      </c>
      <c r="J1817" s="667">
        <f>(87/5.966)</f>
        <v>14.582634931277237</v>
      </c>
      <c r="O1817" s="583"/>
    </row>
    <row r="1818" spans="1:15" ht="13.5" thickBot="1">
      <c r="A1818" s="103">
        <v>42093</v>
      </c>
      <c r="B1818" s="139">
        <v>24.98</v>
      </c>
      <c r="C1818" s="318">
        <v>24.49</v>
      </c>
      <c r="D1818" s="318">
        <v>22.99</v>
      </c>
      <c r="E1818" s="318">
        <v>19.78</v>
      </c>
      <c r="F1818" s="257">
        <v>27</v>
      </c>
      <c r="G1818" s="134">
        <v>13.91</v>
      </c>
      <c r="H1818" s="547">
        <v>50.65</v>
      </c>
      <c r="I1818" s="547">
        <v>19.55</v>
      </c>
      <c r="J1818" s="667">
        <f>(87/5.966)</f>
        <v>14.582634931277237</v>
      </c>
      <c r="O1818" s="583"/>
    </row>
    <row r="1819" spans="1:15" ht="13.5" thickBot="1">
      <c r="A1819" s="662" t="s">
        <v>523</v>
      </c>
      <c r="B1819" s="663">
        <f t="shared" ref="B1819:J1819" si="179">AVERAGE(B1814:B1818)</f>
        <v>24.687999999999999</v>
      </c>
      <c r="C1819" s="663">
        <f t="shared" si="179"/>
        <v>24.192</v>
      </c>
      <c r="D1819" s="663">
        <f t="shared" si="179"/>
        <v>22.692</v>
      </c>
      <c r="E1819" s="663">
        <f t="shared" si="179"/>
        <v>20.178000000000001</v>
      </c>
      <c r="F1819" s="664">
        <f t="shared" si="179"/>
        <v>27</v>
      </c>
      <c r="G1819" s="664">
        <f t="shared" si="179"/>
        <v>14.464000000000002</v>
      </c>
      <c r="H1819" s="664">
        <f t="shared" si="179"/>
        <v>50.65</v>
      </c>
      <c r="I1819" s="664">
        <f t="shared" si="179"/>
        <v>19.55</v>
      </c>
      <c r="J1819" s="664">
        <f t="shared" si="179"/>
        <v>15.08548441166611</v>
      </c>
      <c r="O1819" s="583">
        <v>13.699999999999998</v>
      </c>
    </row>
    <row r="1820" spans="1:15">
      <c r="O1820" s="583"/>
    </row>
    <row r="1821" spans="1:15" ht="13.5" thickBot="1">
      <c r="O1821" s="583"/>
    </row>
    <row r="1822" spans="1:15">
      <c r="A1822" s="1695" t="s">
        <v>1</v>
      </c>
      <c r="B1822" s="656" t="s">
        <v>139</v>
      </c>
      <c r="C1822" s="656" t="s">
        <v>140</v>
      </c>
      <c r="D1822" s="656" t="s">
        <v>5</v>
      </c>
      <c r="E1822" s="656" t="s">
        <v>6</v>
      </c>
      <c r="F1822" s="657" t="s">
        <v>57</v>
      </c>
      <c r="G1822" s="658" t="s">
        <v>154</v>
      </c>
      <c r="H1822" s="657" t="s">
        <v>149</v>
      </c>
      <c r="I1822" s="658" t="s">
        <v>155</v>
      </c>
      <c r="J1822" s="659" t="s">
        <v>61</v>
      </c>
      <c r="O1822" s="583"/>
    </row>
    <row r="1823" spans="1:15">
      <c r="A1823" s="1696"/>
      <c r="B1823" s="660" t="s">
        <v>146</v>
      </c>
      <c r="C1823" s="660" t="s">
        <v>146</v>
      </c>
      <c r="D1823" s="660" t="s">
        <v>146</v>
      </c>
      <c r="E1823" s="660" t="s">
        <v>146</v>
      </c>
      <c r="F1823" s="660" t="s">
        <v>146</v>
      </c>
      <c r="G1823" s="660" t="s">
        <v>146</v>
      </c>
      <c r="H1823" s="660" t="s">
        <v>146</v>
      </c>
      <c r="I1823" s="660" t="s">
        <v>146</v>
      </c>
      <c r="J1823" s="661" t="s">
        <v>146</v>
      </c>
      <c r="O1823" s="583"/>
    </row>
    <row r="1824" spans="1:15">
      <c r="A1824" s="10">
        <v>42100</v>
      </c>
      <c r="B1824" s="139">
        <v>24.98</v>
      </c>
      <c r="C1824" s="318">
        <v>24.49</v>
      </c>
      <c r="D1824" s="318">
        <v>22.99</v>
      </c>
      <c r="E1824" s="318">
        <v>19.78</v>
      </c>
      <c r="F1824" s="554">
        <v>27</v>
      </c>
      <c r="G1824" s="134">
        <v>14.28</v>
      </c>
      <c r="H1824" s="547">
        <v>50.65</v>
      </c>
      <c r="I1824" s="652">
        <v>19.55</v>
      </c>
      <c r="J1824" s="667">
        <f>(87/5.966)</f>
        <v>14.582634931277237</v>
      </c>
      <c r="O1824" s="583"/>
    </row>
    <row r="1825" spans="1:15">
      <c r="A1825" s="10">
        <v>42107</v>
      </c>
      <c r="B1825" s="139">
        <v>24.52</v>
      </c>
      <c r="C1825" s="318">
        <v>24</v>
      </c>
      <c r="D1825" s="318">
        <v>22.52</v>
      </c>
      <c r="E1825" s="318">
        <v>19.32</v>
      </c>
      <c r="F1825" s="554">
        <v>28.95</v>
      </c>
      <c r="G1825" s="134">
        <v>14.46</v>
      </c>
      <c r="H1825" s="547">
        <v>50.65</v>
      </c>
      <c r="I1825" s="652">
        <v>19.55</v>
      </c>
      <c r="J1825" s="667">
        <f>(87/5.966)</f>
        <v>14.582634931277237</v>
      </c>
      <c r="O1825" s="583"/>
    </row>
    <row r="1826" spans="1:15">
      <c r="A1826" s="10">
        <v>42114</v>
      </c>
      <c r="B1826" s="139">
        <v>25.3</v>
      </c>
      <c r="C1826" s="318">
        <v>24.77</v>
      </c>
      <c r="D1826" s="318">
        <v>23.29</v>
      </c>
      <c r="E1826" s="318">
        <v>20.28</v>
      </c>
      <c r="F1826" s="554">
        <v>28.95</v>
      </c>
      <c r="G1826" s="134">
        <v>14.75</v>
      </c>
      <c r="H1826" s="547">
        <v>50.65</v>
      </c>
      <c r="I1826" s="652">
        <v>19.55</v>
      </c>
      <c r="J1826" s="667">
        <f>(87/5.966)</f>
        <v>14.582634931277237</v>
      </c>
      <c r="O1826" s="583">
        <v>13.433333333333332</v>
      </c>
    </row>
    <row r="1827" spans="1:15" ht="13.5" thickBot="1">
      <c r="A1827" s="567">
        <v>42121</v>
      </c>
      <c r="B1827" s="139">
        <v>26.18</v>
      </c>
      <c r="C1827" s="318">
        <v>25.73</v>
      </c>
      <c r="D1827" s="318">
        <v>24.26</v>
      </c>
      <c r="E1827" s="318">
        <v>20.78</v>
      </c>
      <c r="F1827" s="554">
        <v>28.95</v>
      </c>
      <c r="G1827" s="134">
        <v>14.75</v>
      </c>
      <c r="H1827" s="547">
        <v>50.65</v>
      </c>
      <c r="I1827" s="652">
        <v>19.55</v>
      </c>
      <c r="J1827" s="667">
        <f>(87/5.966)</f>
        <v>14.582634931277237</v>
      </c>
      <c r="O1827" s="583"/>
    </row>
    <row r="1828" spans="1:15" ht="13.5" thickBot="1">
      <c r="A1828" s="662" t="s">
        <v>524</v>
      </c>
      <c r="B1828" s="663">
        <f t="shared" ref="B1828:H1828" si="180">AVERAGE(B1824:B1827)</f>
        <v>25.244999999999997</v>
      </c>
      <c r="C1828" s="663">
        <f t="shared" si="180"/>
        <v>24.747499999999999</v>
      </c>
      <c r="D1828" s="663">
        <f t="shared" si="180"/>
        <v>23.265000000000001</v>
      </c>
      <c r="E1828" s="663">
        <f t="shared" si="180"/>
        <v>20.04</v>
      </c>
      <c r="F1828" s="663">
        <f t="shared" si="180"/>
        <v>28.462500000000002</v>
      </c>
      <c r="G1828" s="663">
        <f t="shared" si="180"/>
        <v>14.56</v>
      </c>
      <c r="H1828" s="663">
        <f t="shared" si="180"/>
        <v>50.65</v>
      </c>
      <c r="I1828" s="663">
        <f>AVERAGE(I1825:I1827)</f>
        <v>19.55</v>
      </c>
      <c r="J1828" s="664">
        <f>AVERAGE(J1824:J1827)</f>
        <v>14.582634931277237</v>
      </c>
      <c r="O1828" s="583"/>
    </row>
    <row r="1829" spans="1:15">
      <c r="O1829" s="583"/>
    </row>
    <row r="1830" spans="1:15" ht="13.5" thickBot="1">
      <c r="O1830" s="190"/>
    </row>
    <row r="1831" spans="1:15">
      <c r="A1831" s="1695" t="s">
        <v>1</v>
      </c>
      <c r="B1831" s="656" t="s">
        <v>139</v>
      </c>
      <c r="C1831" s="656" t="s">
        <v>140</v>
      </c>
      <c r="D1831" s="656" t="s">
        <v>5</v>
      </c>
      <c r="E1831" s="656" t="s">
        <v>6</v>
      </c>
      <c r="F1831" s="657" t="s">
        <v>57</v>
      </c>
      <c r="G1831" s="658" t="s">
        <v>154</v>
      </c>
      <c r="H1831" s="657" t="s">
        <v>149</v>
      </c>
      <c r="I1831" s="658" t="s">
        <v>155</v>
      </c>
      <c r="J1831" s="659" t="s">
        <v>61</v>
      </c>
      <c r="O1831" s="190"/>
    </row>
    <row r="1832" spans="1:15">
      <c r="A1832" s="1696"/>
      <c r="B1832" s="660" t="s">
        <v>146</v>
      </c>
      <c r="C1832" s="660" t="s">
        <v>146</v>
      </c>
      <c r="D1832" s="660" t="s">
        <v>146</v>
      </c>
      <c r="E1832" s="660" t="s">
        <v>146</v>
      </c>
      <c r="F1832" s="660" t="s">
        <v>146</v>
      </c>
      <c r="G1832" s="660" t="s">
        <v>146</v>
      </c>
      <c r="H1832" s="660" t="s">
        <v>146</v>
      </c>
      <c r="I1832" s="660" t="s">
        <v>146</v>
      </c>
      <c r="J1832" s="661" t="s">
        <v>146</v>
      </c>
      <c r="O1832" s="190"/>
    </row>
    <row r="1833" spans="1:15">
      <c r="A1833" s="10">
        <v>42128</v>
      </c>
      <c r="B1833" s="139">
        <v>26.43</v>
      </c>
      <c r="C1833" s="318">
        <v>25.94</v>
      </c>
      <c r="D1833" s="318">
        <v>24.48</v>
      </c>
      <c r="E1833" s="318">
        <v>21.1</v>
      </c>
      <c r="F1833" s="554">
        <v>28.95</v>
      </c>
      <c r="G1833" s="134">
        <v>14.04</v>
      </c>
      <c r="H1833" s="547">
        <v>46.5</v>
      </c>
      <c r="I1833" s="652">
        <v>19.55</v>
      </c>
      <c r="J1833" s="667">
        <f>(80/5.966)</f>
        <v>13.40931947703654</v>
      </c>
    </row>
    <row r="1834" spans="1:15">
      <c r="A1834" s="10">
        <v>42135</v>
      </c>
      <c r="B1834" s="139">
        <v>26.8</v>
      </c>
      <c r="C1834" s="318">
        <v>26.31</v>
      </c>
      <c r="D1834" s="318">
        <v>24.81</v>
      </c>
      <c r="E1834" s="318">
        <v>21.52</v>
      </c>
      <c r="F1834" s="554">
        <v>28.95</v>
      </c>
      <c r="G1834" s="134">
        <v>13.9</v>
      </c>
      <c r="H1834" s="547">
        <v>46.5</v>
      </c>
      <c r="I1834" s="652">
        <v>19.55</v>
      </c>
      <c r="J1834" s="667">
        <f>(80/5.966)</f>
        <v>13.40931947703654</v>
      </c>
    </row>
    <row r="1835" spans="1:15">
      <c r="A1835" s="10">
        <v>42142</v>
      </c>
      <c r="B1835" s="139">
        <v>26.49</v>
      </c>
      <c r="C1835" s="318">
        <v>26</v>
      </c>
      <c r="D1835" s="318">
        <v>24.54</v>
      </c>
      <c r="E1835" s="318">
        <v>21.35</v>
      </c>
      <c r="F1835" s="554">
        <v>28.95</v>
      </c>
      <c r="G1835" s="134">
        <v>13.75</v>
      </c>
      <c r="H1835" s="547">
        <v>46.5</v>
      </c>
      <c r="I1835" s="652">
        <v>19.55</v>
      </c>
      <c r="J1835" s="667">
        <f>(75/5.966)</f>
        <v>12.571237009721756</v>
      </c>
      <c r="O1835" s="712" t="s">
        <v>527</v>
      </c>
    </row>
    <row r="1836" spans="1:15" ht="13.5" thickBot="1">
      <c r="A1836" s="10">
        <v>41419</v>
      </c>
      <c r="B1836" s="139">
        <v>26.48</v>
      </c>
      <c r="C1836" s="318">
        <v>25.98</v>
      </c>
      <c r="D1836" s="318">
        <v>24.51</v>
      </c>
      <c r="E1836" s="318">
        <v>21.32</v>
      </c>
      <c r="F1836" s="554">
        <v>28.95</v>
      </c>
      <c r="G1836" s="134">
        <v>13.43</v>
      </c>
      <c r="H1836" s="547">
        <v>46.5</v>
      </c>
      <c r="I1836" s="652">
        <v>19.75</v>
      </c>
      <c r="J1836" s="667">
        <f>(75/5.966)</f>
        <v>12.571237009721756</v>
      </c>
    </row>
    <row r="1837" spans="1:15" ht="13.5" thickBot="1">
      <c r="A1837" s="662" t="s">
        <v>525</v>
      </c>
      <c r="B1837" s="663">
        <f>AVERAGE(B1834:B1836)</f>
        <v>26.59</v>
      </c>
      <c r="C1837" s="663">
        <f>AVERAGE(C1834:C1836)</f>
        <v>26.096666666666668</v>
      </c>
      <c r="D1837" s="663">
        <f>AVERAGE(D1834:D1836)</f>
        <v>24.62</v>
      </c>
      <c r="E1837" s="663">
        <f>AVERAGE(E1834:E1836)</f>
        <v>21.396666666666665</v>
      </c>
      <c r="F1837" s="663">
        <f>AVERAGE(F1833:F1836)</f>
        <v>28.95</v>
      </c>
      <c r="G1837" s="663">
        <f>AVERAGE(G1834:G1836)</f>
        <v>13.693333333333333</v>
      </c>
      <c r="H1837" s="663">
        <f>AVERAGE(H1834:H1836)</f>
        <v>46.5</v>
      </c>
      <c r="I1837" s="663">
        <f>AVERAGE(I1834:I1836)</f>
        <v>19.616666666666667</v>
      </c>
      <c r="J1837" s="664">
        <f>AVERAGE(J1833:J1836)</f>
        <v>12.990278243379148</v>
      </c>
    </row>
    <row r="1838" spans="1:15">
      <c r="A1838" s="564"/>
      <c r="B1838" s="564"/>
      <c r="C1838" s="564"/>
      <c r="D1838" s="564"/>
      <c r="E1838" s="564"/>
      <c r="F1838" s="564"/>
      <c r="G1838" s="564"/>
      <c r="H1838" s="548"/>
      <c r="I1838" s="564"/>
      <c r="J1838" s="564"/>
    </row>
    <row r="1839" spans="1:15" ht="13.5" thickBot="1">
      <c r="A1839" s="564"/>
      <c r="B1839" s="564"/>
      <c r="C1839" s="564"/>
      <c r="D1839" s="564"/>
      <c r="E1839" s="564"/>
      <c r="F1839" s="564"/>
      <c r="G1839" s="564"/>
      <c r="H1839" s="548"/>
      <c r="I1839" s="564"/>
      <c r="J1839" s="564"/>
    </row>
    <row r="1840" spans="1:15">
      <c r="A1840" s="1695" t="s">
        <v>1</v>
      </c>
      <c r="B1840" s="656" t="s">
        <v>139</v>
      </c>
      <c r="C1840" s="656" t="s">
        <v>140</v>
      </c>
      <c r="D1840" s="656" t="s">
        <v>5</v>
      </c>
      <c r="E1840" s="656" t="s">
        <v>6</v>
      </c>
      <c r="F1840" s="657" t="s">
        <v>57</v>
      </c>
      <c r="G1840" s="658" t="s">
        <v>154</v>
      </c>
      <c r="H1840" s="657" t="s">
        <v>149</v>
      </c>
      <c r="I1840" s="658" t="s">
        <v>155</v>
      </c>
      <c r="J1840" s="659" t="s">
        <v>61</v>
      </c>
    </row>
    <row r="1841" spans="1:10" ht="13.5" thickBot="1">
      <c r="A1841" s="1696"/>
      <c r="B1841" s="711" t="s">
        <v>146</v>
      </c>
      <c r="C1841" s="711" t="s">
        <v>146</v>
      </c>
      <c r="D1841" s="711" t="s">
        <v>146</v>
      </c>
      <c r="E1841" s="711" t="s">
        <v>146</v>
      </c>
      <c r="F1841" s="711" t="s">
        <v>146</v>
      </c>
      <c r="G1841" s="711" t="s">
        <v>146</v>
      </c>
      <c r="H1841" s="711" t="s">
        <v>146</v>
      </c>
      <c r="I1841" s="711" t="s">
        <v>146</v>
      </c>
      <c r="J1841" s="661" t="s">
        <v>146</v>
      </c>
    </row>
    <row r="1842" spans="1:10">
      <c r="A1842" s="103">
        <v>42156</v>
      </c>
      <c r="B1842" s="139">
        <v>26.03</v>
      </c>
      <c r="C1842" s="318">
        <v>26.35</v>
      </c>
      <c r="D1842" s="318">
        <v>24.84</v>
      </c>
      <c r="E1842" s="318">
        <v>21.2</v>
      </c>
      <c r="F1842" s="713">
        <v>28.95</v>
      </c>
      <c r="G1842" s="714">
        <v>13.43</v>
      </c>
      <c r="H1842" s="715">
        <v>43.25</v>
      </c>
      <c r="I1842" s="716">
        <v>19.55</v>
      </c>
      <c r="J1842" s="666">
        <f>(75/5.966)</f>
        <v>12.571237009721756</v>
      </c>
    </row>
    <row r="1843" spans="1:10">
      <c r="A1843" s="103">
        <v>42163</v>
      </c>
      <c r="B1843" s="139">
        <v>27</v>
      </c>
      <c r="C1843" s="318">
        <v>26.5</v>
      </c>
      <c r="D1843" s="318">
        <v>25</v>
      </c>
      <c r="E1843" s="318">
        <v>21.31</v>
      </c>
      <c r="F1843" s="554">
        <v>28.95</v>
      </c>
      <c r="G1843" s="134">
        <v>13.43</v>
      </c>
      <c r="H1843" s="547">
        <v>43.25</v>
      </c>
      <c r="I1843" s="652">
        <v>19.55</v>
      </c>
      <c r="J1843" s="667">
        <v>12.57</v>
      </c>
    </row>
    <row r="1844" spans="1:10">
      <c r="A1844" s="103">
        <v>42170</v>
      </c>
      <c r="B1844" s="139">
        <v>27.52</v>
      </c>
      <c r="C1844" s="318">
        <v>26.56</v>
      </c>
      <c r="D1844" s="318">
        <v>25.1</v>
      </c>
      <c r="E1844" s="318">
        <v>20.84</v>
      </c>
      <c r="F1844" s="554">
        <v>28.95</v>
      </c>
      <c r="G1844" s="134">
        <v>13.33</v>
      </c>
      <c r="H1844" s="547">
        <v>43.25</v>
      </c>
      <c r="I1844" s="652">
        <v>19.55</v>
      </c>
      <c r="J1844" s="667">
        <v>12.57</v>
      </c>
    </row>
    <row r="1845" spans="1:10">
      <c r="A1845" s="103">
        <v>42177</v>
      </c>
      <c r="B1845" s="139">
        <v>27.02</v>
      </c>
      <c r="C1845" s="318">
        <v>26.54</v>
      </c>
      <c r="D1845" s="318">
        <v>25.05</v>
      </c>
      <c r="E1845" s="318">
        <v>20.53</v>
      </c>
      <c r="F1845" s="554">
        <v>28.95</v>
      </c>
      <c r="G1845" s="134">
        <v>13.21</v>
      </c>
      <c r="H1845" s="547">
        <v>43.25</v>
      </c>
      <c r="I1845" s="652">
        <v>19.149999999999999</v>
      </c>
      <c r="J1845" s="667">
        <v>12.57</v>
      </c>
    </row>
    <row r="1846" spans="1:10" ht="13.5" thickBot="1">
      <c r="A1846" s="103">
        <v>42184</v>
      </c>
      <c r="B1846" s="139">
        <v>27.02</v>
      </c>
      <c r="C1846" s="318">
        <v>26.54</v>
      </c>
      <c r="D1846" s="318">
        <v>25.05</v>
      </c>
      <c r="E1846" s="318">
        <v>20.53</v>
      </c>
      <c r="F1846" s="717">
        <v>28.95</v>
      </c>
      <c r="G1846" s="718">
        <v>13.2</v>
      </c>
      <c r="H1846" s="719">
        <v>43.25</v>
      </c>
      <c r="I1846" s="720">
        <v>19.149999999999999</v>
      </c>
      <c r="J1846" s="667">
        <v>12.57</v>
      </c>
    </row>
    <row r="1847" spans="1:10" ht="13.5" thickBot="1">
      <c r="A1847" s="662" t="s">
        <v>526</v>
      </c>
      <c r="B1847" s="664">
        <f>AVERAGE(B1842:B1845)</f>
        <v>26.892499999999998</v>
      </c>
      <c r="C1847" s="664">
        <f>AVERAGE(C1842:C1845)</f>
        <v>26.487499999999997</v>
      </c>
      <c r="D1847" s="664">
        <f>AVERAGE(D1842:D1845)</f>
        <v>24.997499999999999</v>
      </c>
      <c r="E1847" s="664">
        <f>AVERAGE(E1842:E1845)</f>
        <v>20.97</v>
      </c>
      <c r="F1847" s="664">
        <f>AVERAGE(F1842:F1846)</f>
        <v>28.95</v>
      </c>
      <c r="G1847" s="664">
        <f>AVERAGE(G1842:G1846)</f>
        <v>13.319999999999999</v>
      </c>
      <c r="H1847" s="664">
        <f>AVERAGE(H1842:H1846)</f>
        <v>43.25</v>
      </c>
      <c r="I1847" s="664">
        <f>AVERAGE(I1842:I1846)</f>
        <v>19.390000000000004</v>
      </c>
      <c r="J1847" s="664">
        <f>AVERAGE(J1842:J1846)</f>
        <v>12.570247401944352</v>
      </c>
    </row>
    <row r="1848" spans="1:10">
      <c r="A1848" s="564"/>
      <c r="B1848" s="564"/>
      <c r="C1848" s="564"/>
      <c r="D1848" s="564"/>
      <c r="E1848" s="564"/>
      <c r="F1848" s="564"/>
      <c r="G1848" s="564"/>
      <c r="H1848" s="548"/>
      <c r="I1848" s="564"/>
      <c r="J1848" s="564"/>
    </row>
    <row r="1849" spans="1:10" ht="13.5" thickBot="1">
      <c r="A1849" s="564"/>
      <c r="B1849" s="564"/>
      <c r="C1849" s="564"/>
      <c r="D1849" s="564"/>
      <c r="E1849" s="564"/>
      <c r="F1849" s="564"/>
      <c r="G1849" s="564"/>
      <c r="H1849" s="548"/>
      <c r="I1849" s="564"/>
      <c r="J1849" s="564"/>
    </row>
    <row r="1850" spans="1:10">
      <c r="A1850" s="1695" t="s">
        <v>1</v>
      </c>
      <c r="B1850" s="656" t="s">
        <v>139</v>
      </c>
      <c r="C1850" s="656" t="s">
        <v>140</v>
      </c>
      <c r="D1850" s="656" t="s">
        <v>5</v>
      </c>
      <c r="E1850" s="656" t="s">
        <v>6</v>
      </c>
      <c r="F1850" s="657" t="s">
        <v>57</v>
      </c>
      <c r="G1850" s="658" t="s">
        <v>154</v>
      </c>
      <c r="H1850" s="657" t="s">
        <v>149</v>
      </c>
      <c r="I1850" s="658" t="s">
        <v>155</v>
      </c>
      <c r="J1850" s="659" t="s">
        <v>61</v>
      </c>
    </row>
    <row r="1851" spans="1:10">
      <c r="A1851" s="1696"/>
      <c r="B1851" s="660" t="s">
        <v>146</v>
      </c>
      <c r="C1851" s="660" t="s">
        <v>146</v>
      </c>
      <c r="D1851" s="660" t="s">
        <v>146</v>
      </c>
      <c r="E1851" s="660" t="s">
        <v>146</v>
      </c>
      <c r="F1851" s="660" t="s">
        <v>146</v>
      </c>
      <c r="G1851" s="660" t="s">
        <v>146</v>
      </c>
      <c r="H1851" s="660" t="s">
        <v>146</v>
      </c>
      <c r="I1851" s="660" t="s">
        <v>146</v>
      </c>
      <c r="J1851" s="661" t="s">
        <v>146</v>
      </c>
    </row>
    <row r="1852" spans="1:10">
      <c r="A1852" s="10">
        <v>42186</v>
      </c>
      <c r="B1852" s="139">
        <v>26.48</v>
      </c>
      <c r="C1852" s="318">
        <v>26.33</v>
      </c>
      <c r="D1852" s="318">
        <v>24.84</v>
      </c>
      <c r="E1852" s="318">
        <v>20.170000000000002</v>
      </c>
      <c r="F1852" s="554">
        <v>28.95</v>
      </c>
      <c r="G1852" s="134">
        <v>13.2</v>
      </c>
      <c r="H1852" s="547">
        <v>42.35</v>
      </c>
      <c r="I1852" s="652">
        <v>19.149999999999999</v>
      </c>
      <c r="J1852" s="667">
        <v>12.57</v>
      </c>
    </row>
    <row r="1853" spans="1:10">
      <c r="A1853" s="10">
        <v>42191</v>
      </c>
      <c r="B1853" s="139">
        <v>27.51</v>
      </c>
      <c r="C1853" s="318">
        <v>27.02</v>
      </c>
      <c r="D1853" s="318">
        <v>25.54</v>
      </c>
      <c r="E1853" s="318">
        <v>20.52</v>
      </c>
      <c r="F1853" s="554">
        <v>28.95</v>
      </c>
      <c r="G1853" s="134">
        <v>13.12</v>
      </c>
      <c r="H1853" s="547">
        <v>42.35</v>
      </c>
      <c r="I1853" s="652">
        <v>19.149999999999999</v>
      </c>
      <c r="J1853" s="667">
        <v>12.57</v>
      </c>
    </row>
    <row r="1854" spans="1:10">
      <c r="A1854" s="10">
        <v>42198</v>
      </c>
      <c r="B1854" s="139">
        <v>27.3</v>
      </c>
      <c r="C1854" s="318">
        <v>26.64</v>
      </c>
      <c r="D1854" s="318">
        <v>25.15</v>
      </c>
      <c r="E1854" s="318">
        <v>19.62</v>
      </c>
      <c r="F1854" s="554">
        <v>28.95</v>
      </c>
      <c r="G1854" s="134">
        <v>13.25</v>
      </c>
      <c r="H1854" s="547">
        <v>42.35</v>
      </c>
      <c r="I1854" s="652">
        <v>19.149999999999999</v>
      </c>
      <c r="J1854" s="667">
        <v>12.57</v>
      </c>
    </row>
    <row r="1855" spans="1:10">
      <c r="A1855" s="10">
        <v>42205</v>
      </c>
      <c r="B1855" s="139">
        <v>26.53</v>
      </c>
      <c r="C1855" s="318">
        <v>26.26</v>
      </c>
      <c r="D1855" s="318">
        <v>24.76</v>
      </c>
      <c r="E1855" s="318">
        <v>18.920000000000002</v>
      </c>
      <c r="F1855" s="554">
        <v>28.95</v>
      </c>
      <c r="G1855" s="134">
        <v>13.21</v>
      </c>
      <c r="H1855" s="547">
        <v>42.35</v>
      </c>
      <c r="I1855" s="652">
        <v>19.05</v>
      </c>
      <c r="J1855" s="667">
        <v>12.57</v>
      </c>
    </row>
    <row r="1856" spans="1:10" ht="13.5" thickBot="1">
      <c r="A1856" s="10">
        <v>42212</v>
      </c>
      <c r="B1856" s="139">
        <v>26.01</v>
      </c>
      <c r="C1856" s="318">
        <v>25.6</v>
      </c>
      <c r="D1856" s="318">
        <v>24.13</v>
      </c>
      <c r="E1856" s="318">
        <v>18.41</v>
      </c>
      <c r="F1856" s="554">
        <v>28.95</v>
      </c>
      <c r="G1856" s="134">
        <v>13.23</v>
      </c>
      <c r="H1856" s="547">
        <v>42.35</v>
      </c>
      <c r="I1856" s="652">
        <v>19.05</v>
      </c>
      <c r="J1856" s="667">
        <v>12.57</v>
      </c>
    </row>
    <row r="1857" spans="1:10" ht="13.5" thickBot="1">
      <c r="A1857" s="662" t="s">
        <v>528</v>
      </c>
      <c r="B1857" s="663">
        <f t="shared" ref="B1857:J1857" si="181">AVERAGE(B1852:B1856)</f>
        <v>26.766000000000002</v>
      </c>
      <c r="C1857" s="663">
        <f t="shared" si="181"/>
        <v>26.369999999999997</v>
      </c>
      <c r="D1857" s="663">
        <f t="shared" si="181"/>
        <v>24.884</v>
      </c>
      <c r="E1857" s="663">
        <f t="shared" si="181"/>
        <v>19.527999999999999</v>
      </c>
      <c r="F1857" s="663">
        <f t="shared" si="181"/>
        <v>28.95</v>
      </c>
      <c r="G1857" s="663">
        <f t="shared" si="181"/>
        <v>13.202000000000002</v>
      </c>
      <c r="H1857" s="663">
        <f t="shared" si="181"/>
        <v>42.35</v>
      </c>
      <c r="I1857" s="663">
        <f t="shared" si="181"/>
        <v>19.11</v>
      </c>
      <c r="J1857" s="663">
        <f t="shared" si="181"/>
        <v>12.57</v>
      </c>
    </row>
    <row r="1858" spans="1:10">
      <c r="A1858" s="564"/>
      <c r="B1858" s="564"/>
      <c r="C1858" s="564"/>
      <c r="D1858" s="564"/>
      <c r="E1858" s="564"/>
      <c r="F1858" s="564"/>
      <c r="G1858" s="564"/>
      <c r="H1858" s="548"/>
      <c r="I1858" s="564"/>
      <c r="J1858" s="564"/>
    </row>
    <row r="1859" spans="1:10" ht="13.5" thickBot="1">
      <c r="A1859" s="564"/>
      <c r="B1859" s="564"/>
      <c r="C1859" s="564"/>
      <c r="D1859" s="564"/>
      <c r="E1859" s="564"/>
      <c r="F1859" s="564"/>
      <c r="G1859" s="564"/>
      <c r="H1859" s="548"/>
      <c r="I1859" s="564"/>
      <c r="J1859" s="564"/>
    </row>
    <row r="1860" spans="1:10">
      <c r="A1860" s="1695" t="s">
        <v>1</v>
      </c>
      <c r="B1860" s="656" t="s">
        <v>139</v>
      </c>
      <c r="C1860" s="656" t="s">
        <v>140</v>
      </c>
      <c r="D1860" s="656" t="s">
        <v>5</v>
      </c>
      <c r="E1860" s="656" t="s">
        <v>6</v>
      </c>
      <c r="F1860" s="657" t="s">
        <v>57</v>
      </c>
      <c r="G1860" s="658" t="s">
        <v>154</v>
      </c>
      <c r="H1860" s="657" t="s">
        <v>149</v>
      </c>
      <c r="I1860" s="658" t="s">
        <v>155</v>
      </c>
      <c r="J1860" s="659" t="s">
        <v>61</v>
      </c>
    </row>
    <row r="1861" spans="1:10">
      <c r="A1861" s="1696"/>
      <c r="B1861" s="660" t="s">
        <v>146</v>
      </c>
      <c r="C1861" s="660" t="s">
        <v>146</v>
      </c>
      <c r="D1861" s="660" t="s">
        <v>146</v>
      </c>
      <c r="E1861" s="660" t="s">
        <v>146</v>
      </c>
      <c r="F1861" s="660" t="s">
        <v>146</v>
      </c>
      <c r="G1861" s="660" t="s">
        <v>146</v>
      </c>
      <c r="H1861" s="660" t="s">
        <v>146</v>
      </c>
      <c r="I1861" s="660" t="s">
        <v>146</v>
      </c>
      <c r="J1861" s="661" t="s">
        <v>146</v>
      </c>
    </row>
    <row r="1862" spans="1:10">
      <c r="A1862" s="112">
        <v>42219</v>
      </c>
      <c r="B1862" s="139">
        <v>25.52</v>
      </c>
      <c r="C1862" s="318">
        <v>25.07</v>
      </c>
      <c r="D1862" s="318">
        <v>23.59</v>
      </c>
      <c r="E1862" s="318">
        <v>18.07</v>
      </c>
      <c r="F1862" s="554">
        <v>28.95</v>
      </c>
      <c r="G1862" s="721">
        <v>13.23</v>
      </c>
      <c r="H1862" s="722">
        <v>42.35</v>
      </c>
      <c r="I1862" s="652">
        <v>19.05</v>
      </c>
      <c r="J1862" s="723">
        <v>12.57</v>
      </c>
    </row>
    <row r="1863" spans="1:10">
      <c r="A1863" s="112">
        <v>42226</v>
      </c>
      <c r="B1863" s="139">
        <v>25.01</v>
      </c>
      <c r="C1863" s="318">
        <v>24.57</v>
      </c>
      <c r="D1863" s="318">
        <v>23.08</v>
      </c>
      <c r="E1863" s="318">
        <v>17.57</v>
      </c>
      <c r="F1863" s="554">
        <v>28.95</v>
      </c>
      <c r="G1863" s="134">
        <v>12.73</v>
      </c>
      <c r="H1863" s="722">
        <v>42.35</v>
      </c>
      <c r="I1863" s="652">
        <v>19.05</v>
      </c>
      <c r="J1863" s="723">
        <v>12.57</v>
      </c>
    </row>
    <row r="1864" spans="1:10">
      <c r="A1864" s="112">
        <v>42233</v>
      </c>
      <c r="B1864" s="139">
        <v>25.01</v>
      </c>
      <c r="C1864" s="318">
        <v>24.52</v>
      </c>
      <c r="D1864" s="318">
        <v>23.02</v>
      </c>
      <c r="E1864" s="318">
        <v>17.52</v>
      </c>
      <c r="F1864" s="554">
        <v>28.95</v>
      </c>
      <c r="G1864" s="134">
        <v>12.32</v>
      </c>
      <c r="H1864" s="722">
        <v>42.35</v>
      </c>
      <c r="I1864" s="652">
        <v>19.05</v>
      </c>
      <c r="J1864" s="723">
        <v>12.57</v>
      </c>
    </row>
    <row r="1865" spans="1:10">
      <c r="A1865" s="112">
        <v>42240</v>
      </c>
      <c r="B1865" s="139">
        <v>24.52</v>
      </c>
      <c r="C1865" s="318">
        <v>24.07</v>
      </c>
      <c r="D1865" s="318">
        <v>22.6</v>
      </c>
      <c r="E1865" s="318">
        <v>17.2</v>
      </c>
      <c r="F1865" s="554">
        <v>28.95</v>
      </c>
      <c r="G1865" s="134">
        <v>11.91</v>
      </c>
      <c r="H1865" s="722">
        <v>42.35</v>
      </c>
      <c r="I1865" s="652">
        <v>19.05</v>
      </c>
      <c r="J1865" s="723">
        <v>12.57</v>
      </c>
    </row>
    <row r="1866" spans="1:10" ht="13.5" thickBot="1">
      <c r="A1866" s="112">
        <v>42247</v>
      </c>
      <c r="B1866" s="139">
        <v>24.04</v>
      </c>
      <c r="C1866" s="318">
        <v>23.6</v>
      </c>
      <c r="D1866" s="318">
        <v>22.12</v>
      </c>
      <c r="E1866" s="318">
        <v>16.63</v>
      </c>
      <c r="F1866" s="554">
        <v>28.95</v>
      </c>
      <c r="G1866" s="134">
        <v>11.68</v>
      </c>
      <c r="H1866" s="722">
        <v>42.35</v>
      </c>
      <c r="I1866" s="652">
        <v>19.05</v>
      </c>
      <c r="J1866" s="723">
        <v>12.57</v>
      </c>
    </row>
    <row r="1867" spans="1:10" ht="13.5" thickBot="1">
      <c r="A1867" s="662" t="s">
        <v>529</v>
      </c>
      <c r="B1867" s="663">
        <f t="shared" ref="B1867:J1867" si="182">AVERAGE(B1862:B1866)</f>
        <v>24.82</v>
      </c>
      <c r="C1867" s="663">
        <f t="shared" si="182"/>
        <v>24.365999999999996</v>
      </c>
      <c r="D1867" s="663">
        <f t="shared" si="182"/>
        <v>22.881999999999998</v>
      </c>
      <c r="E1867" s="663">
        <f t="shared" si="182"/>
        <v>17.398</v>
      </c>
      <c r="F1867" s="663">
        <f t="shared" si="182"/>
        <v>28.95</v>
      </c>
      <c r="G1867" s="663">
        <f t="shared" si="182"/>
        <v>12.373999999999999</v>
      </c>
      <c r="H1867" s="663">
        <f t="shared" si="182"/>
        <v>42.35</v>
      </c>
      <c r="I1867" s="663">
        <f t="shared" si="182"/>
        <v>19.05</v>
      </c>
      <c r="J1867" s="663">
        <f t="shared" si="182"/>
        <v>12.57</v>
      </c>
    </row>
    <row r="1868" spans="1:10">
      <c r="A1868" s="564"/>
      <c r="B1868" s="564"/>
      <c r="C1868" s="564"/>
      <c r="D1868" s="564"/>
      <c r="E1868" s="564"/>
      <c r="F1868" s="564"/>
      <c r="G1868" s="564"/>
      <c r="H1868" s="548"/>
      <c r="I1868" s="564"/>
      <c r="J1868" s="564"/>
    </row>
    <row r="1869" spans="1:10" ht="13.5" thickBot="1">
      <c r="A1869" s="564"/>
      <c r="B1869" s="564"/>
      <c r="C1869" s="564"/>
      <c r="D1869" s="564"/>
      <c r="E1869" s="564"/>
      <c r="F1869" s="564"/>
      <c r="G1869" s="564"/>
      <c r="H1869" s="548"/>
      <c r="I1869" s="564"/>
      <c r="J1869" s="564"/>
    </row>
    <row r="1870" spans="1:10">
      <c r="A1870" s="1695" t="s">
        <v>1</v>
      </c>
      <c r="B1870" s="656" t="s">
        <v>139</v>
      </c>
      <c r="C1870" s="656" t="s">
        <v>140</v>
      </c>
      <c r="D1870" s="656" t="s">
        <v>5</v>
      </c>
      <c r="E1870" s="656" t="s">
        <v>6</v>
      </c>
      <c r="F1870" s="657" t="s">
        <v>57</v>
      </c>
      <c r="G1870" s="658" t="s">
        <v>154</v>
      </c>
      <c r="H1870" s="657" t="s">
        <v>149</v>
      </c>
      <c r="I1870" s="658" t="s">
        <v>155</v>
      </c>
      <c r="J1870" s="659" t="s">
        <v>61</v>
      </c>
    </row>
    <row r="1871" spans="1:10">
      <c r="A1871" s="1696"/>
      <c r="B1871" s="660" t="s">
        <v>146</v>
      </c>
      <c r="C1871" s="660" t="s">
        <v>146</v>
      </c>
      <c r="D1871" s="660" t="s">
        <v>146</v>
      </c>
      <c r="E1871" s="660" t="s">
        <v>146</v>
      </c>
      <c r="F1871" s="660" t="s">
        <v>146</v>
      </c>
      <c r="G1871" s="660" t="s">
        <v>146</v>
      </c>
      <c r="H1871" s="660" t="s">
        <v>146</v>
      </c>
      <c r="I1871" s="660" t="s">
        <v>146</v>
      </c>
      <c r="J1871" s="661" t="s">
        <v>146</v>
      </c>
    </row>
    <row r="1872" spans="1:10">
      <c r="A1872" s="10">
        <v>42255</v>
      </c>
      <c r="B1872" s="139">
        <v>23.52</v>
      </c>
      <c r="C1872" s="318">
        <v>23.05</v>
      </c>
      <c r="D1872" s="318">
        <v>21.56</v>
      </c>
      <c r="E1872" s="318">
        <v>18.010000000000002</v>
      </c>
      <c r="F1872" s="554">
        <v>28.95</v>
      </c>
      <c r="G1872" s="721">
        <v>11.78</v>
      </c>
      <c r="H1872" s="722">
        <v>42.35</v>
      </c>
      <c r="I1872" s="652">
        <v>19.05</v>
      </c>
      <c r="J1872" s="723">
        <v>12.57</v>
      </c>
    </row>
    <row r="1873" spans="1:10">
      <c r="A1873" s="10">
        <v>42261</v>
      </c>
      <c r="B1873" s="139">
        <v>23.05</v>
      </c>
      <c r="C1873" s="318">
        <v>22.57</v>
      </c>
      <c r="D1873" s="318">
        <v>21.1</v>
      </c>
      <c r="E1873" s="318">
        <v>17.829999999999998</v>
      </c>
      <c r="F1873" s="554">
        <v>28.95</v>
      </c>
      <c r="G1873" s="134">
        <v>11.51</v>
      </c>
      <c r="H1873" s="722">
        <v>42.35</v>
      </c>
      <c r="I1873" s="652">
        <v>19.05</v>
      </c>
      <c r="J1873" s="723">
        <v>12.57</v>
      </c>
    </row>
    <row r="1874" spans="1:10">
      <c r="A1874" s="10">
        <v>42268</v>
      </c>
      <c r="B1874" s="139">
        <v>22.54</v>
      </c>
      <c r="C1874" s="318">
        <v>22.32</v>
      </c>
      <c r="D1874" s="318">
        <v>20.84</v>
      </c>
      <c r="E1874" s="318">
        <v>17.54</v>
      </c>
      <c r="F1874" s="554">
        <v>28.95</v>
      </c>
      <c r="G1874" s="134">
        <v>11.08</v>
      </c>
      <c r="H1874" s="722">
        <v>42.35</v>
      </c>
      <c r="I1874" s="652">
        <v>19.05</v>
      </c>
      <c r="J1874" s="723">
        <v>12.57</v>
      </c>
    </row>
    <row r="1875" spans="1:10" ht="13.5" thickBot="1">
      <c r="A1875" s="10">
        <v>42275</v>
      </c>
      <c r="B1875" s="139">
        <v>22.25</v>
      </c>
      <c r="C1875" s="318">
        <v>21.74</v>
      </c>
      <c r="D1875" s="318">
        <v>20.27</v>
      </c>
      <c r="E1875" s="318">
        <v>17.12</v>
      </c>
      <c r="F1875" s="554">
        <v>28.95</v>
      </c>
      <c r="G1875" s="134">
        <v>10.7</v>
      </c>
      <c r="H1875" s="722">
        <v>42.35</v>
      </c>
      <c r="I1875" s="652">
        <v>19.05</v>
      </c>
      <c r="J1875" s="723">
        <v>12.57</v>
      </c>
    </row>
    <row r="1876" spans="1:10" ht="13.5" thickBot="1">
      <c r="A1876" s="662" t="s">
        <v>530</v>
      </c>
      <c r="B1876" s="663">
        <f t="shared" ref="B1876:H1876" si="183">AVERAGE(B1872:B1875)</f>
        <v>22.84</v>
      </c>
      <c r="C1876" s="663">
        <f t="shared" si="183"/>
        <v>22.419999999999998</v>
      </c>
      <c r="D1876" s="663">
        <f t="shared" si="183"/>
        <v>20.942499999999999</v>
      </c>
      <c r="E1876" s="663">
        <f t="shared" si="183"/>
        <v>17.625</v>
      </c>
      <c r="F1876" s="663">
        <f t="shared" si="183"/>
        <v>28.95</v>
      </c>
      <c r="G1876" s="663">
        <f t="shared" si="183"/>
        <v>11.267499999999998</v>
      </c>
      <c r="H1876" s="663">
        <f t="shared" si="183"/>
        <v>42.35</v>
      </c>
      <c r="I1876" s="663">
        <f>AVERAGE(I1872:I1875)</f>
        <v>19.05</v>
      </c>
      <c r="J1876" s="663">
        <f>AVERAGE(J1872:J1875)</f>
        <v>12.57</v>
      </c>
    </row>
    <row r="1877" spans="1:10" ht="13.5" thickBot="1">
      <c r="A1877" s="564"/>
      <c r="B1877" s="564"/>
      <c r="C1877" s="564"/>
      <c r="D1877" s="564"/>
      <c r="E1877" s="564"/>
      <c r="F1877" s="564"/>
      <c r="G1877" s="564"/>
      <c r="H1877" s="548"/>
      <c r="I1877" s="564"/>
      <c r="J1877" s="564"/>
    </row>
    <row r="1878" spans="1:10">
      <c r="A1878" s="1695" t="s">
        <v>1</v>
      </c>
      <c r="B1878" s="656" t="s">
        <v>139</v>
      </c>
      <c r="C1878" s="656" t="s">
        <v>140</v>
      </c>
      <c r="D1878" s="656" t="s">
        <v>5</v>
      </c>
      <c r="E1878" s="656" t="s">
        <v>6</v>
      </c>
      <c r="F1878" s="657" t="s">
        <v>57</v>
      </c>
      <c r="G1878" s="658" t="s">
        <v>154</v>
      </c>
      <c r="H1878" s="657" t="s">
        <v>149</v>
      </c>
      <c r="I1878" s="658" t="s">
        <v>155</v>
      </c>
      <c r="J1878" s="659" t="s">
        <v>61</v>
      </c>
    </row>
    <row r="1879" spans="1:10" ht="13.5" thickBot="1">
      <c r="A1879" s="1696"/>
      <c r="B1879" s="660" t="s">
        <v>146</v>
      </c>
      <c r="C1879" s="660" t="s">
        <v>146</v>
      </c>
      <c r="D1879" s="660" t="s">
        <v>146</v>
      </c>
      <c r="E1879" s="660" t="s">
        <v>146</v>
      </c>
      <c r="F1879" s="660" t="s">
        <v>146</v>
      </c>
      <c r="G1879" s="660" t="s">
        <v>146</v>
      </c>
      <c r="H1879" s="660" t="s">
        <v>146</v>
      </c>
      <c r="I1879" s="660" t="s">
        <v>146</v>
      </c>
      <c r="J1879" s="661" t="s">
        <v>146</v>
      </c>
    </row>
    <row r="1880" spans="1:10">
      <c r="A1880" s="74">
        <v>42282</v>
      </c>
      <c r="B1880" s="139">
        <v>23.21</v>
      </c>
      <c r="C1880" s="318">
        <v>22.7</v>
      </c>
      <c r="D1880" s="318">
        <v>21.21</v>
      </c>
      <c r="E1880" s="318">
        <v>18.010000000000002</v>
      </c>
      <c r="F1880" s="554">
        <v>28.95</v>
      </c>
      <c r="G1880" s="721">
        <v>10.55</v>
      </c>
      <c r="H1880" s="722">
        <v>42.35</v>
      </c>
      <c r="I1880" s="652">
        <v>19.05</v>
      </c>
      <c r="J1880" s="723">
        <v>12.57</v>
      </c>
    </row>
    <row r="1881" spans="1:10">
      <c r="A1881" s="10">
        <v>42289</v>
      </c>
      <c r="B1881" s="139">
        <v>23.21</v>
      </c>
      <c r="C1881" s="318">
        <v>22.71</v>
      </c>
      <c r="D1881" s="318">
        <v>21.21</v>
      </c>
      <c r="E1881" s="318">
        <v>18.010000000000002</v>
      </c>
      <c r="F1881" s="554">
        <v>28.95</v>
      </c>
      <c r="G1881" s="134">
        <v>10.55</v>
      </c>
      <c r="H1881" s="722">
        <v>42.35</v>
      </c>
      <c r="I1881" s="652">
        <v>19.05</v>
      </c>
      <c r="J1881" s="723">
        <v>12.57</v>
      </c>
    </row>
    <row r="1882" spans="1:10">
      <c r="A1882" s="10">
        <v>42296</v>
      </c>
      <c r="B1882" s="139">
        <v>22.04</v>
      </c>
      <c r="C1882" s="318">
        <v>21.55</v>
      </c>
      <c r="D1882" s="318">
        <v>20.09</v>
      </c>
      <c r="E1882" s="318">
        <v>17.53</v>
      </c>
      <c r="F1882" s="554">
        <v>28.95</v>
      </c>
      <c r="G1882" s="134">
        <v>10.48</v>
      </c>
      <c r="H1882" s="722">
        <v>42.35</v>
      </c>
      <c r="I1882" s="652">
        <v>19.05</v>
      </c>
      <c r="J1882" s="723">
        <v>12.57</v>
      </c>
    </row>
    <row r="1883" spans="1:10" ht="13.5" thickBot="1">
      <c r="A1883" s="567">
        <v>42304</v>
      </c>
      <c r="B1883" s="139">
        <v>21.51</v>
      </c>
      <c r="C1883" s="318">
        <v>21.03</v>
      </c>
      <c r="D1883" s="318">
        <v>19.54</v>
      </c>
      <c r="E1883" s="318">
        <v>17.05</v>
      </c>
      <c r="F1883" s="554">
        <v>28.95</v>
      </c>
      <c r="G1883" s="134">
        <v>10.15</v>
      </c>
      <c r="H1883" s="722">
        <v>42.35</v>
      </c>
      <c r="I1883" s="652">
        <v>19.05</v>
      </c>
      <c r="J1883" s="723">
        <v>12.57</v>
      </c>
    </row>
    <row r="1884" spans="1:10" ht="13.5" thickBot="1">
      <c r="A1884" s="662" t="s">
        <v>531</v>
      </c>
      <c r="B1884" s="663">
        <f t="shared" ref="B1884:H1884" si="184">AVERAGE(B1880:B1883)</f>
        <v>22.492500000000003</v>
      </c>
      <c r="C1884" s="663">
        <f t="shared" si="184"/>
        <v>21.997499999999999</v>
      </c>
      <c r="D1884" s="663">
        <f t="shared" si="184"/>
        <v>20.512500000000003</v>
      </c>
      <c r="E1884" s="663">
        <f t="shared" si="184"/>
        <v>17.650000000000002</v>
      </c>
      <c r="F1884" s="663">
        <f t="shared" si="184"/>
        <v>28.95</v>
      </c>
      <c r="G1884" s="663">
        <f t="shared" si="184"/>
        <v>10.432500000000001</v>
      </c>
      <c r="H1884" s="663">
        <f t="shared" si="184"/>
        <v>42.35</v>
      </c>
      <c r="I1884" s="663">
        <f>AVERAGE(I1880:I1883)</f>
        <v>19.05</v>
      </c>
      <c r="J1884" s="663">
        <f>AVERAGE(J1880:J1883)</f>
        <v>12.57</v>
      </c>
    </row>
    <row r="1885" spans="1:10" ht="13.5" thickBot="1">
      <c r="A1885" s="564"/>
      <c r="B1885" s="564"/>
      <c r="C1885" s="564"/>
      <c r="D1885" s="564"/>
      <c r="E1885" s="564"/>
      <c r="F1885" s="564"/>
      <c r="G1885" s="564"/>
      <c r="H1885" s="548"/>
      <c r="I1885" s="564"/>
      <c r="J1885" s="564"/>
    </row>
    <row r="1886" spans="1:10">
      <c r="A1886" s="1695" t="s">
        <v>1</v>
      </c>
      <c r="B1886" s="656" t="s">
        <v>139</v>
      </c>
      <c r="C1886" s="656" t="s">
        <v>140</v>
      </c>
      <c r="D1886" s="656" t="s">
        <v>5</v>
      </c>
      <c r="E1886" s="656" t="s">
        <v>6</v>
      </c>
      <c r="F1886" s="657" t="s">
        <v>57</v>
      </c>
      <c r="G1886" s="658" t="s">
        <v>154</v>
      </c>
      <c r="H1886" s="657" t="s">
        <v>149</v>
      </c>
      <c r="I1886" s="658" t="s">
        <v>155</v>
      </c>
      <c r="J1886" s="659" t="s">
        <v>61</v>
      </c>
    </row>
    <row r="1887" spans="1:10" ht="13.5" thickBot="1">
      <c r="A1887" s="1696"/>
      <c r="B1887" s="660" t="s">
        <v>146</v>
      </c>
      <c r="C1887" s="660" t="s">
        <v>146</v>
      </c>
      <c r="D1887" s="660" t="s">
        <v>146</v>
      </c>
      <c r="E1887" s="660" t="s">
        <v>146</v>
      </c>
      <c r="F1887" s="660" t="s">
        <v>146</v>
      </c>
      <c r="G1887" s="660" t="s">
        <v>146</v>
      </c>
      <c r="H1887" s="660" t="s">
        <v>146</v>
      </c>
      <c r="I1887" s="660" t="s">
        <v>146</v>
      </c>
      <c r="J1887" s="661" t="s">
        <v>146</v>
      </c>
    </row>
    <row r="1888" spans="1:10">
      <c r="A1888" s="74">
        <v>42311</v>
      </c>
      <c r="B1888" s="139">
        <v>22.49</v>
      </c>
      <c r="C1888" s="318">
        <v>21.91</v>
      </c>
      <c r="D1888" s="318">
        <v>20.440000000000001</v>
      </c>
      <c r="E1888" s="318">
        <v>17.91</v>
      </c>
      <c r="F1888" s="554">
        <v>28.95</v>
      </c>
      <c r="G1888" s="134">
        <v>10.84</v>
      </c>
      <c r="H1888" s="722">
        <v>41.08</v>
      </c>
      <c r="I1888" s="652">
        <v>19.05</v>
      </c>
      <c r="J1888" s="547">
        <f>(90/5.966)</f>
        <v>15.085484411666107</v>
      </c>
    </row>
    <row r="1889" spans="1:10">
      <c r="A1889" s="10">
        <v>42317</v>
      </c>
      <c r="B1889" s="139">
        <v>22.53</v>
      </c>
      <c r="C1889" s="318">
        <v>22</v>
      </c>
      <c r="D1889" s="318">
        <v>20.53</v>
      </c>
      <c r="E1889" s="318">
        <v>17.989999999999998</v>
      </c>
      <c r="F1889" s="554">
        <v>28.95</v>
      </c>
      <c r="G1889" s="134">
        <v>10.5</v>
      </c>
      <c r="H1889" s="722">
        <v>41.08</v>
      </c>
      <c r="I1889" s="652">
        <v>18.05</v>
      </c>
      <c r="J1889" s="547">
        <f>(90/5.966)</f>
        <v>15.085484411666107</v>
      </c>
    </row>
    <row r="1890" spans="1:10">
      <c r="A1890" s="10">
        <v>42324</v>
      </c>
      <c r="B1890" s="139">
        <v>21.81</v>
      </c>
      <c r="C1890" s="318">
        <v>21.35</v>
      </c>
      <c r="D1890" s="318">
        <v>19.850000000000001</v>
      </c>
      <c r="E1890" s="318">
        <v>17.079999999999998</v>
      </c>
      <c r="F1890" s="554">
        <v>28.95</v>
      </c>
      <c r="G1890" s="134">
        <v>10.43</v>
      </c>
      <c r="H1890" s="722">
        <v>41.08</v>
      </c>
      <c r="I1890" s="652">
        <v>18.05</v>
      </c>
      <c r="J1890" s="547">
        <f>(90/5.966)</f>
        <v>15.085484411666107</v>
      </c>
    </row>
    <row r="1891" spans="1:10">
      <c r="A1891" s="10">
        <v>42331</v>
      </c>
      <c r="B1891" s="139">
        <v>20.54</v>
      </c>
      <c r="C1891" s="318">
        <v>20.32</v>
      </c>
      <c r="D1891" s="318">
        <v>18.829999999999998</v>
      </c>
      <c r="E1891" s="318">
        <v>16.57</v>
      </c>
      <c r="F1891" s="554">
        <v>28.95</v>
      </c>
      <c r="G1891" s="134">
        <v>10.25</v>
      </c>
      <c r="H1891" s="722">
        <v>41.08</v>
      </c>
      <c r="I1891" s="652">
        <v>18.05</v>
      </c>
      <c r="J1891" s="547">
        <f>(90/5.966)</f>
        <v>15.085484411666107</v>
      </c>
    </row>
    <row r="1892" spans="1:10" ht="13.5" thickBot="1">
      <c r="A1892" s="567">
        <v>42338</v>
      </c>
      <c r="B1892" s="139">
        <v>20.51</v>
      </c>
      <c r="C1892" s="318">
        <v>20.02</v>
      </c>
      <c r="D1892" s="318">
        <v>18.54</v>
      </c>
      <c r="E1892" s="318">
        <v>16.52</v>
      </c>
      <c r="F1892" s="554">
        <v>28.49</v>
      </c>
      <c r="G1892" s="134">
        <v>10.25</v>
      </c>
      <c r="H1892" s="722">
        <v>41.08</v>
      </c>
      <c r="I1892" s="652">
        <v>18.05</v>
      </c>
      <c r="J1892" s="547">
        <f>(90/5.966)</f>
        <v>15.085484411666107</v>
      </c>
    </row>
    <row r="1893" spans="1:10" ht="13.5" thickBot="1">
      <c r="A1893" s="662" t="s">
        <v>537</v>
      </c>
      <c r="B1893" s="663">
        <f t="shared" ref="B1893:H1893" si="185">AVERAGE(B1888:B1892)</f>
        <v>21.576000000000001</v>
      </c>
      <c r="C1893" s="663">
        <f t="shared" si="185"/>
        <v>21.119999999999997</v>
      </c>
      <c r="D1893" s="663">
        <f t="shared" si="185"/>
        <v>19.637999999999998</v>
      </c>
      <c r="E1893" s="663">
        <f t="shared" si="185"/>
        <v>17.213999999999999</v>
      </c>
      <c r="F1893" s="663">
        <f t="shared" si="185"/>
        <v>28.857999999999997</v>
      </c>
      <c r="G1893" s="663">
        <f t="shared" si="185"/>
        <v>10.453999999999999</v>
      </c>
      <c r="H1893" s="663">
        <f t="shared" si="185"/>
        <v>41.08</v>
      </c>
      <c r="I1893" s="663">
        <f>AVERAGE(I1888:I1892)</f>
        <v>18.25</v>
      </c>
      <c r="J1893" s="663">
        <f>AVERAGE(J1888:J1892)</f>
        <v>15.085484411666107</v>
      </c>
    </row>
    <row r="1894" spans="1:10" ht="13.5" thickBot="1">
      <c r="A1894" s="564"/>
      <c r="B1894" s="564"/>
      <c r="C1894" s="564"/>
      <c r="D1894" s="564"/>
      <c r="E1894" s="564"/>
      <c r="F1894" s="564"/>
      <c r="G1894" s="564"/>
      <c r="H1894" s="548"/>
      <c r="I1894" s="564"/>
      <c r="J1894" s="564"/>
    </row>
    <row r="1895" spans="1:10">
      <c r="A1895" s="1695" t="s">
        <v>1</v>
      </c>
      <c r="B1895" s="656" t="s">
        <v>139</v>
      </c>
      <c r="C1895" s="656" t="s">
        <v>140</v>
      </c>
      <c r="D1895" s="656" t="s">
        <v>5</v>
      </c>
      <c r="E1895" s="656" t="s">
        <v>6</v>
      </c>
      <c r="F1895" s="657" t="s">
        <v>57</v>
      </c>
      <c r="G1895" s="658" t="s">
        <v>154</v>
      </c>
      <c r="H1895" s="657" t="s">
        <v>149</v>
      </c>
      <c r="I1895" s="658" t="s">
        <v>155</v>
      </c>
      <c r="J1895" s="659" t="s">
        <v>61</v>
      </c>
    </row>
    <row r="1896" spans="1:10" ht="13.5" thickBot="1">
      <c r="A1896" s="1696"/>
      <c r="B1896" s="711" t="s">
        <v>146</v>
      </c>
      <c r="C1896" s="711" t="s">
        <v>146</v>
      </c>
      <c r="D1896" s="711" t="s">
        <v>146</v>
      </c>
      <c r="E1896" s="711" t="s">
        <v>146</v>
      </c>
      <c r="F1896" s="711" t="s">
        <v>146</v>
      </c>
      <c r="G1896" s="711" t="s">
        <v>146</v>
      </c>
      <c r="H1896" s="711" t="s">
        <v>146</v>
      </c>
      <c r="I1896" s="711" t="s">
        <v>146</v>
      </c>
      <c r="J1896" s="661" t="s">
        <v>146</v>
      </c>
    </row>
    <row r="1897" spans="1:10">
      <c r="A1897" s="103">
        <v>42345</v>
      </c>
      <c r="B1897" s="729">
        <v>21.52</v>
      </c>
      <c r="C1897" s="730">
        <v>21</v>
      </c>
      <c r="D1897" s="730">
        <v>19.510000000000002</v>
      </c>
      <c r="E1897" s="730">
        <v>16.98</v>
      </c>
      <c r="F1897" s="731">
        <v>28.49</v>
      </c>
      <c r="G1897" s="714">
        <v>10.25</v>
      </c>
      <c r="H1897" s="732">
        <v>39.799999999999997</v>
      </c>
      <c r="I1897" s="715">
        <v>18.05</v>
      </c>
      <c r="J1897" s="733">
        <f>(90/5.966)</f>
        <v>15.085484411666107</v>
      </c>
    </row>
    <row r="1898" spans="1:10">
      <c r="A1898" s="103">
        <v>42352</v>
      </c>
      <c r="B1898" s="734">
        <v>21.55</v>
      </c>
      <c r="C1898" s="318">
        <v>20.07</v>
      </c>
      <c r="D1898" s="318">
        <v>18.59</v>
      </c>
      <c r="E1898" s="318">
        <v>15.59</v>
      </c>
      <c r="F1898" s="257">
        <v>28.49</v>
      </c>
      <c r="G1898" s="134">
        <v>10.130000000000001</v>
      </c>
      <c r="H1898" s="722">
        <v>39.799999999999997</v>
      </c>
      <c r="I1898" s="547">
        <v>18.05</v>
      </c>
      <c r="J1898" s="735">
        <f>(90/5.966)</f>
        <v>15.085484411666107</v>
      </c>
    </row>
    <row r="1899" spans="1:10">
      <c r="A1899" s="103">
        <v>42359</v>
      </c>
      <c r="B1899" s="734">
        <v>20.32</v>
      </c>
      <c r="C1899" s="318">
        <v>19.82</v>
      </c>
      <c r="D1899" s="318">
        <v>18.329999999999998</v>
      </c>
      <c r="E1899" s="318">
        <v>14.54</v>
      </c>
      <c r="F1899" s="257">
        <v>28.49</v>
      </c>
      <c r="G1899" s="134">
        <v>9.98</v>
      </c>
      <c r="H1899" s="722">
        <v>39.799999999999997</v>
      </c>
      <c r="I1899" s="547">
        <v>19.05</v>
      </c>
      <c r="J1899" s="735">
        <f>(90/5.966)</f>
        <v>15.085484411666107</v>
      </c>
    </row>
    <row r="1900" spans="1:10" ht="13.5" thickBot="1">
      <c r="A1900" s="103">
        <v>42366</v>
      </c>
      <c r="B1900" s="734">
        <v>20.309999999999999</v>
      </c>
      <c r="C1900" s="318">
        <v>19.82</v>
      </c>
      <c r="D1900" s="318">
        <v>18.329999999999998</v>
      </c>
      <c r="E1900" s="318">
        <v>14.51</v>
      </c>
      <c r="F1900" s="257">
        <v>28.49</v>
      </c>
      <c r="G1900" s="134">
        <v>9.65</v>
      </c>
      <c r="H1900" s="722">
        <v>39.799999999999997</v>
      </c>
      <c r="I1900" s="547">
        <v>19.05</v>
      </c>
      <c r="J1900" s="735">
        <f>(90/5.966)</f>
        <v>15.085484411666107</v>
      </c>
    </row>
    <row r="1901" spans="1:10" ht="13.5" thickBot="1">
      <c r="A1901" s="662" t="s">
        <v>538</v>
      </c>
      <c r="B1901" s="664">
        <f t="shared" ref="B1901:J1901" si="186">AVERAGE(B1897:B1900)</f>
        <v>20.925000000000001</v>
      </c>
      <c r="C1901" s="664">
        <f t="shared" si="186"/>
        <v>20.177500000000002</v>
      </c>
      <c r="D1901" s="664">
        <f t="shared" si="186"/>
        <v>18.689999999999998</v>
      </c>
      <c r="E1901" s="664">
        <f t="shared" si="186"/>
        <v>15.404999999999999</v>
      </c>
      <c r="F1901" s="664">
        <f t="shared" si="186"/>
        <v>28.49</v>
      </c>
      <c r="G1901" s="664">
        <f t="shared" si="186"/>
        <v>10.002500000000001</v>
      </c>
      <c r="H1901" s="664">
        <f t="shared" si="186"/>
        <v>39.799999999999997</v>
      </c>
      <c r="I1901" s="664">
        <f t="shared" si="186"/>
        <v>18.55</v>
      </c>
      <c r="J1901" s="664">
        <f t="shared" si="186"/>
        <v>15.085484411666107</v>
      </c>
    </row>
    <row r="1902" spans="1:10" ht="13.5" thickBot="1">
      <c r="A1902" s="564"/>
      <c r="B1902" s="564"/>
      <c r="C1902" s="564"/>
      <c r="D1902" s="564"/>
      <c r="E1902" s="564"/>
      <c r="F1902" s="564"/>
      <c r="G1902" s="564"/>
      <c r="H1902" s="548"/>
      <c r="I1902" s="564"/>
      <c r="J1902" s="564"/>
    </row>
    <row r="1903" spans="1:10">
      <c r="A1903" s="1693" t="s">
        <v>1</v>
      </c>
      <c r="B1903" s="736" t="s">
        <v>139</v>
      </c>
      <c r="C1903" s="736" t="s">
        <v>140</v>
      </c>
      <c r="D1903" s="736" t="s">
        <v>5</v>
      </c>
      <c r="E1903" s="736" t="s">
        <v>6</v>
      </c>
      <c r="F1903" s="737" t="s">
        <v>57</v>
      </c>
      <c r="G1903" s="738" t="s">
        <v>154</v>
      </c>
      <c r="H1903" s="737" t="s">
        <v>149</v>
      </c>
      <c r="I1903" s="738" t="s">
        <v>155</v>
      </c>
      <c r="J1903" s="739" t="s">
        <v>61</v>
      </c>
    </row>
    <row r="1904" spans="1:10" ht="13.5" thickBot="1">
      <c r="A1904" s="1694"/>
      <c r="B1904" s="740" t="s">
        <v>146</v>
      </c>
      <c r="C1904" s="740" t="s">
        <v>146</v>
      </c>
      <c r="D1904" s="740" t="s">
        <v>146</v>
      </c>
      <c r="E1904" s="740" t="s">
        <v>146</v>
      </c>
      <c r="F1904" s="740" t="s">
        <v>146</v>
      </c>
      <c r="G1904" s="740" t="s">
        <v>146</v>
      </c>
      <c r="H1904" s="740" t="s">
        <v>146</v>
      </c>
      <c r="I1904" s="740" t="s">
        <v>146</v>
      </c>
      <c r="J1904" s="741" t="s">
        <v>146</v>
      </c>
    </row>
    <row r="1905" spans="1:16384">
      <c r="A1905" s="103">
        <v>42374</v>
      </c>
      <c r="B1905" s="729">
        <v>20.329999999999998</v>
      </c>
      <c r="C1905" s="730">
        <v>19.809999999999999</v>
      </c>
      <c r="D1905" s="730">
        <v>18.350000000000001</v>
      </c>
      <c r="E1905" s="730">
        <v>14.14</v>
      </c>
      <c r="F1905" s="731">
        <v>28.49</v>
      </c>
      <c r="G1905" s="714">
        <v>9.65</v>
      </c>
      <c r="H1905" s="752">
        <v>39.799999999999997</v>
      </c>
      <c r="I1905" s="715">
        <v>18</v>
      </c>
      <c r="J1905" s="733">
        <f>(90/5.966)</f>
        <v>15.085484411666107</v>
      </c>
    </row>
    <row r="1906" spans="1:16384">
      <c r="A1906" s="103">
        <v>42380</v>
      </c>
      <c r="B1906" s="734">
        <v>20.53</v>
      </c>
      <c r="C1906" s="318">
        <v>20.03</v>
      </c>
      <c r="D1906" s="318">
        <v>18.55</v>
      </c>
      <c r="E1906" s="318">
        <v>14.05</v>
      </c>
      <c r="F1906" s="257">
        <v>28.49</v>
      </c>
      <c r="G1906" s="134">
        <v>9</v>
      </c>
      <c r="H1906" s="722">
        <v>39.799999999999997</v>
      </c>
      <c r="I1906" s="547">
        <v>18</v>
      </c>
      <c r="J1906" s="735">
        <f>(90/5.966)</f>
        <v>15.085484411666107</v>
      </c>
    </row>
    <row r="1907" spans="1:16384">
      <c r="A1907" s="103">
        <v>42387</v>
      </c>
      <c r="B1907" s="734">
        <v>20.010000000000002</v>
      </c>
      <c r="C1907" s="318">
        <v>19.53</v>
      </c>
      <c r="D1907" s="318">
        <v>18.05</v>
      </c>
      <c r="E1907" s="318">
        <v>13.56</v>
      </c>
      <c r="F1907" s="257">
        <v>28.49</v>
      </c>
      <c r="G1907" s="134">
        <v>9.25</v>
      </c>
      <c r="H1907" s="722">
        <v>39.799999999999997</v>
      </c>
      <c r="I1907" s="547">
        <v>18</v>
      </c>
      <c r="J1907" s="735">
        <f>(90/5.966)</f>
        <v>15.085484411666107</v>
      </c>
    </row>
    <row r="1908" spans="1:16384" ht="13.5" thickBot="1">
      <c r="A1908" s="103">
        <v>42029</v>
      </c>
      <c r="B1908" s="743">
        <v>19.309999999999999</v>
      </c>
      <c r="C1908" s="744">
        <v>18.8</v>
      </c>
      <c r="D1908" s="744">
        <v>17.329999999999998</v>
      </c>
      <c r="E1908" s="744">
        <v>12.84</v>
      </c>
      <c r="F1908" s="745">
        <v>28.49</v>
      </c>
      <c r="G1908" s="746">
        <v>9.2799999999999994</v>
      </c>
      <c r="H1908" s="747">
        <v>39.799999999999997</v>
      </c>
      <c r="I1908" s="748">
        <v>17</v>
      </c>
      <c r="J1908" s="749">
        <f>(90/5.966)</f>
        <v>15.085484411666107</v>
      </c>
    </row>
    <row r="1909" spans="1:16384" ht="13.5" thickBot="1">
      <c r="A1909" s="742" t="s">
        <v>539</v>
      </c>
      <c r="B1909" s="750">
        <f t="shared" ref="B1909:H1909" si="187">AVERAGE(B1905:B1908)</f>
        <v>20.045000000000002</v>
      </c>
      <c r="C1909" s="750">
        <f t="shared" si="187"/>
        <v>19.5425</v>
      </c>
      <c r="D1909" s="750">
        <f t="shared" si="187"/>
        <v>18.07</v>
      </c>
      <c r="E1909" s="750">
        <f t="shared" si="187"/>
        <v>13.647500000000001</v>
      </c>
      <c r="F1909" s="750">
        <f t="shared" si="187"/>
        <v>28.49</v>
      </c>
      <c r="G1909" s="750">
        <f t="shared" si="187"/>
        <v>9.2949999999999999</v>
      </c>
      <c r="H1909" s="750">
        <f t="shared" si="187"/>
        <v>39.799999999999997</v>
      </c>
      <c r="I1909" s="750">
        <f>AVERAGE(I1905:I1908)</f>
        <v>17.75</v>
      </c>
      <c r="J1909" s="751">
        <f>AVERAGE(J1905:J1908)</f>
        <v>15.085484411666107</v>
      </c>
    </row>
    <row r="1910" spans="1:16384" ht="13.5" thickBot="1"/>
    <row r="1911" spans="1:16384">
      <c r="A1911" s="1693" t="s">
        <v>1</v>
      </c>
      <c r="B1911" s="736" t="s">
        <v>139</v>
      </c>
      <c r="C1911" s="736" t="s">
        <v>140</v>
      </c>
      <c r="D1911" s="736" t="s">
        <v>5</v>
      </c>
      <c r="E1911" s="736" t="s">
        <v>6</v>
      </c>
      <c r="F1911" s="737" t="s">
        <v>57</v>
      </c>
      <c r="G1911" s="738" t="s">
        <v>154</v>
      </c>
      <c r="H1911" s="737" t="s">
        <v>149</v>
      </c>
      <c r="I1911" s="738" t="s">
        <v>155</v>
      </c>
      <c r="J1911" s="739" t="s">
        <v>61</v>
      </c>
    </row>
    <row r="1912" spans="1:16384" ht="13.5" thickBot="1">
      <c r="A1912" s="1694"/>
      <c r="B1912" s="740" t="s">
        <v>146</v>
      </c>
      <c r="C1912" s="740" t="s">
        <v>146</v>
      </c>
      <c r="D1912" s="740" t="s">
        <v>146</v>
      </c>
      <c r="E1912" s="740" t="s">
        <v>146</v>
      </c>
      <c r="F1912" s="740" t="s">
        <v>146</v>
      </c>
      <c r="G1912" s="740" t="s">
        <v>146</v>
      </c>
      <c r="H1912" s="740" t="s">
        <v>146</v>
      </c>
      <c r="I1912" s="740" t="s">
        <v>146</v>
      </c>
      <c r="J1912" s="741" t="s">
        <v>146</v>
      </c>
    </row>
    <row r="1913" spans="1:16384" ht="13.5" thickBot="1">
      <c r="A1913" s="10">
        <v>42401</v>
      </c>
      <c r="B1913" s="729">
        <v>19.510000000000002</v>
      </c>
      <c r="C1913" s="730">
        <v>19.010000000000002</v>
      </c>
      <c r="D1913" s="730">
        <v>17.55</v>
      </c>
      <c r="E1913" s="730">
        <v>13.5</v>
      </c>
      <c r="F1913" s="731">
        <v>28.49</v>
      </c>
      <c r="G1913" s="714">
        <v>8.75</v>
      </c>
      <c r="H1913" s="732">
        <v>39.799999999999997</v>
      </c>
      <c r="I1913" s="715">
        <v>17</v>
      </c>
      <c r="J1913" s="733">
        <f>(90/5.966)</f>
        <v>15.085484411666107</v>
      </c>
    </row>
    <row r="1914" spans="1:16384" ht="13.5" thickBot="1">
      <c r="A1914" s="10">
        <v>42408</v>
      </c>
      <c r="B1914" s="56">
        <v>19.21</v>
      </c>
      <c r="C1914" s="56">
        <v>18.73</v>
      </c>
      <c r="D1914" s="62">
        <v>17.25</v>
      </c>
      <c r="E1914" s="115">
        <v>13.5</v>
      </c>
      <c r="F1914" s="56">
        <v>28.49</v>
      </c>
      <c r="G1914" s="56">
        <v>8.75</v>
      </c>
      <c r="H1914" s="732">
        <v>39.799999999999997</v>
      </c>
      <c r="I1914" s="115">
        <v>17</v>
      </c>
      <c r="J1914" s="733">
        <f>(90/5.966)</f>
        <v>15.085484411666107</v>
      </c>
      <c r="K1914" s="56"/>
      <c r="L1914" s="62"/>
      <c r="M1914" s="115"/>
      <c r="N1914" s="56"/>
      <c r="O1914" s="56"/>
      <c r="P1914" s="62"/>
      <c r="Q1914" s="115"/>
      <c r="R1914" s="1039">
        <v>18.98</v>
      </c>
      <c r="S1914" s="1039">
        <v>17.5</v>
      </c>
      <c r="T1914" s="1037">
        <v>13.28</v>
      </c>
      <c r="U1914" s="702">
        <v>19.489999999999998</v>
      </c>
      <c r="V1914" s="1039">
        <v>18.98</v>
      </c>
      <c r="W1914" s="1039">
        <v>17.5</v>
      </c>
      <c r="X1914" s="1037">
        <v>13.28</v>
      </c>
      <c r="Y1914" s="702">
        <v>19.489999999999998</v>
      </c>
      <c r="Z1914" s="1039">
        <v>18.98</v>
      </c>
      <c r="AA1914" s="1039">
        <v>17.5</v>
      </c>
      <c r="AB1914" s="1037">
        <v>13.28</v>
      </c>
      <c r="AC1914" s="702">
        <v>19.489999999999998</v>
      </c>
      <c r="AD1914" s="1039">
        <v>18.98</v>
      </c>
      <c r="AE1914" s="1039">
        <v>17.5</v>
      </c>
      <c r="AF1914" s="1037">
        <v>13.28</v>
      </c>
      <c r="AG1914" s="702">
        <v>19.489999999999998</v>
      </c>
      <c r="AH1914" s="56">
        <v>18.98</v>
      </c>
      <c r="AI1914" s="56">
        <v>17.5</v>
      </c>
      <c r="AJ1914" s="62">
        <v>13.28</v>
      </c>
      <c r="AK1914" s="115">
        <v>19.489999999999998</v>
      </c>
      <c r="AL1914" s="56">
        <v>18.98</v>
      </c>
      <c r="AM1914" s="56">
        <v>17.5</v>
      </c>
      <c r="AN1914" s="62">
        <v>13.28</v>
      </c>
      <c r="AO1914" s="115">
        <v>19.489999999999998</v>
      </c>
      <c r="AP1914" s="56">
        <v>18.98</v>
      </c>
      <c r="AQ1914" s="56">
        <v>17.5</v>
      </c>
      <c r="AR1914" s="62">
        <v>13.28</v>
      </c>
      <c r="AS1914" s="115">
        <v>19.489999999999998</v>
      </c>
      <c r="AT1914" s="56">
        <v>18.98</v>
      </c>
      <c r="AU1914" s="56">
        <v>17.5</v>
      </c>
      <c r="AV1914" s="62">
        <v>13.28</v>
      </c>
      <c r="AW1914" s="115">
        <v>19.489999999999998</v>
      </c>
      <c r="AX1914" s="56">
        <v>18.98</v>
      </c>
      <c r="AY1914" s="56">
        <v>17.5</v>
      </c>
      <c r="AZ1914" s="62">
        <v>13.28</v>
      </c>
      <c r="BA1914" s="115">
        <v>19.489999999999998</v>
      </c>
      <c r="BB1914" s="56">
        <v>18.98</v>
      </c>
      <c r="BC1914" s="56">
        <v>17.5</v>
      </c>
      <c r="BD1914" s="62">
        <v>13.28</v>
      </c>
      <c r="BE1914" s="115">
        <v>19.489999999999998</v>
      </c>
      <c r="BF1914" s="56">
        <v>18.98</v>
      </c>
      <c r="BG1914" s="56">
        <v>17.5</v>
      </c>
      <c r="BH1914" s="62">
        <v>13.28</v>
      </c>
      <c r="BI1914" s="115">
        <v>19.489999999999998</v>
      </c>
      <c r="BJ1914" s="56">
        <v>18.98</v>
      </c>
      <c r="BK1914" s="56">
        <v>17.5</v>
      </c>
      <c r="BL1914" s="62">
        <v>13.28</v>
      </c>
      <c r="BM1914" s="115">
        <v>19.489999999999998</v>
      </c>
      <c r="BN1914" s="56">
        <v>18.98</v>
      </c>
      <c r="BO1914" s="56">
        <v>17.5</v>
      </c>
      <c r="BP1914" s="62">
        <v>13.28</v>
      </c>
      <c r="BQ1914" s="115">
        <v>19.489999999999998</v>
      </c>
      <c r="BR1914" s="56">
        <v>18.98</v>
      </c>
      <c r="BS1914" s="56">
        <v>17.5</v>
      </c>
      <c r="BT1914" s="62">
        <v>13.28</v>
      </c>
      <c r="BU1914" s="115">
        <v>19.489999999999998</v>
      </c>
      <c r="BV1914" s="56">
        <v>18.98</v>
      </c>
      <c r="BW1914" s="56">
        <v>17.5</v>
      </c>
      <c r="BX1914" s="62">
        <v>13.28</v>
      </c>
      <c r="BY1914" s="115">
        <v>19.489999999999998</v>
      </c>
      <c r="BZ1914" s="56">
        <v>18.98</v>
      </c>
      <c r="CA1914" s="56">
        <v>17.5</v>
      </c>
      <c r="CB1914" s="62">
        <v>13.28</v>
      </c>
      <c r="CC1914" s="115">
        <v>19.489999999999998</v>
      </c>
      <c r="CD1914" s="56">
        <v>18.98</v>
      </c>
      <c r="CE1914" s="56">
        <v>17.5</v>
      </c>
      <c r="CF1914" s="62">
        <v>13.28</v>
      </c>
      <c r="CG1914" s="115">
        <v>19.489999999999998</v>
      </c>
      <c r="CH1914" s="56">
        <v>18.98</v>
      </c>
      <c r="CI1914" s="56">
        <v>17.5</v>
      </c>
      <c r="CJ1914" s="62">
        <v>13.28</v>
      </c>
      <c r="CK1914" s="115">
        <v>19.489999999999998</v>
      </c>
      <c r="CL1914" s="56">
        <v>18.98</v>
      </c>
      <c r="CM1914" s="56">
        <v>17.5</v>
      </c>
      <c r="CN1914" s="62">
        <v>13.28</v>
      </c>
      <c r="CO1914" s="115">
        <v>19.489999999999998</v>
      </c>
      <c r="CP1914" s="56">
        <v>18.98</v>
      </c>
      <c r="CQ1914" s="56">
        <v>17.5</v>
      </c>
      <c r="CR1914" s="62">
        <v>13.28</v>
      </c>
      <c r="CS1914" s="115">
        <v>19.489999999999998</v>
      </c>
      <c r="CT1914" s="56">
        <v>18.98</v>
      </c>
      <c r="CU1914" s="56">
        <v>17.5</v>
      </c>
      <c r="CV1914" s="62">
        <v>13.28</v>
      </c>
      <c r="CW1914" s="115">
        <v>19.489999999999998</v>
      </c>
      <c r="CX1914" s="56">
        <v>18.98</v>
      </c>
      <c r="CY1914" s="56">
        <v>17.5</v>
      </c>
      <c r="CZ1914" s="62">
        <v>13.28</v>
      </c>
      <c r="DA1914" s="115">
        <v>19.489999999999998</v>
      </c>
      <c r="DB1914" s="56">
        <v>18.98</v>
      </c>
      <c r="DC1914" s="56">
        <v>17.5</v>
      </c>
      <c r="DD1914" s="62">
        <v>13.28</v>
      </c>
      <c r="DE1914" s="115">
        <v>19.489999999999998</v>
      </c>
      <c r="DF1914" s="56">
        <v>18.98</v>
      </c>
      <c r="DG1914" s="56">
        <v>17.5</v>
      </c>
      <c r="DH1914" s="62">
        <v>13.28</v>
      </c>
      <c r="DI1914" s="115">
        <v>19.489999999999998</v>
      </c>
      <c r="DJ1914" s="56">
        <v>18.98</v>
      </c>
      <c r="DK1914" s="56">
        <v>17.5</v>
      </c>
      <c r="DL1914" s="62">
        <v>13.28</v>
      </c>
      <c r="DM1914" s="115">
        <v>19.489999999999998</v>
      </c>
      <c r="DN1914" s="56">
        <v>18.98</v>
      </c>
      <c r="DO1914" s="56">
        <v>17.5</v>
      </c>
      <c r="DP1914" s="62">
        <v>13.28</v>
      </c>
      <c r="DQ1914" s="115">
        <v>19.489999999999998</v>
      </c>
      <c r="DR1914" s="56">
        <v>18.98</v>
      </c>
      <c r="DS1914" s="56">
        <v>17.5</v>
      </c>
      <c r="DT1914" s="62">
        <v>13.28</v>
      </c>
      <c r="DU1914" s="115">
        <v>19.489999999999998</v>
      </c>
      <c r="DV1914" s="56">
        <v>18.98</v>
      </c>
      <c r="DW1914" s="56">
        <v>17.5</v>
      </c>
      <c r="DX1914" s="62">
        <v>13.28</v>
      </c>
      <c r="DY1914" s="115">
        <v>19.489999999999998</v>
      </c>
      <c r="DZ1914" s="56">
        <v>18.98</v>
      </c>
      <c r="EA1914" s="56">
        <v>17.5</v>
      </c>
      <c r="EB1914" s="62">
        <v>13.28</v>
      </c>
      <c r="EC1914" s="115">
        <v>19.489999999999998</v>
      </c>
      <c r="ED1914" s="56">
        <v>18.98</v>
      </c>
      <c r="EE1914" s="56">
        <v>17.5</v>
      </c>
      <c r="EF1914" s="62">
        <v>13.28</v>
      </c>
      <c r="EG1914" s="115">
        <v>19.489999999999998</v>
      </c>
      <c r="EH1914" s="56">
        <v>18.98</v>
      </c>
      <c r="EI1914" s="56">
        <v>17.5</v>
      </c>
      <c r="EJ1914" s="62">
        <v>13.28</v>
      </c>
      <c r="EK1914" s="115">
        <v>19.489999999999998</v>
      </c>
      <c r="EL1914" s="56">
        <v>18.98</v>
      </c>
      <c r="EM1914" s="56">
        <v>17.5</v>
      </c>
      <c r="EN1914" s="62">
        <v>13.28</v>
      </c>
      <c r="EO1914" s="115">
        <v>19.489999999999998</v>
      </c>
      <c r="EP1914" s="56">
        <v>18.98</v>
      </c>
      <c r="EQ1914" s="56">
        <v>17.5</v>
      </c>
      <c r="ER1914" s="62">
        <v>13.28</v>
      </c>
      <c r="ES1914" s="115">
        <v>19.489999999999998</v>
      </c>
      <c r="ET1914" s="56">
        <v>18.98</v>
      </c>
      <c r="EU1914" s="56">
        <v>17.5</v>
      </c>
      <c r="EV1914" s="62">
        <v>13.28</v>
      </c>
      <c r="EW1914" s="115">
        <v>19.489999999999998</v>
      </c>
      <c r="EX1914" s="56">
        <v>18.98</v>
      </c>
      <c r="EY1914" s="56">
        <v>17.5</v>
      </c>
      <c r="EZ1914" s="62">
        <v>13.28</v>
      </c>
      <c r="FA1914" s="115">
        <v>19.489999999999998</v>
      </c>
      <c r="FB1914" s="56">
        <v>18.98</v>
      </c>
      <c r="FC1914" s="56">
        <v>17.5</v>
      </c>
      <c r="FD1914" s="62">
        <v>13.28</v>
      </c>
      <c r="FE1914" s="115">
        <v>19.489999999999998</v>
      </c>
      <c r="FF1914" s="56">
        <v>18.98</v>
      </c>
      <c r="FG1914" s="56">
        <v>17.5</v>
      </c>
      <c r="FH1914" s="62">
        <v>13.28</v>
      </c>
      <c r="FI1914" s="115">
        <v>19.489999999999998</v>
      </c>
      <c r="FJ1914" s="56">
        <v>18.98</v>
      </c>
      <c r="FK1914" s="56">
        <v>17.5</v>
      </c>
      <c r="FL1914" s="62">
        <v>13.28</v>
      </c>
      <c r="FM1914" s="115">
        <v>19.489999999999998</v>
      </c>
      <c r="FN1914" s="56">
        <v>18.98</v>
      </c>
      <c r="FO1914" s="56">
        <v>17.5</v>
      </c>
      <c r="FP1914" s="62">
        <v>13.28</v>
      </c>
      <c r="FQ1914" s="115">
        <v>19.489999999999998</v>
      </c>
      <c r="FR1914" s="56">
        <v>18.98</v>
      </c>
      <c r="FS1914" s="56">
        <v>17.5</v>
      </c>
      <c r="FT1914" s="62">
        <v>13.28</v>
      </c>
      <c r="FU1914" s="115">
        <v>19.489999999999998</v>
      </c>
      <c r="FV1914" s="56">
        <v>18.98</v>
      </c>
      <c r="FW1914" s="56">
        <v>17.5</v>
      </c>
      <c r="FX1914" s="62">
        <v>13.28</v>
      </c>
      <c r="FY1914" s="115">
        <v>19.489999999999998</v>
      </c>
      <c r="FZ1914" s="56">
        <v>18.98</v>
      </c>
      <c r="GA1914" s="56">
        <v>17.5</v>
      </c>
      <c r="GB1914" s="62">
        <v>13.28</v>
      </c>
      <c r="GC1914" s="115">
        <v>19.489999999999998</v>
      </c>
      <c r="GD1914" s="56">
        <v>18.98</v>
      </c>
      <c r="GE1914" s="56">
        <v>17.5</v>
      </c>
      <c r="GF1914" s="62">
        <v>13.28</v>
      </c>
      <c r="GG1914" s="115">
        <v>19.489999999999998</v>
      </c>
      <c r="GH1914" s="56">
        <v>18.98</v>
      </c>
      <c r="GI1914" s="56">
        <v>17.5</v>
      </c>
      <c r="GJ1914" s="62">
        <v>13.28</v>
      </c>
      <c r="GK1914" s="115">
        <v>19.489999999999998</v>
      </c>
      <c r="GL1914" s="56">
        <v>18.98</v>
      </c>
      <c r="GM1914" s="56">
        <v>17.5</v>
      </c>
      <c r="GN1914" s="62">
        <v>13.28</v>
      </c>
      <c r="GO1914" s="115">
        <v>19.489999999999998</v>
      </c>
      <c r="GP1914" s="56">
        <v>18.98</v>
      </c>
      <c r="GQ1914" s="56">
        <v>17.5</v>
      </c>
      <c r="GR1914" s="62">
        <v>13.28</v>
      </c>
      <c r="GS1914" s="115">
        <v>19.489999999999998</v>
      </c>
      <c r="GT1914" s="56">
        <v>18.98</v>
      </c>
      <c r="GU1914" s="56">
        <v>17.5</v>
      </c>
      <c r="GV1914" s="62">
        <v>13.28</v>
      </c>
      <c r="GW1914" s="115">
        <v>19.489999999999998</v>
      </c>
      <c r="GX1914" s="56">
        <v>18.98</v>
      </c>
      <c r="GY1914" s="56">
        <v>17.5</v>
      </c>
      <c r="GZ1914" s="62">
        <v>13.28</v>
      </c>
      <c r="HA1914" s="115">
        <v>19.489999999999998</v>
      </c>
      <c r="HB1914" s="56">
        <v>18.98</v>
      </c>
      <c r="HC1914" s="56">
        <v>17.5</v>
      </c>
      <c r="HD1914" s="62">
        <v>13.28</v>
      </c>
      <c r="HE1914" s="115">
        <v>19.489999999999998</v>
      </c>
      <c r="HF1914" s="56">
        <v>18.98</v>
      </c>
      <c r="HG1914" s="56">
        <v>17.5</v>
      </c>
      <c r="HH1914" s="62">
        <v>13.28</v>
      </c>
      <c r="HI1914" s="115">
        <v>19.489999999999998</v>
      </c>
      <c r="HJ1914" s="56">
        <v>18.98</v>
      </c>
      <c r="HK1914" s="56">
        <v>17.5</v>
      </c>
      <c r="HL1914" s="62">
        <v>13.28</v>
      </c>
      <c r="HM1914" s="115">
        <v>19.489999999999998</v>
      </c>
      <c r="HN1914" s="56">
        <v>18.98</v>
      </c>
      <c r="HO1914" s="56">
        <v>17.5</v>
      </c>
      <c r="HP1914" s="62">
        <v>13.28</v>
      </c>
      <c r="HQ1914" s="115">
        <v>19.489999999999998</v>
      </c>
      <c r="HR1914" s="56">
        <v>18.98</v>
      </c>
      <c r="HS1914" s="56">
        <v>17.5</v>
      </c>
      <c r="HT1914" s="62">
        <v>13.28</v>
      </c>
      <c r="HU1914" s="115">
        <v>19.489999999999998</v>
      </c>
      <c r="HV1914" s="56">
        <v>18.98</v>
      </c>
      <c r="HW1914" s="56">
        <v>17.5</v>
      </c>
      <c r="HX1914" s="62">
        <v>13.28</v>
      </c>
      <c r="HY1914" s="115">
        <v>19.489999999999998</v>
      </c>
      <c r="HZ1914" s="56">
        <v>18.98</v>
      </c>
      <c r="IA1914" s="56">
        <v>17.5</v>
      </c>
      <c r="IB1914" s="62">
        <v>13.28</v>
      </c>
      <c r="IC1914" s="115">
        <v>19.489999999999998</v>
      </c>
      <c r="ID1914" s="56">
        <v>18.98</v>
      </c>
      <c r="IE1914" s="56">
        <v>17.5</v>
      </c>
      <c r="IF1914" s="62">
        <v>13.28</v>
      </c>
      <c r="IG1914" s="115">
        <v>19.489999999999998</v>
      </c>
      <c r="IH1914" s="56">
        <v>18.98</v>
      </c>
      <c r="II1914" s="56">
        <v>17.5</v>
      </c>
      <c r="IJ1914" s="62">
        <v>13.28</v>
      </c>
      <c r="IK1914" s="115">
        <v>19.489999999999998</v>
      </c>
      <c r="IL1914" s="56">
        <v>18.98</v>
      </c>
      <c r="IM1914" s="56">
        <v>17.5</v>
      </c>
      <c r="IN1914" s="62">
        <v>13.28</v>
      </c>
      <c r="IO1914" s="115">
        <v>19.489999999999998</v>
      </c>
      <c r="IP1914" s="56">
        <v>18.98</v>
      </c>
      <c r="IQ1914" s="56">
        <v>17.5</v>
      </c>
      <c r="IR1914" s="62">
        <v>13.28</v>
      </c>
      <c r="IS1914" s="115">
        <v>19.489999999999998</v>
      </c>
      <c r="IT1914" s="56">
        <v>18.98</v>
      </c>
      <c r="IU1914" s="56">
        <v>17.5</v>
      </c>
      <c r="IV1914" s="62">
        <v>13.28</v>
      </c>
      <c r="IW1914" s="115">
        <v>19.489999999999998</v>
      </c>
      <c r="IX1914" s="56">
        <v>18.98</v>
      </c>
      <c r="IY1914" s="56">
        <v>17.5</v>
      </c>
      <c r="IZ1914" s="62">
        <v>13.28</v>
      </c>
      <c r="JA1914" s="115">
        <v>19.489999999999998</v>
      </c>
      <c r="JB1914" s="56">
        <v>18.98</v>
      </c>
      <c r="JC1914" s="56">
        <v>17.5</v>
      </c>
      <c r="JD1914" s="62">
        <v>13.28</v>
      </c>
      <c r="JE1914" s="115">
        <v>19.489999999999998</v>
      </c>
      <c r="JF1914" s="56">
        <v>18.98</v>
      </c>
      <c r="JG1914" s="56">
        <v>17.5</v>
      </c>
      <c r="JH1914" s="62">
        <v>13.28</v>
      </c>
      <c r="JI1914" s="115">
        <v>19.489999999999998</v>
      </c>
      <c r="JJ1914" s="56">
        <v>18.98</v>
      </c>
      <c r="JK1914" s="56">
        <v>17.5</v>
      </c>
      <c r="JL1914" s="62">
        <v>13.28</v>
      </c>
      <c r="JM1914" s="115">
        <v>19.489999999999998</v>
      </c>
      <c r="JN1914" s="56">
        <v>18.98</v>
      </c>
      <c r="JO1914" s="56">
        <v>17.5</v>
      </c>
      <c r="JP1914" s="62">
        <v>13.28</v>
      </c>
      <c r="JQ1914" s="115">
        <v>19.489999999999998</v>
      </c>
      <c r="JR1914" s="56">
        <v>18.98</v>
      </c>
      <c r="JS1914" s="56">
        <v>17.5</v>
      </c>
      <c r="JT1914" s="62">
        <v>13.28</v>
      </c>
      <c r="JU1914" s="115">
        <v>19.489999999999998</v>
      </c>
      <c r="JV1914" s="56">
        <v>18.98</v>
      </c>
      <c r="JW1914" s="56">
        <v>17.5</v>
      </c>
      <c r="JX1914" s="62">
        <v>13.28</v>
      </c>
      <c r="JY1914" s="115">
        <v>19.489999999999998</v>
      </c>
      <c r="JZ1914" s="56">
        <v>18.98</v>
      </c>
      <c r="KA1914" s="56">
        <v>17.5</v>
      </c>
      <c r="KB1914" s="62">
        <v>13.28</v>
      </c>
      <c r="KC1914" s="115">
        <v>19.489999999999998</v>
      </c>
      <c r="KD1914" s="56">
        <v>18.98</v>
      </c>
      <c r="KE1914" s="56">
        <v>17.5</v>
      </c>
      <c r="KF1914" s="62">
        <v>13.28</v>
      </c>
      <c r="KG1914" s="115">
        <v>19.489999999999998</v>
      </c>
      <c r="KH1914" s="56">
        <v>18.98</v>
      </c>
      <c r="KI1914" s="56">
        <v>17.5</v>
      </c>
      <c r="KJ1914" s="62">
        <v>13.28</v>
      </c>
      <c r="KK1914" s="115">
        <v>19.489999999999998</v>
      </c>
      <c r="KL1914" s="56">
        <v>18.98</v>
      </c>
      <c r="KM1914" s="56">
        <v>17.5</v>
      </c>
      <c r="KN1914" s="62">
        <v>13.28</v>
      </c>
      <c r="KO1914" s="115">
        <v>19.489999999999998</v>
      </c>
      <c r="KP1914" s="56">
        <v>18.98</v>
      </c>
      <c r="KQ1914" s="56">
        <v>17.5</v>
      </c>
      <c r="KR1914" s="62">
        <v>13.28</v>
      </c>
      <c r="KS1914" s="115">
        <v>19.489999999999998</v>
      </c>
      <c r="KT1914" s="56">
        <v>18.98</v>
      </c>
      <c r="KU1914" s="56">
        <v>17.5</v>
      </c>
      <c r="KV1914" s="62">
        <v>13.28</v>
      </c>
      <c r="KW1914" s="115">
        <v>19.489999999999998</v>
      </c>
      <c r="KX1914" s="56">
        <v>18.98</v>
      </c>
      <c r="KY1914" s="56">
        <v>17.5</v>
      </c>
      <c r="KZ1914" s="62">
        <v>13.28</v>
      </c>
      <c r="LA1914" s="115">
        <v>19.489999999999998</v>
      </c>
      <c r="LB1914" s="56">
        <v>18.98</v>
      </c>
      <c r="LC1914" s="56">
        <v>17.5</v>
      </c>
      <c r="LD1914" s="62">
        <v>13.28</v>
      </c>
      <c r="LE1914" s="115">
        <v>19.489999999999998</v>
      </c>
      <c r="LF1914" s="56">
        <v>18.98</v>
      </c>
      <c r="LG1914" s="56">
        <v>17.5</v>
      </c>
      <c r="LH1914" s="62">
        <v>13.28</v>
      </c>
      <c r="LI1914" s="115">
        <v>19.489999999999998</v>
      </c>
      <c r="LJ1914" s="56">
        <v>18.98</v>
      </c>
      <c r="LK1914" s="56">
        <v>17.5</v>
      </c>
      <c r="LL1914" s="62">
        <v>13.28</v>
      </c>
      <c r="LM1914" s="115">
        <v>19.489999999999998</v>
      </c>
      <c r="LN1914" s="56">
        <v>18.98</v>
      </c>
      <c r="LO1914" s="56">
        <v>17.5</v>
      </c>
      <c r="LP1914" s="62">
        <v>13.28</v>
      </c>
      <c r="LQ1914" s="115">
        <v>19.489999999999998</v>
      </c>
      <c r="LR1914" s="56">
        <v>18.98</v>
      </c>
      <c r="LS1914" s="56">
        <v>17.5</v>
      </c>
      <c r="LT1914" s="62">
        <v>13.28</v>
      </c>
      <c r="LU1914" s="115">
        <v>19.489999999999998</v>
      </c>
      <c r="LV1914" s="56">
        <v>18.98</v>
      </c>
      <c r="LW1914" s="56">
        <v>17.5</v>
      </c>
      <c r="LX1914" s="62">
        <v>13.28</v>
      </c>
      <c r="LY1914" s="115">
        <v>19.489999999999998</v>
      </c>
      <c r="LZ1914" s="56">
        <v>18.98</v>
      </c>
      <c r="MA1914" s="56">
        <v>17.5</v>
      </c>
      <c r="MB1914" s="62">
        <v>13.28</v>
      </c>
      <c r="MC1914" s="115">
        <v>19.489999999999998</v>
      </c>
      <c r="MD1914" s="56">
        <v>18.98</v>
      </c>
      <c r="ME1914" s="56">
        <v>17.5</v>
      </c>
      <c r="MF1914" s="62">
        <v>13.28</v>
      </c>
      <c r="MG1914" s="115">
        <v>19.489999999999998</v>
      </c>
      <c r="MH1914" s="56">
        <v>18.98</v>
      </c>
      <c r="MI1914" s="56">
        <v>17.5</v>
      </c>
      <c r="MJ1914" s="62">
        <v>13.28</v>
      </c>
      <c r="MK1914" s="115">
        <v>19.489999999999998</v>
      </c>
      <c r="ML1914" s="56">
        <v>18.98</v>
      </c>
      <c r="MM1914" s="56">
        <v>17.5</v>
      </c>
      <c r="MN1914" s="62">
        <v>13.28</v>
      </c>
      <c r="MO1914" s="115">
        <v>19.489999999999998</v>
      </c>
      <c r="MP1914" s="56">
        <v>18.98</v>
      </c>
      <c r="MQ1914" s="56">
        <v>17.5</v>
      </c>
      <c r="MR1914" s="62">
        <v>13.28</v>
      </c>
      <c r="MS1914" s="115">
        <v>19.489999999999998</v>
      </c>
      <c r="MT1914" s="56">
        <v>18.98</v>
      </c>
      <c r="MU1914" s="56">
        <v>17.5</v>
      </c>
      <c r="MV1914" s="62">
        <v>13.28</v>
      </c>
      <c r="MW1914" s="115">
        <v>19.489999999999998</v>
      </c>
      <c r="MX1914" s="56">
        <v>18.98</v>
      </c>
      <c r="MY1914" s="56">
        <v>17.5</v>
      </c>
      <c r="MZ1914" s="62">
        <v>13.28</v>
      </c>
      <c r="NA1914" s="115">
        <v>19.489999999999998</v>
      </c>
      <c r="NB1914" s="56">
        <v>18.98</v>
      </c>
      <c r="NC1914" s="56">
        <v>17.5</v>
      </c>
      <c r="ND1914" s="62">
        <v>13.28</v>
      </c>
      <c r="NE1914" s="115">
        <v>19.489999999999998</v>
      </c>
      <c r="NF1914" s="56">
        <v>18.98</v>
      </c>
      <c r="NG1914" s="56">
        <v>17.5</v>
      </c>
      <c r="NH1914" s="62">
        <v>13.28</v>
      </c>
      <c r="NI1914" s="115">
        <v>19.489999999999998</v>
      </c>
      <c r="NJ1914" s="56">
        <v>18.98</v>
      </c>
      <c r="NK1914" s="56">
        <v>17.5</v>
      </c>
      <c r="NL1914" s="62">
        <v>13.28</v>
      </c>
      <c r="NM1914" s="115">
        <v>19.489999999999998</v>
      </c>
      <c r="NN1914" s="56">
        <v>18.98</v>
      </c>
      <c r="NO1914" s="56">
        <v>17.5</v>
      </c>
      <c r="NP1914" s="62">
        <v>13.28</v>
      </c>
      <c r="NQ1914" s="115">
        <v>19.489999999999998</v>
      </c>
      <c r="NR1914" s="56">
        <v>18.98</v>
      </c>
      <c r="NS1914" s="56">
        <v>17.5</v>
      </c>
      <c r="NT1914" s="62">
        <v>13.28</v>
      </c>
      <c r="NU1914" s="115">
        <v>19.489999999999998</v>
      </c>
      <c r="NV1914" s="56">
        <v>18.98</v>
      </c>
      <c r="NW1914" s="56">
        <v>17.5</v>
      </c>
      <c r="NX1914" s="62">
        <v>13.28</v>
      </c>
      <c r="NY1914" s="115">
        <v>19.489999999999998</v>
      </c>
      <c r="NZ1914" s="56">
        <v>18.98</v>
      </c>
      <c r="OA1914" s="56">
        <v>17.5</v>
      </c>
      <c r="OB1914" s="62">
        <v>13.28</v>
      </c>
      <c r="OC1914" s="115">
        <v>19.489999999999998</v>
      </c>
      <c r="OD1914" s="56">
        <v>18.98</v>
      </c>
      <c r="OE1914" s="56">
        <v>17.5</v>
      </c>
      <c r="OF1914" s="62">
        <v>13.28</v>
      </c>
      <c r="OG1914" s="115">
        <v>19.489999999999998</v>
      </c>
      <c r="OH1914" s="56">
        <v>18.98</v>
      </c>
      <c r="OI1914" s="56">
        <v>17.5</v>
      </c>
      <c r="OJ1914" s="62">
        <v>13.28</v>
      </c>
      <c r="OK1914" s="115">
        <v>19.489999999999998</v>
      </c>
      <c r="OL1914" s="56">
        <v>18.98</v>
      </c>
      <c r="OM1914" s="56">
        <v>17.5</v>
      </c>
      <c r="ON1914" s="62">
        <v>13.28</v>
      </c>
      <c r="OO1914" s="115">
        <v>19.489999999999998</v>
      </c>
      <c r="OP1914" s="56">
        <v>18.98</v>
      </c>
      <c r="OQ1914" s="56">
        <v>17.5</v>
      </c>
      <c r="OR1914" s="62">
        <v>13.28</v>
      </c>
      <c r="OS1914" s="115">
        <v>19.489999999999998</v>
      </c>
      <c r="OT1914" s="56">
        <v>18.98</v>
      </c>
      <c r="OU1914" s="56">
        <v>17.5</v>
      </c>
      <c r="OV1914" s="62">
        <v>13.28</v>
      </c>
      <c r="OW1914" s="115">
        <v>19.489999999999998</v>
      </c>
      <c r="OX1914" s="56">
        <v>18.98</v>
      </c>
      <c r="OY1914" s="56">
        <v>17.5</v>
      </c>
      <c r="OZ1914" s="62">
        <v>13.28</v>
      </c>
      <c r="PA1914" s="115">
        <v>19.489999999999998</v>
      </c>
      <c r="PB1914" s="56">
        <v>18.98</v>
      </c>
      <c r="PC1914" s="56">
        <v>17.5</v>
      </c>
      <c r="PD1914" s="62">
        <v>13.28</v>
      </c>
      <c r="PE1914" s="115">
        <v>19.489999999999998</v>
      </c>
      <c r="PF1914" s="56">
        <v>18.98</v>
      </c>
      <c r="PG1914" s="56">
        <v>17.5</v>
      </c>
      <c r="PH1914" s="62">
        <v>13.28</v>
      </c>
      <c r="PI1914" s="115">
        <v>19.489999999999998</v>
      </c>
      <c r="PJ1914" s="56">
        <v>18.98</v>
      </c>
      <c r="PK1914" s="56">
        <v>17.5</v>
      </c>
      <c r="PL1914" s="62">
        <v>13.28</v>
      </c>
      <c r="PM1914" s="115">
        <v>19.489999999999998</v>
      </c>
      <c r="PN1914" s="56">
        <v>18.98</v>
      </c>
      <c r="PO1914" s="56">
        <v>17.5</v>
      </c>
      <c r="PP1914" s="62">
        <v>13.28</v>
      </c>
      <c r="PQ1914" s="115">
        <v>19.489999999999998</v>
      </c>
      <c r="PR1914" s="56">
        <v>18.98</v>
      </c>
      <c r="PS1914" s="56">
        <v>17.5</v>
      </c>
      <c r="PT1914" s="62">
        <v>13.28</v>
      </c>
      <c r="PU1914" s="115">
        <v>19.489999999999998</v>
      </c>
      <c r="PV1914" s="56">
        <v>18.98</v>
      </c>
      <c r="PW1914" s="56">
        <v>17.5</v>
      </c>
      <c r="PX1914" s="62">
        <v>13.28</v>
      </c>
      <c r="PY1914" s="115">
        <v>19.489999999999998</v>
      </c>
      <c r="PZ1914" s="56">
        <v>18.98</v>
      </c>
      <c r="QA1914" s="56">
        <v>17.5</v>
      </c>
      <c r="QB1914" s="62">
        <v>13.28</v>
      </c>
      <c r="QC1914" s="115">
        <v>19.489999999999998</v>
      </c>
      <c r="QD1914" s="56">
        <v>18.98</v>
      </c>
      <c r="QE1914" s="56">
        <v>17.5</v>
      </c>
      <c r="QF1914" s="62">
        <v>13.28</v>
      </c>
      <c r="QG1914" s="115">
        <v>19.489999999999998</v>
      </c>
      <c r="QH1914" s="56">
        <v>18.98</v>
      </c>
      <c r="QI1914" s="56">
        <v>17.5</v>
      </c>
      <c r="QJ1914" s="62">
        <v>13.28</v>
      </c>
      <c r="QK1914" s="115">
        <v>19.489999999999998</v>
      </c>
      <c r="QL1914" s="56">
        <v>18.98</v>
      </c>
      <c r="QM1914" s="56">
        <v>17.5</v>
      </c>
      <c r="QN1914" s="62">
        <v>13.28</v>
      </c>
      <c r="QO1914" s="115">
        <v>19.489999999999998</v>
      </c>
      <c r="QP1914" s="56">
        <v>18.98</v>
      </c>
      <c r="QQ1914" s="56">
        <v>17.5</v>
      </c>
      <c r="QR1914" s="62">
        <v>13.28</v>
      </c>
      <c r="QS1914" s="115">
        <v>19.489999999999998</v>
      </c>
      <c r="QT1914" s="56">
        <v>18.98</v>
      </c>
      <c r="QU1914" s="56">
        <v>17.5</v>
      </c>
      <c r="QV1914" s="62">
        <v>13.28</v>
      </c>
      <c r="QW1914" s="115">
        <v>19.489999999999998</v>
      </c>
      <c r="QX1914" s="56">
        <v>18.98</v>
      </c>
      <c r="QY1914" s="56">
        <v>17.5</v>
      </c>
      <c r="QZ1914" s="62">
        <v>13.28</v>
      </c>
      <c r="RA1914" s="115">
        <v>19.489999999999998</v>
      </c>
      <c r="RB1914" s="56">
        <v>18.98</v>
      </c>
      <c r="RC1914" s="56">
        <v>17.5</v>
      </c>
      <c r="RD1914" s="62">
        <v>13.28</v>
      </c>
      <c r="RE1914" s="115">
        <v>19.489999999999998</v>
      </c>
      <c r="RF1914" s="56">
        <v>18.98</v>
      </c>
      <c r="RG1914" s="56">
        <v>17.5</v>
      </c>
      <c r="RH1914" s="62">
        <v>13.28</v>
      </c>
      <c r="RI1914" s="115">
        <v>19.489999999999998</v>
      </c>
      <c r="RJ1914" s="56">
        <v>18.98</v>
      </c>
      <c r="RK1914" s="56">
        <v>17.5</v>
      </c>
      <c r="RL1914" s="62">
        <v>13.28</v>
      </c>
      <c r="RM1914" s="115">
        <v>19.489999999999998</v>
      </c>
      <c r="RN1914" s="56">
        <v>18.98</v>
      </c>
      <c r="RO1914" s="56">
        <v>17.5</v>
      </c>
      <c r="RP1914" s="62">
        <v>13.28</v>
      </c>
      <c r="RQ1914" s="115">
        <v>19.489999999999998</v>
      </c>
      <c r="RR1914" s="56">
        <v>18.98</v>
      </c>
      <c r="RS1914" s="56">
        <v>17.5</v>
      </c>
      <c r="RT1914" s="62">
        <v>13.28</v>
      </c>
      <c r="RU1914" s="115">
        <v>19.489999999999998</v>
      </c>
      <c r="RV1914" s="56">
        <v>18.98</v>
      </c>
      <c r="RW1914" s="56">
        <v>17.5</v>
      </c>
      <c r="RX1914" s="62">
        <v>13.28</v>
      </c>
      <c r="RY1914" s="115">
        <v>19.489999999999998</v>
      </c>
      <c r="RZ1914" s="56">
        <v>18.98</v>
      </c>
      <c r="SA1914" s="56">
        <v>17.5</v>
      </c>
      <c r="SB1914" s="62">
        <v>13.28</v>
      </c>
      <c r="SC1914" s="115">
        <v>19.489999999999998</v>
      </c>
      <c r="SD1914" s="56">
        <v>18.98</v>
      </c>
      <c r="SE1914" s="56">
        <v>17.5</v>
      </c>
      <c r="SF1914" s="62">
        <v>13.28</v>
      </c>
      <c r="SG1914" s="115">
        <v>19.489999999999998</v>
      </c>
      <c r="SH1914" s="56">
        <v>18.98</v>
      </c>
      <c r="SI1914" s="56">
        <v>17.5</v>
      </c>
      <c r="SJ1914" s="62">
        <v>13.28</v>
      </c>
      <c r="SK1914" s="115">
        <v>19.489999999999998</v>
      </c>
      <c r="SL1914" s="56">
        <v>18.98</v>
      </c>
      <c r="SM1914" s="56">
        <v>17.5</v>
      </c>
      <c r="SN1914" s="62">
        <v>13.28</v>
      </c>
      <c r="SO1914" s="115">
        <v>19.489999999999998</v>
      </c>
      <c r="SP1914" s="56">
        <v>18.98</v>
      </c>
      <c r="SQ1914" s="56">
        <v>17.5</v>
      </c>
      <c r="SR1914" s="62">
        <v>13.28</v>
      </c>
      <c r="SS1914" s="115">
        <v>19.489999999999998</v>
      </c>
      <c r="ST1914" s="56">
        <v>18.98</v>
      </c>
      <c r="SU1914" s="56">
        <v>17.5</v>
      </c>
      <c r="SV1914" s="62">
        <v>13.28</v>
      </c>
      <c r="SW1914" s="115">
        <v>19.489999999999998</v>
      </c>
      <c r="SX1914" s="56">
        <v>18.98</v>
      </c>
      <c r="SY1914" s="56">
        <v>17.5</v>
      </c>
      <c r="SZ1914" s="62">
        <v>13.28</v>
      </c>
      <c r="TA1914" s="115">
        <v>19.489999999999998</v>
      </c>
      <c r="TB1914" s="56">
        <v>18.98</v>
      </c>
      <c r="TC1914" s="56">
        <v>17.5</v>
      </c>
      <c r="TD1914" s="62">
        <v>13.28</v>
      </c>
      <c r="TE1914" s="115">
        <v>19.489999999999998</v>
      </c>
      <c r="TF1914" s="56">
        <v>18.98</v>
      </c>
      <c r="TG1914" s="56">
        <v>17.5</v>
      </c>
      <c r="TH1914" s="62">
        <v>13.28</v>
      </c>
      <c r="TI1914" s="115">
        <v>19.489999999999998</v>
      </c>
      <c r="TJ1914" s="56">
        <v>18.98</v>
      </c>
      <c r="TK1914" s="56">
        <v>17.5</v>
      </c>
      <c r="TL1914" s="62">
        <v>13.28</v>
      </c>
      <c r="TM1914" s="115">
        <v>19.489999999999998</v>
      </c>
      <c r="TN1914" s="56">
        <v>18.98</v>
      </c>
      <c r="TO1914" s="56">
        <v>17.5</v>
      </c>
      <c r="TP1914" s="62">
        <v>13.28</v>
      </c>
      <c r="TQ1914" s="115">
        <v>19.489999999999998</v>
      </c>
      <c r="TR1914" s="56">
        <v>18.98</v>
      </c>
      <c r="TS1914" s="56">
        <v>17.5</v>
      </c>
      <c r="TT1914" s="62">
        <v>13.28</v>
      </c>
      <c r="TU1914" s="115">
        <v>19.489999999999998</v>
      </c>
      <c r="TV1914" s="56">
        <v>18.98</v>
      </c>
      <c r="TW1914" s="56">
        <v>17.5</v>
      </c>
      <c r="TX1914" s="62">
        <v>13.28</v>
      </c>
      <c r="TY1914" s="115">
        <v>19.489999999999998</v>
      </c>
      <c r="TZ1914" s="56">
        <v>18.98</v>
      </c>
      <c r="UA1914" s="56">
        <v>17.5</v>
      </c>
      <c r="UB1914" s="62">
        <v>13.28</v>
      </c>
      <c r="UC1914" s="115">
        <v>19.489999999999998</v>
      </c>
      <c r="UD1914" s="56">
        <v>18.98</v>
      </c>
      <c r="UE1914" s="56">
        <v>17.5</v>
      </c>
      <c r="UF1914" s="62">
        <v>13.28</v>
      </c>
      <c r="UG1914" s="115">
        <v>19.489999999999998</v>
      </c>
      <c r="UH1914" s="56">
        <v>18.98</v>
      </c>
      <c r="UI1914" s="56">
        <v>17.5</v>
      </c>
      <c r="UJ1914" s="62">
        <v>13.28</v>
      </c>
      <c r="UK1914" s="115">
        <v>19.489999999999998</v>
      </c>
      <c r="UL1914" s="56">
        <v>18.98</v>
      </c>
      <c r="UM1914" s="56">
        <v>17.5</v>
      </c>
      <c r="UN1914" s="62">
        <v>13.28</v>
      </c>
      <c r="UO1914" s="115">
        <v>19.489999999999998</v>
      </c>
      <c r="UP1914" s="56">
        <v>18.98</v>
      </c>
      <c r="UQ1914" s="56">
        <v>17.5</v>
      </c>
      <c r="UR1914" s="62">
        <v>13.28</v>
      </c>
      <c r="US1914" s="115">
        <v>19.489999999999998</v>
      </c>
      <c r="UT1914" s="56">
        <v>18.98</v>
      </c>
      <c r="UU1914" s="56">
        <v>17.5</v>
      </c>
      <c r="UV1914" s="62">
        <v>13.28</v>
      </c>
      <c r="UW1914" s="115">
        <v>19.489999999999998</v>
      </c>
      <c r="UX1914" s="56">
        <v>18.98</v>
      </c>
      <c r="UY1914" s="56">
        <v>17.5</v>
      </c>
      <c r="UZ1914" s="62">
        <v>13.28</v>
      </c>
      <c r="VA1914" s="115">
        <v>19.489999999999998</v>
      </c>
      <c r="VB1914" s="56">
        <v>18.98</v>
      </c>
      <c r="VC1914" s="56">
        <v>17.5</v>
      </c>
      <c r="VD1914" s="62">
        <v>13.28</v>
      </c>
      <c r="VE1914" s="115">
        <v>19.489999999999998</v>
      </c>
      <c r="VF1914" s="56">
        <v>18.98</v>
      </c>
      <c r="VG1914" s="56">
        <v>17.5</v>
      </c>
      <c r="VH1914" s="62">
        <v>13.28</v>
      </c>
      <c r="VI1914" s="115">
        <v>19.489999999999998</v>
      </c>
      <c r="VJ1914" s="56">
        <v>18.98</v>
      </c>
      <c r="VK1914" s="56">
        <v>17.5</v>
      </c>
      <c r="VL1914" s="62">
        <v>13.28</v>
      </c>
      <c r="VM1914" s="115">
        <v>19.489999999999998</v>
      </c>
      <c r="VN1914" s="56">
        <v>18.98</v>
      </c>
      <c r="VO1914" s="56">
        <v>17.5</v>
      </c>
      <c r="VP1914" s="62">
        <v>13.28</v>
      </c>
      <c r="VQ1914" s="115">
        <v>19.489999999999998</v>
      </c>
      <c r="VR1914" s="56">
        <v>18.98</v>
      </c>
      <c r="VS1914" s="56">
        <v>17.5</v>
      </c>
      <c r="VT1914" s="62">
        <v>13.28</v>
      </c>
      <c r="VU1914" s="115">
        <v>19.489999999999998</v>
      </c>
      <c r="VV1914" s="56">
        <v>18.98</v>
      </c>
      <c r="VW1914" s="56">
        <v>17.5</v>
      </c>
      <c r="VX1914" s="62">
        <v>13.28</v>
      </c>
      <c r="VY1914" s="115">
        <v>19.489999999999998</v>
      </c>
      <c r="VZ1914" s="56">
        <v>18.98</v>
      </c>
      <c r="WA1914" s="56">
        <v>17.5</v>
      </c>
      <c r="WB1914" s="62">
        <v>13.28</v>
      </c>
      <c r="WC1914" s="115">
        <v>19.489999999999998</v>
      </c>
      <c r="WD1914" s="56">
        <v>18.98</v>
      </c>
      <c r="WE1914" s="56">
        <v>17.5</v>
      </c>
      <c r="WF1914" s="62">
        <v>13.28</v>
      </c>
      <c r="WG1914" s="115">
        <v>19.489999999999998</v>
      </c>
      <c r="WH1914" s="56">
        <v>18.98</v>
      </c>
      <c r="WI1914" s="56">
        <v>17.5</v>
      </c>
      <c r="WJ1914" s="62">
        <v>13.28</v>
      </c>
      <c r="WK1914" s="115">
        <v>19.489999999999998</v>
      </c>
      <c r="WL1914" s="56">
        <v>18.98</v>
      </c>
      <c r="WM1914" s="56">
        <v>17.5</v>
      </c>
      <c r="WN1914" s="62">
        <v>13.28</v>
      </c>
      <c r="WO1914" s="115">
        <v>19.489999999999998</v>
      </c>
      <c r="WP1914" s="56">
        <v>18.98</v>
      </c>
      <c r="WQ1914" s="56">
        <v>17.5</v>
      </c>
      <c r="WR1914" s="62">
        <v>13.28</v>
      </c>
      <c r="WS1914" s="115">
        <v>19.489999999999998</v>
      </c>
      <c r="WT1914" s="56">
        <v>18.98</v>
      </c>
      <c r="WU1914" s="56">
        <v>17.5</v>
      </c>
      <c r="WV1914" s="62">
        <v>13.28</v>
      </c>
      <c r="WW1914" s="115">
        <v>19.489999999999998</v>
      </c>
      <c r="WX1914" s="56">
        <v>18.98</v>
      </c>
      <c r="WY1914" s="56">
        <v>17.5</v>
      </c>
      <c r="WZ1914" s="62">
        <v>13.28</v>
      </c>
      <c r="XA1914" s="115">
        <v>19.489999999999998</v>
      </c>
      <c r="XB1914" s="56">
        <v>18.98</v>
      </c>
      <c r="XC1914" s="56">
        <v>17.5</v>
      </c>
      <c r="XD1914" s="62">
        <v>13.28</v>
      </c>
      <c r="XE1914" s="115">
        <v>19.489999999999998</v>
      </c>
      <c r="XF1914" s="56">
        <v>18.98</v>
      </c>
      <c r="XG1914" s="56">
        <v>17.5</v>
      </c>
      <c r="XH1914" s="62">
        <v>13.28</v>
      </c>
      <c r="XI1914" s="115">
        <v>19.489999999999998</v>
      </c>
      <c r="XJ1914" s="56">
        <v>18.98</v>
      </c>
      <c r="XK1914" s="56">
        <v>17.5</v>
      </c>
      <c r="XL1914" s="62">
        <v>13.28</v>
      </c>
      <c r="XM1914" s="115">
        <v>19.489999999999998</v>
      </c>
      <c r="XN1914" s="56">
        <v>18.98</v>
      </c>
      <c r="XO1914" s="56">
        <v>17.5</v>
      </c>
      <c r="XP1914" s="62">
        <v>13.28</v>
      </c>
      <c r="XQ1914" s="115">
        <v>19.489999999999998</v>
      </c>
      <c r="XR1914" s="56">
        <v>18.98</v>
      </c>
      <c r="XS1914" s="56">
        <v>17.5</v>
      </c>
      <c r="XT1914" s="62">
        <v>13.28</v>
      </c>
      <c r="XU1914" s="115">
        <v>19.489999999999998</v>
      </c>
      <c r="XV1914" s="56">
        <v>18.98</v>
      </c>
      <c r="XW1914" s="56">
        <v>17.5</v>
      </c>
      <c r="XX1914" s="62">
        <v>13.28</v>
      </c>
      <c r="XY1914" s="115">
        <v>19.489999999999998</v>
      </c>
      <c r="XZ1914" s="56">
        <v>18.98</v>
      </c>
      <c r="YA1914" s="56">
        <v>17.5</v>
      </c>
      <c r="YB1914" s="62">
        <v>13.28</v>
      </c>
      <c r="YC1914" s="115">
        <v>19.489999999999998</v>
      </c>
      <c r="YD1914" s="56">
        <v>18.98</v>
      </c>
      <c r="YE1914" s="56">
        <v>17.5</v>
      </c>
      <c r="YF1914" s="62">
        <v>13.28</v>
      </c>
      <c r="YG1914" s="115">
        <v>19.489999999999998</v>
      </c>
      <c r="YH1914" s="56">
        <v>18.98</v>
      </c>
      <c r="YI1914" s="56">
        <v>17.5</v>
      </c>
      <c r="YJ1914" s="62">
        <v>13.28</v>
      </c>
      <c r="YK1914" s="115">
        <v>19.489999999999998</v>
      </c>
      <c r="YL1914" s="56">
        <v>18.98</v>
      </c>
      <c r="YM1914" s="56">
        <v>17.5</v>
      </c>
      <c r="YN1914" s="62">
        <v>13.28</v>
      </c>
      <c r="YO1914" s="115">
        <v>19.489999999999998</v>
      </c>
      <c r="YP1914" s="56">
        <v>18.98</v>
      </c>
      <c r="YQ1914" s="56">
        <v>17.5</v>
      </c>
      <c r="YR1914" s="62">
        <v>13.28</v>
      </c>
      <c r="YS1914" s="115">
        <v>19.489999999999998</v>
      </c>
      <c r="YT1914" s="56">
        <v>18.98</v>
      </c>
      <c r="YU1914" s="56">
        <v>17.5</v>
      </c>
      <c r="YV1914" s="62">
        <v>13.28</v>
      </c>
      <c r="YW1914" s="115">
        <v>19.489999999999998</v>
      </c>
      <c r="YX1914" s="56">
        <v>18.98</v>
      </c>
      <c r="YY1914" s="56">
        <v>17.5</v>
      </c>
      <c r="YZ1914" s="62">
        <v>13.28</v>
      </c>
      <c r="ZA1914" s="115">
        <v>19.489999999999998</v>
      </c>
      <c r="ZB1914" s="56">
        <v>18.98</v>
      </c>
      <c r="ZC1914" s="56">
        <v>17.5</v>
      </c>
      <c r="ZD1914" s="62">
        <v>13.28</v>
      </c>
      <c r="ZE1914" s="115">
        <v>19.489999999999998</v>
      </c>
      <c r="ZF1914" s="56">
        <v>18.98</v>
      </c>
      <c r="ZG1914" s="56">
        <v>17.5</v>
      </c>
      <c r="ZH1914" s="62">
        <v>13.28</v>
      </c>
      <c r="ZI1914" s="115">
        <v>19.489999999999998</v>
      </c>
      <c r="ZJ1914" s="56">
        <v>18.98</v>
      </c>
      <c r="ZK1914" s="56">
        <v>17.5</v>
      </c>
      <c r="ZL1914" s="62">
        <v>13.28</v>
      </c>
      <c r="ZM1914" s="115">
        <v>19.489999999999998</v>
      </c>
      <c r="ZN1914" s="56">
        <v>18.98</v>
      </c>
      <c r="ZO1914" s="56">
        <v>17.5</v>
      </c>
      <c r="ZP1914" s="62">
        <v>13.28</v>
      </c>
      <c r="ZQ1914" s="115">
        <v>19.489999999999998</v>
      </c>
      <c r="ZR1914" s="56">
        <v>18.98</v>
      </c>
      <c r="ZS1914" s="56">
        <v>17.5</v>
      </c>
      <c r="ZT1914" s="62">
        <v>13.28</v>
      </c>
      <c r="ZU1914" s="115">
        <v>19.489999999999998</v>
      </c>
      <c r="ZV1914" s="56">
        <v>18.98</v>
      </c>
      <c r="ZW1914" s="56">
        <v>17.5</v>
      </c>
      <c r="ZX1914" s="62">
        <v>13.28</v>
      </c>
      <c r="ZY1914" s="115">
        <v>19.489999999999998</v>
      </c>
      <c r="ZZ1914" s="56">
        <v>18.98</v>
      </c>
      <c r="AAA1914" s="56">
        <v>17.5</v>
      </c>
      <c r="AAB1914" s="62">
        <v>13.28</v>
      </c>
      <c r="AAC1914" s="115">
        <v>19.489999999999998</v>
      </c>
      <c r="AAD1914" s="56">
        <v>18.98</v>
      </c>
      <c r="AAE1914" s="56">
        <v>17.5</v>
      </c>
      <c r="AAF1914" s="62">
        <v>13.28</v>
      </c>
      <c r="AAG1914" s="115">
        <v>19.489999999999998</v>
      </c>
      <c r="AAH1914" s="56">
        <v>18.98</v>
      </c>
      <c r="AAI1914" s="56">
        <v>17.5</v>
      </c>
      <c r="AAJ1914" s="62">
        <v>13.28</v>
      </c>
      <c r="AAK1914" s="115">
        <v>19.489999999999998</v>
      </c>
      <c r="AAL1914" s="56">
        <v>18.98</v>
      </c>
      <c r="AAM1914" s="56">
        <v>17.5</v>
      </c>
      <c r="AAN1914" s="62">
        <v>13.28</v>
      </c>
      <c r="AAO1914" s="115">
        <v>19.489999999999998</v>
      </c>
      <c r="AAP1914" s="56">
        <v>18.98</v>
      </c>
      <c r="AAQ1914" s="56">
        <v>17.5</v>
      </c>
      <c r="AAR1914" s="62">
        <v>13.28</v>
      </c>
      <c r="AAS1914" s="115">
        <v>19.489999999999998</v>
      </c>
      <c r="AAT1914" s="56">
        <v>18.98</v>
      </c>
      <c r="AAU1914" s="56">
        <v>17.5</v>
      </c>
      <c r="AAV1914" s="62">
        <v>13.28</v>
      </c>
      <c r="AAW1914" s="115">
        <v>19.489999999999998</v>
      </c>
      <c r="AAX1914" s="56">
        <v>18.98</v>
      </c>
      <c r="AAY1914" s="56">
        <v>17.5</v>
      </c>
      <c r="AAZ1914" s="62">
        <v>13.28</v>
      </c>
      <c r="ABA1914" s="115">
        <v>19.489999999999998</v>
      </c>
      <c r="ABB1914" s="56">
        <v>18.98</v>
      </c>
      <c r="ABC1914" s="56">
        <v>17.5</v>
      </c>
      <c r="ABD1914" s="62">
        <v>13.28</v>
      </c>
      <c r="ABE1914" s="115">
        <v>19.489999999999998</v>
      </c>
      <c r="ABF1914" s="56">
        <v>18.98</v>
      </c>
      <c r="ABG1914" s="56">
        <v>17.5</v>
      </c>
      <c r="ABH1914" s="62">
        <v>13.28</v>
      </c>
      <c r="ABI1914" s="115">
        <v>19.489999999999998</v>
      </c>
      <c r="ABJ1914" s="56">
        <v>18.98</v>
      </c>
      <c r="ABK1914" s="56">
        <v>17.5</v>
      </c>
      <c r="ABL1914" s="62">
        <v>13.28</v>
      </c>
      <c r="ABM1914" s="115">
        <v>19.489999999999998</v>
      </c>
      <c r="ABN1914" s="56">
        <v>18.98</v>
      </c>
      <c r="ABO1914" s="56">
        <v>17.5</v>
      </c>
      <c r="ABP1914" s="62">
        <v>13.28</v>
      </c>
      <c r="ABQ1914" s="115">
        <v>19.489999999999998</v>
      </c>
      <c r="ABR1914" s="56">
        <v>18.98</v>
      </c>
      <c r="ABS1914" s="56">
        <v>17.5</v>
      </c>
      <c r="ABT1914" s="62">
        <v>13.28</v>
      </c>
      <c r="ABU1914" s="115">
        <v>19.489999999999998</v>
      </c>
      <c r="ABV1914" s="56">
        <v>18.98</v>
      </c>
      <c r="ABW1914" s="56">
        <v>17.5</v>
      </c>
      <c r="ABX1914" s="62">
        <v>13.28</v>
      </c>
      <c r="ABY1914" s="115">
        <v>19.489999999999998</v>
      </c>
      <c r="ABZ1914" s="56">
        <v>18.98</v>
      </c>
      <c r="ACA1914" s="56">
        <v>17.5</v>
      </c>
      <c r="ACB1914" s="62">
        <v>13.28</v>
      </c>
      <c r="ACC1914" s="115">
        <v>19.489999999999998</v>
      </c>
      <c r="ACD1914" s="56">
        <v>18.98</v>
      </c>
      <c r="ACE1914" s="56">
        <v>17.5</v>
      </c>
      <c r="ACF1914" s="62">
        <v>13.28</v>
      </c>
      <c r="ACG1914" s="115">
        <v>19.489999999999998</v>
      </c>
      <c r="ACH1914" s="56">
        <v>18.98</v>
      </c>
      <c r="ACI1914" s="56">
        <v>17.5</v>
      </c>
      <c r="ACJ1914" s="62">
        <v>13.28</v>
      </c>
      <c r="ACK1914" s="115">
        <v>19.489999999999998</v>
      </c>
      <c r="ACL1914" s="56">
        <v>18.98</v>
      </c>
      <c r="ACM1914" s="56">
        <v>17.5</v>
      </c>
      <c r="ACN1914" s="62">
        <v>13.28</v>
      </c>
      <c r="ACO1914" s="115">
        <v>19.489999999999998</v>
      </c>
      <c r="ACP1914" s="56">
        <v>18.98</v>
      </c>
      <c r="ACQ1914" s="56">
        <v>17.5</v>
      </c>
      <c r="ACR1914" s="62">
        <v>13.28</v>
      </c>
      <c r="ACS1914" s="115">
        <v>19.489999999999998</v>
      </c>
      <c r="ACT1914" s="56">
        <v>18.98</v>
      </c>
      <c r="ACU1914" s="56">
        <v>17.5</v>
      </c>
      <c r="ACV1914" s="62">
        <v>13.28</v>
      </c>
      <c r="ACW1914" s="115">
        <v>19.489999999999998</v>
      </c>
      <c r="ACX1914" s="56">
        <v>18.98</v>
      </c>
      <c r="ACY1914" s="56">
        <v>17.5</v>
      </c>
      <c r="ACZ1914" s="62">
        <v>13.28</v>
      </c>
      <c r="ADA1914" s="115">
        <v>19.489999999999998</v>
      </c>
      <c r="ADB1914" s="56">
        <v>18.98</v>
      </c>
      <c r="ADC1914" s="56">
        <v>17.5</v>
      </c>
      <c r="ADD1914" s="62">
        <v>13.28</v>
      </c>
      <c r="ADE1914" s="115">
        <v>19.489999999999998</v>
      </c>
      <c r="ADF1914" s="56">
        <v>18.98</v>
      </c>
      <c r="ADG1914" s="56">
        <v>17.5</v>
      </c>
      <c r="ADH1914" s="62">
        <v>13.28</v>
      </c>
      <c r="ADI1914" s="115">
        <v>19.489999999999998</v>
      </c>
      <c r="ADJ1914" s="56">
        <v>18.98</v>
      </c>
      <c r="ADK1914" s="56">
        <v>17.5</v>
      </c>
      <c r="ADL1914" s="62">
        <v>13.28</v>
      </c>
      <c r="ADM1914" s="115">
        <v>19.489999999999998</v>
      </c>
      <c r="ADN1914" s="56">
        <v>18.98</v>
      </c>
      <c r="ADO1914" s="56">
        <v>17.5</v>
      </c>
      <c r="ADP1914" s="62">
        <v>13.28</v>
      </c>
      <c r="ADQ1914" s="115">
        <v>19.489999999999998</v>
      </c>
      <c r="ADR1914" s="56">
        <v>18.98</v>
      </c>
      <c r="ADS1914" s="56">
        <v>17.5</v>
      </c>
      <c r="ADT1914" s="62">
        <v>13.28</v>
      </c>
      <c r="ADU1914" s="115">
        <v>19.489999999999998</v>
      </c>
      <c r="ADV1914" s="56">
        <v>18.98</v>
      </c>
      <c r="ADW1914" s="56">
        <v>17.5</v>
      </c>
      <c r="ADX1914" s="62">
        <v>13.28</v>
      </c>
      <c r="ADY1914" s="115">
        <v>19.489999999999998</v>
      </c>
      <c r="ADZ1914" s="56">
        <v>18.98</v>
      </c>
      <c r="AEA1914" s="56">
        <v>17.5</v>
      </c>
      <c r="AEB1914" s="62">
        <v>13.28</v>
      </c>
      <c r="AEC1914" s="115">
        <v>19.489999999999998</v>
      </c>
      <c r="AED1914" s="56">
        <v>18.98</v>
      </c>
      <c r="AEE1914" s="56">
        <v>17.5</v>
      </c>
      <c r="AEF1914" s="62">
        <v>13.28</v>
      </c>
      <c r="AEG1914" s="115">
        <v>19.489999999999998</v>
      </c>
      <c r="AEH1914" s="56">
        <v>18.98</v>
      </c>
      <c r="AEI1914" s="56">
        <v>17.5</v>
      </c>
      <c r="AEJ1914" s="62">
        <v>13.28</v>
      </c>
      <c r="AEK1914" s="115">
        <v>19.489999999999998</v>
      </c>
      <c r="AEL1914" s="56">
        <v>18.98</v>
      </c>
      <c r="AEM1914" s="56">
        <v>17.5</v>
      </c>
      <c r="AEN1914" s="62">
        <v>13.28</v>
      </c>
      <c r="AEO1914" s="115">
        <v>19.489999999999998</v>
      </c>
      <c r="AEP1914" s="56">
        <v>18.98</v>
      </c>
      <c r="AEQ1914" s="56">
        <v>17.5</v>
      </c>
      <c r="AER1914" s="62">
        <v>13.28</v>
      </c>
      <c r="AES1914" s="115">
        <v>19.489999999999998</v>
      </c>
      <c r="AET1914" s="56">
        <v>18.98</v>
      </c>
      <c r="AEU1914" s="56">
        <v>17.5</v>
      </c>
      <c r="AEV1914" s="62">
        <v>13.28</v>
      </c>
      <c r="AEW1914" s="115">
        <v>19.489999999999998</v>
      </c>
      <c r="AEX1914" s="56">
        <v>18.98</v>
      </c>
      <c r="AEY1914" s="56">
        <v>17.5</v>
      </c>
      <c r="AEZ1914" s="62">
        <v>13.28</v>
      </c>
      <c r="AFA1914" s="115">
        <v>19.489999999999998</v>
      </c>
      <c r="AFB1914" s="56">
        <v>18.98</v>
      </c>
      <c r="AFC1914" s="56">
        <v>17.5</v>
      </c>
      <c r="AFD1914" s="62">
        <v>13.28</v>
      </c>
      <c r="AFE1914" s="115">
        <v>19.489999999999998</v>
      </c>
      <c r="AFF1914" s="56">
        <v>18.98</v>
      </c>
      <c r="AFG1914" s="56">
        <v>17.5</v>
      </c>
      <c r="AFH1914" s="62">
        <v>13.28</v>
      </c>
      <c r="AFI1914" s="115">
        <v>19.489999999999998</v>
      </c>
      <c r="AFJ1914" s="56">
        <v>18.98</v>
      </c>
      <c r="AFK1914" s="56">
        <v>17.5</v>
      </c>
      <c r="AFL1914" s="62">
        <v>13.28</v>
      </c>
      <c r="AFM1914" s="115">
        <v>19.489999999999998</v>
      </c>
      <c r="AFN1914" s="56">
        <v>18.98</v>
      </c>
      <c r="AFO1914" s="56">
        <v>17.5</v>
      </c>
      <c r="AFP1914" s="62">
        <v>13.28</v>
      </c>
      <c r="AFQ1914" s="115">
        <v>19.489999999999998</v>
      </c>
      <c r="AFR1914" s="56">
        <v>18.98</v>
      </c>
      <c r="AFS1914" s="56">
        <v>17.5</v>
      </c>
      <c r="AFT1914" s="62">
        <v>13.28</v>
      </c>
      <c r="AFU1914" s="115">
        <v>19.489999999999998</v>
      </c>
      <c r="AFV1914" s="56">
        <v>18.98</v>
      </c>
      <c r="AFW1914" s="56">
        <v>17.5</v>
      </c>
      <c r="AFX1914" s="62">
        <v>13.28</v>
      </c>
      <c r="AFY1914" s="115">
        <v>19.489999999999998</v>
      </c>
      <c r="AFZ1914" s="56">
        <v>18.98</v>
      </c>
      <c r="AGA1914" s="56">
        <v>17.5</v>
      </c>
      <c r="AGB1914" s="62">
        <v>13.28</v>
      </c>
      <c r="AGC1914" s="115">
        <v>19.489999999999998</v>
      </c>
      <c r="AGD1914" s="56">
        <v>18.98</v>
      </c>
      <c r="AGE1914" s="56">
        <v>17.5</v>
      </c>
      <c r="AGF1914" s="62">
        <v>13.28</v>
      </c>
      <c r="AGG1914" s="115">
        <v>19.489999999999998</v>
      </c>
      <c r="AGH1914" s="56">
        <v>18.98</v>
      </c>
      <c r="AGI1914" s="56">
        <v>17.5</v>
      </c>
      <c r="AGJ1914" s="62">
        <v>13.28</v>
      </c>
      <c r="AGK1914" s="115">
        <v>19.489999999999998</v>
      </c>
      <c r="AGL1914" s="56">
        <v>18.98</v>
      </c>
      <c r="AGM1914" s="56">
        <v>17.5</v>
      </c>
      <c r="AGN1914" s="62">
        <v>13.28</v>
      </c>
      <c r="AGO1914" s="115">
        <v>19.489999999999998</v>
      </c>
      <c r="AGP1914" s="56">
        <v>18.98</v>
      </c>
      <c r="AGQ1914" s="56">
        <v>17.5</v>
      </c>
      <c r="AGR1914" s="62">
        <v>13.28</v>
      </c>
      <c r="AGS1914" s="115">
        <v>19.489999999999998</v>
      </c>
      <c r="AGT1914" s="56">
        <v>18.98</v>
      </c>
      <c r="AGU1914" s="56">
        <v>17.5</v>
      </c>
      <c r="AGV1914" s="62">
        <v>13.28</v>
      </c>
      <c r="AGW1914" s="115">
        <v>19.489999999999998</v>
      </c>
      <c r="AGX1914" s="56">
        <v>18.98</v>
      </c>
      <c r="AGY1914" s="56">
        <v>17.5</v>
      </c>
      <c r="AGZ1914" s="62">
        <v>13.28</v>
      </c>
      <c r="AHA1914" s="115">
        <v>19.489999999999998</v>
      </c>
      <c r="AHB1914" s="56">
        <v>18.98</v>
      </c>
      <c r="AHC1914" s="56">
        <v>17.5</v>
      </c>
      <c r="AHD1914" s="62">
        <v>13.28</v>
      </c>
      <c r="AHE1914" s="115">
        <v>19.489999999999998</v>
      </c>
      <c r="AHF1914" s="56">
        <v>18.98</v>
      </c>
      <c r="AHG1914" s="56">
        <v>17.5</v>
      </c>
      <c r="AHH1914" s="62">
        <v>13.28</v>
      </c>
      <c r="AHI1914" s="115">
        <v>19.489999999999998</v>
      </c>
      <c r="AHJ1914" s="56">
        <v>18.98</v>
      </c>
      <c r="AHK1914" s="56">
        <v>17.5</v>
      </c>
      <c r="AHL1914" s="62">
        <v>13.28</v>
      </c>
      <c r="AHM1914" s="115">
        <v>19.489999999999998</v>
      </c>
      <c r="AHN1914" s="56">
        <v>18.98</v>
      </c>
      <c r="AHO1914" s="56">
        <v>17.5</v>
      </c>
      <c r="AHP1914" s="62">
        <v>13.28</v>
      </c>
      <c r="AHQ1914" s="115">
        <v>19.489999999999998</v>
      </c>
      <c r="AHR1914" s="56">
        <v>18.98</v>
      </c>
      <c r="AHS1914" s="56">
        <v>17.5</v>
      </c>
      <c r="AHT1914" s="62">
        <v>13.28</v>
      </c>
      <c r="AHU1914" s="115">
        <v>19.489999999999998</v>
      </c>
      <c r="AHV1914" s="56">
        <v>18.98</v>
      </c>
      <c r="AHW1914" s="56">
        <v>17.5</v>
      </c>
      <c r="AHX1914" s="62">
        <v>13.28</v>
      </c>
      <c r="AHY1914" s="115">
        <v>19.489999999999998</v>
      </c>
      <c r="AHZ1914" s="56">
        <v>18.98</v>
      </c>
      <c r="AIA1914" s="56">
        <v>17.5</v>
      </c>
      <c r="AIB1914" s="62">
        <v>13.28</v>
      </c>
      <c r="AIC1914" s="115">
        <v>19.489999999999998</v>
      </c>
      <c r="AID1914" s="56">
        <v>18.98</v>
      </c>
      <c r="AIE1914" s="56">
        <v>17.5</v>
      </c>
      <c r="AIF1914" s="62">
        <v>13.28</v>
      </c>
      <c r="AIG1914" s="115">
        <v>19.489999999999998</v>
      </c>
      <c r="AIH1914" s="56">
        <v>18.98</v>
      </c>
      <c r="AII1914" s="56">
        <v>17.5</v>
      </c>
      <c r="AIJ1914" s="62">
        <v>13.28</v>
      </c>
      <c r="AIK1914" s="115">
        <v>19.489999999999998</v>
      </c>
      <c r="AIL1914" s="56">
        <v>18.98</v>
      </c>
      <c r="AIM1914" s="56">
        <v>17.5</v>
      </c>
      <c r="AIN1914" s="62">
        <v>13.28</v>
      </c>
      <c r="AIO1914" s="115">
        <v>19.489999999999998</v>
      </c>
      <c r="AIP1914" s="56">
        <v>18.98</v>
      </c>
      <c r="AIQ1914" s="56">
        <v>17.5</v>
      </c>
      <c r="AIR1914" s="62">
        <v>13.28</v>
      </c>
      <c r="AIS1914" s="115">
        <v>19.489999999999998</v>
      </c>
      <c r="AIT1914" s="56">
        <v>18.98</v>
      </c>
      <c r="AIU1914" s="56">
        <v>17.5</v>
      </c>
      <c r="AIV1914" s="62">
        <v>13.28</v>
      </c>
      <c r="AIW1914" s="115">
        <v>19.489999999999998</v>
      </c>
      <c r="AIX1914" s="56">
        <v>18.98</v>
      </c>
      <c r="AIY1914" s="56">
        <v>17.5</v>
      </c>
      <c r="AIZ1914" s="62">
        <v>13.28</v>
      </c>
      <c r="AJA1914" s="115">
        <v>19.489999999999998</v>
      </c>
      <c r="AJB1914" s="56">
        <v>18.98</v>
      </c>
      <c r="AJC1914" s="56">
        <v>17.5</v>
      </c>
      <c r="AJD1914" s="62">
        <v>13.28</v>
      </c>
      <c r="AJE1914" s="115">
        <v>19.489999999999998</v>
      </c>
      <c r="AJF1914" s="56">
        <v>18.98</v>
      </c>
      <c r="AJG1914" s="56">
        <v>17.5</v>
      </c>
      <c r="AJH1914" s="62">
        <v>13.28</v>
      </c>
      <c r="AJI1914" s="115">
        <v>19.489999999999998</v>
      </c>
      <c r="AJJ1914" s="56">
        <v>18.98</v>
      </c>
      <c r="AJK1914" s="56">
        <v>17.5</v>
      </c>
      <c r="AJL1914" s="62">
        <v>13.28</v>
      </c>
      <c r="AJM1914" s="115">
        <v>19.489999999999998</v>
      </c>
      <c r="AJN1914" s="56">
        <v>18.98</v>
      </c>
      <c r="AJO1914" s="56">
        <v>17.5</v>
      </c>
      <c r="AJP1914" s="62">
        <v>13.28</v>
      </c>
      <c r="AJQ1914" s="115">
        <v>19.489999999999998</v>
      </c>
      <c r="AJR1914" s="56">
        <v>18.98</v>
      </c>
      <c r="AJS1914" s="56">
        <v>17.5</v>
      </c>
      <c r="AJT1914" s="62">
        <v>13.28</v>
      </c>
      <c r="AJU1914" s="115">
        <v>19.489999999999998</v>
      </c>
      <c r="AJV1914" s="56">
        <v>18.98</v>
      </c>
      <c r="AJW1914" s="56">
        <v>17.5</v>
      </c>
      <c r="AJX1914" s="62">
        <v>13.28</v>
      </c>
      <c r="AJY1914" s="115">
        <v>19.489999999999998</v>
      </c>
      <c r="AJZ1914" s="56">
        <v>18.98</v>
      </c>
      <c r="AKA1914" s="56">
        <v>17.5</v>
      </c>
      <c r="AKB1914" s="62">
        <v>13.28</v>
      </c>
      <c r="AKC1914" s="115">
        <v>19.489999999999998</v>
      </c>
      <c r="AKD1914" s="56">
        <v>18.98</v>
      </c>
      <c r="AKE1914" s="56">
        <v>17.5</v>
      </c>
      <c r="AKF1914" s="62">
        <v>13.28</v>
      </c>
      <c r="AKG1914" s="115">
        <v>19.489999999999998</v>
      </c>
      <c r="AKH1914" s="56">
        <v>18.98</v>
      </c>
      <c r="AKI1914" s="56">
        <v>17.5</v>
      </c>
      <c r="AKJ1914" s="62">
        <v>13.28</v>
      </c>
      <c r="AKK1914" s="115">
        <v>19.489999999999998</v>
      </c>
      <c r="AKL1914" s="56">
        <v>18.98</v>
      </c>
      <c r="AKM1914" s="56">
        <v>17.5</v>
      </c>
      <c r="AKN1914" s="62">
        <v>13.28</v>
      </c>
      <c r="AKO1914" s="115">
        <v>19.489999999999998</v>
      </c>
      <c r="AKP1914" s="56">
        <v>18.98</v>
      </c>
      <c r="AKQ1914" s="56">
        <v>17.5</v>
      </c>
      <c r="AKR1914" s="62">
        <v>13.28</v>
      </c>
      <c r="AKS1914" s="115">
        <v>19.489999999999998</v>
      </c>
      <c r="AKT1914" s="56">
        <v>18.98</v>
      </c>
      <c r="AKU1914" s="56">
        <v>17.5</v>
      </c>
      <c r="AKV1914" s="62">
        <v>13.28</v>
      </c>
      <c r="AKW1914" s="115">
        <v>19.489999999999998</v>
      </c>
      <c r="AKX1914" s="56">
        <v>18.98</v>
      </c>
      <c r="AKY1914" s="56">
        <v>17.5</v>
      </c>
      <c r="AKZ1914" s="62">
        <v>13.28</v>
      </c>
      <c r="ALA1914" s="115">
        <v>19.489999999999998</v>
      </c>
      <c r="ALB1914" s="56">
        <v>18.98</v>
      </c>
      <c r="ALC1914" s="56">
        <v>17.5</v>
      </c>
      <c r="ALD1914" s="62">
        <v>13.28</v>
      </c>
      <c r="ALE1914" s="115">
        <v>19.489999999999998</v>
      </c>
      <c r="ALF1914" s="56">
        <v>18.98</v>
      </c>
      <c r="ALG1914" s="56">
        <v>17.5</v>
      </c>
      <c r="ALH1914" s="62">
        <v>13.28</v>
      </c>
      <c r="ALI1914" s="115">
        <v>19.489999999999998</v>
      </c>
      <c r="ALJ1914" s="56">
        <v>18.98</v>
      </c>
      <c r="ALK1914" s="56">
        <v>17.5</v>
      </c>
      <c r="ALL1914" s="62">
        <v>13.28</v>
      </c>
      <c r="ALM1914" s="115">
        <v>19.489999999999998</v>
      </c>
      <c r="ALN1914" s="56">
        <v>18.98</v>
      </c>
      <c r="ALO1914" s="56">
        <v>17.5</v>
      </c>
      <c r="ALP1914" s="62">
        <v>13.28</v>
      </c>
      <c r="ALQ1914" s="115">
        <v>19.489999999999998</v>
      </c>
      <c r="ALR1914" s="56">
        <v>18.98</v>
      </c>
      <c r="ALS1914" s="56">
        <v>17.5</v>
      </c>
      <c r="ALT1914" s="62">
        <v>13.28</v>
      </c>
      <c r="ALU1914" s="115">
        <v>19.489999999999998</v>
      </c>
      <c r="ALV1914" s="56">
        <v>18.98</v>
      </c>
      <c r="ALW1914" s="56">
        <v>17.5</v>
      </c>
      <c r="ALX1914" s="62">
        <v>13.28</v>
      </c>
      <c r="ALY1914" s="115">
        <v>19.489999999999998</v>
      </c>
      <c r="ALZ1914" s="56">
        <v>18.98</v>
      </c>
      <c r="AMA1914" s="56">
        <v>17.5</v>
      </c>
      <c r="AMB1914" s="62">
        <v>13.28</v>
      </c>
      <c r="AMC1914" s="115">
        <v>19.489999999999998</v>
      </c>
      <c r="AMD1914" s="56">
        <v>18.98</v>
      </c>
      <c r="AME1914" s="56">
        <v>17.5</v>
      </c>
      <c r="AMF1914" s="62">
        <v>13.28</v>
      </c>
      <c r="AMG1914" s="115">
        <v>19.489999999999998</v>
      </c>
      <c r="AMH1914" s="56">
        <v>18.98</v>
      </c>
      <c r="AMI1914" s="56">
        <v>17.5</v>
      </c>
      <c r="AMJ1914" s="62">
        <v>13.28</v>
      </c>
      <c r="AMK1914" s="115">
        <v>19.489999999999998</v>
      </c>
      <c r="AML1914" s="56">
        <v>18.98</v>
      </c>
      <c r="AMM1914" s="56">
        <v>17.5</v>
      </c>
      <c r="AMN1914" s="62">
        <v>13.28</v>
      </c>
      <c r="AMO1914" s="115">
        <v>19.489999999999998</v>
      </c>
      <c r="AMP1914" s="56">
        <v>18.98</v>
      </c>
      <c r="AMQ1914" s="56">
        <v>17.5</v>
      </c>
      <c r="AMR1914" s="62">
        <v>13.28</v>
      </c>
      <c r="AMS1914" s="115">
        <v>19.489999999999998</v>
      </c>
      <c r="AMT1914" s="56">
        <v>18.98</v>
      </c>
      <c r="AMU1914" s="56">
        <v>17.5</v>
      </c>
      <c r="AMV1914" s="62">
        <v>13.28</v>
      </c>
      <c r="AMW1914" s="115">
        <v>19.489999999999998</v>
      </c>
      <c r="AMX1914" s="56">
        <v>18.98</v>
      </c>
      <c r="AMY1914" s="56">
        <v>17.5</v>
      </c>
      <c r="AMZ1914" s="62">
        <v>13.28</v>
      </c>
      <c r="ANA1914" s="115">
        <v>19.489999999999998</v>
      </c>
      <c r="ANB1914" s="56">
        <v>18.98</v>
      </c>
      <c r="ANC1914" s="56">
        <v>17.5</v>
      </c>
      <c r="AND1914" s="62">
        <v>13.28</v>
      </c>
      <c r="ANE1914" s="115">
        <v>19.489999999999998</v>
      </c>
      <c r="ANF1914" s="56">
        <v>18.98</v>
      </c>
      <c r="ANG1914" s="56">
        <v>17.5</v>
      </c>
      <c r="ANH1914" s="62">
        <v>13.28</v>
      </c>
      <c r="ANI1914" s="115">
        <v>19.489999999999998</v>
      </c>
      <c r="ANJ1914" s="56">
        <v>18.98</v>
      </c>
      <c r="ANK1914" s="56">
        <v>17.5</v>
      </c>
      <c r="ANL1914" s="62">
        <v>13.28</v>
      </c>
      <c r="ANM1914" s="115">
        <v>19.489999999999998</v>
      </c>
      <c r="ANN1914" s="56">
        <v>18.98</v>
      </c>
      <c r="ANO1914" s="56">
        <v>17.5</v>
      </c>
      <c r="ANP1914" s="62">
        <v>13.28</v>
      </c>
      <c r="ANQ1914" s="115">
        <v>19.489999999999998</v>
      </c>
      <c r="ANR1914" s="56">
        <v>18.98</v>
      </c>
      <c r="ANS1914" s="56">
        <v>17.5</v>
      </c>
      <c r="ANT1914" s="62">
        <v>13.28</v>
      </c>
      <c r="ANU1914" s="115">
        <v>19.489999999999998</v>
      </c>
      <c r="ANV1914" s="56">
        <v>18.98</v>
      </c>
      <c r="ANW1914" s="56">
        <v>17.5</v>
      </c>
      <c r="ANX1914" s="62">
        <v>13.28</v>
      </c>
      <c r="ANY1914" s="115">
        <v>19.489999999999998</v>
      </c>
      <c r="ANZ1914" s="56">
        <v>18.98</v>
      </c>
      <c r="AOA1914" s="56">
        <v>17.5</v>
      </c>
      <c r="AOB1914" s="62">
        <v>13.28</v>
      </c>
      <c r="AOC1914" s="115">
        <v>19.489999999999998</v>
      </c>
      <c r="AOD1914" s="56">
        <v>18.98</v>
      </c>
      <c r="AOE1914" s="56">
        <v>17.5</v>
      </c>
      <c r="AOF1914" s="62">
        <v>13.28</v>
      </c>
      <c r="AOG1914" s="115">
        <v>19.489999999999998</v>
      </c>
      <c r="AOH1914" s="56">
        <v>18.98</v>
      </c>
      <c r="AOI1914" s="56">
        <v>17.5</v>
      </c>
      <c r="AOJ1914" s="62">
        <v>13.28</v>
      </c>
      <c r="AOK1914" s="115">
        <v>19.489999999999998</v>
      </c>
      <c r="AOL1914" s="56">
        <v>18.98</v>
      </c>
      <c r="AOM1914" s="56">
        <v>17.5</v>
      </c>
      <c r="AON1914" s="62">
        <v>13.28</v>
      </c>
      <c r="AOO1914" s="115">
        <v>19.489999999999998</v>
      </c>
      <c r="AOP1914" s="56">
        <v>18.98</v>
      </c>
      <c r="AOQ1914" s="56">
        <v>17.5</v>
      </c>
      <c r="AOR1914" s="62">
        <v>13.28</v>
      </c>
      <c r="AOS1914" s="115">
        <v>19.489999999999998</v>
      </c>
      <c r="AOT1914" s="56">
        <v>18.98</v>
      </c>
      <c r="AOU1914" s="56">
        <v>17.5</v>
      </c>
      <c r="AOV1914" s="62">
        <v>13.28</v>
      </c>
      <c r="AOW1914" s="115">
        <v>19.489999999999998</v>
      </c>
      <c r="AOX1914" s="56">
        <v>18.98</v>
      </c>
      <c r="AOY1914" s="56">
        <v>17.5</v>
      </c>
      <c r="AOZ1914" s="62">
        <v>13.28</v>
      </c>
      <c r="APA1914" s="115">
        <v>19.489999999999998</v>
      </c>
      <c r="APB1914" s="56">
        <v>18.98</v>
      </c>
      <c r="APC1914" s="56">
        <v>17.5</v>
      </c>
      <c r="APD1914" s="62">
        <v>13.28</v>
      </c>
      <c r="APE1914" s="115">
        <v>19.489999999999998</v>
      </c>
      <c r="APF1914" s="56">
        <v>18.98</v>
      </c>
      <c r="APG1914" s="56">
        <v>17.5</v>
      </c>
      <c r="APH1914" s="62">
        <v>13.28</v>
      </c>
      <c r="API1914" s="115">
        <v>19.489999999999998</v>
      </c>
      <c r="APJ1914" s="56">
        <v>18.98</v>
      </c>
      <c r="APK1914" s="56">
        <v>17.5</v>
      </c>
      <c r="APL1914" s="62">
        <v>13.28</v>
      </c>
      <c r="APM1914" s="115">
        <v>19.489999999999998</v>
      </c>
      <c r="APN1914" s="56">
        <v>18.98</v>
      </c>
      <c r="APO1914" s="56">
        <v>17.5</v>
      </c>
      <c r="APP1914" s="62">
        <v>13.28</v>
      </c>
      <c r="APQ1914" s="115">
        <v>19.489999999999998</v>
      </c>
      <c r="APR1914" s="56">
        <v>18.98</v>
      </c>
      <c r="APS1914" s="56">
        <v>17.5</v>
      </c>
      <c r="APT1914" s="62">
        <v>13.28</v>
      </c>
      <c r="APU1914" s="115">
        <v>19.489999999999998</v>
      </c>
      <c r="APV1914" s="56">
        <v>18.98</v>
      </c>
      <c r="APW1914" s="56">
        <v>17.5</v>
      </c>
      <c r="APX1914" s="62">
        <v>13.28</v>
      </c>
      <c r="APY1914" s="115">
        <v>19.489999999999998</v>
      </c>
      <c r="APZ1914" s="56">
        <v>18.98</v>
      </c>
      <c r="AQA1914" s="56">
        <v>17.5</v>
      </c>
      <c r="AQB1914" s="62">
        <v>13.28</v>
      </c>
      <c r="AQC1914" s="115">
        <v>19.489999999999998</v>
      </c>
      <c r="AQD1914" s="56">
        <v>18.98</v>
      </c>
      <c r="AQE1914" s="56">
        <v>17.5</v>
      </c>
      <c r="AQF1914" s="62">
        <v>13.28</v>
      </c>
      <c r="AQG1914" s="115">
        <v>19.489999999999998</v>
      </c>
      <c r="AQH1914" s="56">
        <v>18.98</v>
      </c>
      <c r="AQI1914" s="56">
        <v>17.5</v>
      </c>
      <c r="AQJ1914" s="62">
        <v>13.28</v>
      </c>
      <c r="AQK1914" s="115">
        <v>19.489999999999998</v>
      </c>
      <c r="AQL1914" s="56">
        <v>18.98</v>
      </c>
      <c r="AQM1914" s="56">
        <v>17.5</v>
      </c>
      <c r="AQN1914" s="62">
        <v>13.28</v>
      </c>
      <c r="AQO1914" s="115">
        <v>19.489999999999998</v>
      </c>
      <c r="AQP1914" s="56">
        <v>18.98</v>
      </c>
      <c r="AQQ1914" s="56">
        <v>17.5</v>
      </c>
      <c r="AQR1914" s="62">
        <v>13.28</v>
      </c>
      <c r="AQS1914" s="115">
        <v>19.489999999999998</v>
      </c>
      <c r="AQT1914" s="56">
        <v>18.98</v>
      </c>
      <c r="AQU1914" s="56">
        <v>17.5</v>
      </c>
      <c r="AQV1914" s="62">
        <v>13.28</v>
      </c>
      <c r="AQW1914" s="115">
        <v>19.489999999999998</v>
      </c>
      <c r="AQX1914" s="56">
        <v>18.98</v>
      </c>
      <c r="AQY1914" s="56">
        <v>17.5</v>
      </c>
      <c r="AQZ1914" s="62">
        <v>13.28</v>
      </c>
      <c r="ARA1914" s="115">
        <v>19.489999999999998</v>
      </c>
      <c r="ARB1914" s="56">
        <v>18.98</v>
      </c>
      <c r="ARC1914" s="56">
        <v>17.5</v>
      </c>
      <c r="ARD1914" s="62">
        <v>13.28</v>
      </c>
      <c r="ARE1914" s="115">
        <v>19.489999999999998</v>
      </c>
      <c r="ARF1914" s="56">
        <v>18.98</v>
      </c>
      <c r="ARG1914" s="56">
        <v>17.5</v>
      </c>
      <c r="ARH1914" s="62">
        <v>13.28</v>
      </c>
      <c r="ARI1914" s="115">
        <v>19.489999999999998</v>
      </c>
      <c r="ARJ1914" s="56">
        <v>18.98</v>
      </c>
      <c r="ARK1914" s="56">
        <v>17.5</v>
      </c>
      <c r="ARL1914" s="62">
        <v>13.28</v>
      </c>
      <c r="ARM1914" s="115">
        <v>19.489999999999998</v>
      </c>
      <c r="ARN1914" s="56">
        <v>18.98</v>
      </c>
      <c r="ARO1914" s="56">
        <v>17.5</v>
      </c>
      <c r="ARP1914" s="62">
        <v>13.28</v>
      </c>
      <c r="ARQ1914" s="115">
        <v>19.489999999999998</v>
      </c>
      <c r="ARR1914" s="56">
        <v>18.98</v>
      </c>
      <c r="ARS1914" s="56">
        <v>17.5</v>
      </c>
      <c r="ART1914" s="62">
        <v>13.28</v>
      </c>
      <c r="ARU1914" s="115">
        <v>19.489999999999998</v>
      </c>
      <c r="ARV1914" s="56">
        <v>18.98</v>
      </c>
      <c r="ARW1914" s="56">
        <v>17.5</v>
      </c>
      <c r="ARX1914" s="62">
        <v>13.28</v>
      </c>
      <c r="ARY1914" s="115">
        <v>19.489999999999998</v>
      </c>
      <c r="ARZ1914" s="56">
        <v>18.98</v>
      </c>
      <c r="ASA1914" s="56">
        <v>17.5</v>
      </c>
      <c r="ASB1914" s="62">
        <v>13.28</v>
      </c>
      <c r="ASC1914" s="115">
        <v>19.489999999999998</v>
      </c>
      <c r="ASD1914" s="56">
        <v>18.98</v>
      </c>
      <c r="ASE1914" s="56">
        <v>17.5</v>
      </c>
      <c r="ASF1914" s="62">
        <v>13.28</v>
      </c>
      <c r="ASG1914" s="115">
        <v>19.489999999999998</v>
      </c>
      <c r="ASH1914" s="56">
        <v>18.98</v>
      </c>
      <c r="ASI1914" s="56">
        <v>17.5</v>
      </c>
      <c r="ASJ1914" s="62">
        <v>13.28</v>
      </c>
      <c r="ASK1914" s="115">
        <v>19.489999999999998</v>
      </c>
      <c r="ASL1914" s="56">
        <v>18.98</v>
      </c>
      <c r="ASM1914" s="56">
        <v>17.5</v>
      </c>
      <c r="ASN1914" s="62">
        <v>13.28</v>
      </c>
      <c r="ASO1914" s="115">
        <v>19.489999999999998</v>
      </c>
      <c r="ASP1914" s="56">
        <v>18.98</v>
      </c>
      <c r="ASQ1914" s="56">
        <v>17.5</v>
      </c>
      <c r="ASR1914" s="62">
        <v>13.28</v>
      </c>
      <c r="ASS1914" s="115">
        <v>19.489999999999998</v>
      </c>
      <c r="AST1914" s="56">
        <v>18.98</v>
      </c>
      <c r="ASU1914" s="56">
        <v>17.5</v>
      </c>
      <c r="ASV1914" s="62">
        <v>13.28</v>
      </c>
      <c r="ASW1914" s="115">
        <v>19.489999999999998</v>
      </c>
      <c r="ASX1914" s="56">
        <v>18.98</v>
      </c>
      <c r="ASY1914" s="56">
        <v>17.5</v>
      </c>
      <c r="ASZ1914" s="62">
        <v>13.28</v>
      </c>
      <c r="ATA1914" s="115">
        <v>19.489999999999998</v>
      </c>
      <c r="ATB1914" s="56">
        <v>18.98</v>
      </c>
      <c r="ATC1914" s="56">
        <v>17.5</v>
      </c>
      <c r="ATD1914" s="62">
        <v>13.28</v>
      </c>
      <c r="ATE1914" s="115">
        <v>19.489999999999998</v>
      </c>
      <c r="ATF1914" s="56">
        <v>18.98</v>
      </c>
      <c r="ATG1914" s="56">
        <v>17.5</v>
      </c>
      <c r="ATH1914" s="62">
        <v>13.28</v>
      </c>
      <c r="ATI1914" s="115">
        <v>19.489999999999998</v>
      </c>
      <c r="ATJ1914" s="56">
        <v>18.98</v>
      </c>
      <c r="ATK1914" s="56">
        <v>17.5</v>
      </c>
      <c r="ATL1914" s="62">
        <v>13.28</v>
      </c>
      <c r="ATM1914" s="115">
        <v>19.489999999999998</v>
      </c>
      <c r="ATN1914" s="56">
        <v>18.98</v>
      </c>
      <c r="ATO1914" s="56">
        <v>17.5</v>
      </c>
      <c r="ATP1914" s="62">
        <v>13.28</v>
      </c>
      <c r="ATQ1914" s="115">
        <v>19.489999999999998</v>
      </c>
      <c r="ATR1914" s="56">
        <v>18.98</v>
      </c>
      <c r="ATS1914" s="56">
        <v>17.5</v>
      </c>
      <c r="ATT1914" s="62">
        <v>13.28</v>
      </c>
      <c r="ATU1914" s="115">
        <v>19.489999999999998</v>
      </c>
      <c r="ATV1914" s="56">
        <v>18.98</v>
      </c>
      <c r="ATW1914" s="56">
        <v>17.5</v>
      </c>
      <c r="ATX1914" s="62">
        <v>13.28</v>
      </c>
      <c r="ATY1914" s="115">
        <v>19.489999999999998</v>
      </c>
      <c r="ATZ1914" s="56">
        <v>18.98</v>
      </c>
      <c r="AUA1914" s="56">
        <v>17.5</v>
      </c>
      <c r="AUB1914" s="62">
        <v>13.28</v>
      </c>
      <c r="AUC1914" s="115">
        <v>19.489999999999998</v>
      </c>
      <c r="AUD1914" s="56">
        <v>18.98</v>
      </c>
      <c r="AUE1914" s="56">
        <v>17.5</v>
      </c>
      <c r="AUF1914" s="62">
        <v>13.28</v>
      </c>
      <c r="AUG1914" s="115">
        <v>19.489999999999998</v>
      </c>
      <c r="AUH1914" s="56">
        <v>18.98</v>
      </c>
      <c r="AUI1914" s="56">
        <v>17.5</v>
      </c>
      <c r="AUJ1914" s="62">
        <v>13.28</v>
      </c>
      <c r="AUK1914" s="115">
        <v>19.489999999999998</v>
      </c>
      <c r="AUL1914" s="56">
        <v>18.98</v>
      </c>
      <c r="AUM1914" s="56">
        <v>17.5</v>
      </c>
      <c r="AUN1914" s="62">
        <v>13.28</v>
      </c>
      <c r="AUO1914" s="115">
        <v>19.489999999999998</v>
      </c>
      <c r="AUP1914" s="56">
        <v>18.98</v>
      </c>
      <c r="AUQ1914" s="56">
        <v>17.5</v>
      </c>
      <c r="AUR1914" s="62">
        <v>13.28</v>
      </c>
      <c r="AUS1914" s="115">
        <v>19.489999999999998</v>
      </c>
      <c r="AUT1914" s="56">
        <v>18.98</v>
      </c>
      <c r="AUU1914" s="56">
        <v>17.5</v>
      </c>
      <c r="AUV1914" s="62">
        <v>13.28</v>
      </c>
      <c r="AUW1914" s="115">
        <v>19.489999999999998</v>
      </c>
      <c r="AUX1914" s="56">
        <v>18.98</v>
      </c>
      <c r="AUY1914" s="56">
        <v>17.5</v>
      </c>
      <c r="AUZ1914" s="62">
        <v>13.28</v>
      </c>
      <c r="AVA1914" s="115">
        <v>19.489999999999998</v>
      </c>
      <c r="AVB1914" s="56">
        <v>18.98</v>
      </c>
      <c r="AVC1914" s="56">
        <v>17.5</v>
      </c>
      <c r="AVD1914" s="62">
        <v>13.28</v>
      </c>
      <c r="AVE1914" s="115">
        <v>19.489999999999998</v>
      </c>
      <c r="AVF1914" s="56">
        <v>18.98</v>
      </c>
      <c r="AVG1914" s="56">
        <v>17.5</v>
      </c>
      <c r="AVH1914" s="62">
        <v>13.28</v>
      </c>
      <c r="AVI1914" s="115">
        <v>19.489999999999998</v>
      </c>
      <c r="AVJ1914" s="56">
        <v>18.98</v>
      </c>
      <c r="AVK1914" s="56">
        <v>17.5</v>
      </c>
      <c r="AVL1914" s="62">
        <v>13.28</v>
      </c>
      <c r="AVM1914" s="115">
        <v>19.489999999999998</v>
      </c>
      <c r="AVN1914" s="56">
        <v>18.98</v>
      </c>
      <c r="AVO1914" s="56">
        <v>17.5</v>
      </c>
      <c r="AVP1914" s="62">
        <v>13.28</v>
      </c>
      <c r="AVQ1914" s="115">
        <v>19.489999999999998</v>
      </c>
      <c r="AVR1914" s="56">
        <v>18.98</v>
      </c>
      <c r="AVS1914" s="56">
        <v>17.5</v>
      </c>
      <c r="AVT1914" s="62">
        <v>13.28</v>
      </c>
      <c r="AVU1914" s="115">
        <v>19.489999999999998</v>
      </c>
      <c r="AVV1914" s="56">
        <v>18.98</v>
      </c>
      <c r="AVW1914" s="56">
        <v>17.5</v>
      </c>
      <c r="AVX1914" s="62">
        <v>13.28</v>
      </c>
      <c r="AVY1914" s="115">
        <v>19.489999999999998</v>
      </c>
      <c r="AVZ1914" s="56">
        <v>18.98</v>
      </c>
      <c r="AWA1914" s="56">
        <v>17.5</v>
      </c>
      <c r="AWB1914" s="62">
        <v>13.28</v>
      </c>
      <c r="AWC1914" s="115">
        <v>19.489999999999998</v>
      </c>
      <c r="AWD1914" s="56">
        <v>18.98</v>
      </c>
      <c r="AWE1914" s="56">
        <v>17.5</v>
      </c>
      <c r="AWF1914" s="62">
        <v>13.28</v>
      </c>
      <c r="AWG1914" s="115">
        <v>19.489999999999998</v>
      </c>
      <c r="AWH1914" s="56">
        <v>18.98</v>
      </c>
      <c r="AWI1914" s="56">
        <v>17.5</v>
      </c>
      <c r="AWJ1914" s="62">
        <v>13.28</v>
      </c>
      <c r="AWK1914" s="115">
        <v>19.489999999999998</v>
      </c>
      <c r="AWL1914" s="56">
        <v>18.98</v>
      </c>
      <c r="AWM1914" s="56">
        <v>17.5</v>
      </c>
      <c r="AWN1914" s="62">
        <v>13.28</v>
      </c>
      <c r="AWO1914" s="115">
        <v>19.489999999999998</v>
      </c>
      <c r="AWP1914" s="56">
        <v>18.98</v>
      </c>
      <c r="AWQ1914" s="56">
        <v>17.5</v>
      </c>
      <c r="AWR1914" s="62">
        <v>13.28</v>
      </c>
      <c r="AWS1914" s="115">
        <v>19.489999999999998</v>
      </c>
      <c r="AWT1914" s="56">
        <v>18.98</v>
      </c>
      <c r="AWU1914" s="56">
        <v>17.5</v>
      </c>
      <c r="AWV1914" s="62">
        <v>13.28</v>
      </c>
      <c r="AWW1914" s="115">
        <v>19.489999999999998</v>
      </c>
      <c r="AWX1914" s="56">
        <v>18.98</v>
      </c>
      <c r="AWY1914" s="56">
        <v>17.5</v>
      </c>
      <c r="AWZ1914" s="62">
        <v>13.28</v>
      </c>
      <c r="AXA1914" s="115">
        <v>19.489999999999998</v>
      </c>
      <c r="AXB1914" s="56">
        <v>18.98</v>
      </c>
      <c r="AXC1914" s="56">
        <v>17.5</v>
      </c>
      <c r="AXD1914" s="62">
        <v>13.28</v>
      </c>
      <c r="AXE1914" s="115">
        <v>19.489999999999998</v>
      </c>
      <c r="AXF1914" s="56">
        <v>18.98</v>
      </c>
      <c r="AXG1914" s="56">
        <v>17.5</v>
      </c>
      <c r="AXH1914" s="62">
        <v>13.28</v>
      </c>
      <c r="AXI1914" s="115">
        <v>19.489999999999998</v>
      </c>
      <c r="AXJ1914" s="56">
        <v>18.98</v>
      </c>
      <c r="AXK1914" s="56">
        <v>17.5</v>
      </c>
      <c r="AXL1914" s="62">
        <v>13.28</v>
      </c>
      <c r="AXM1914" s="115">
        <v>19.489999999999998</v>
      </c>
      <c r="AXN1914" s="56">
        <v>18.98</v>
      </c>
      <c r="AXO1914" s="56">
        <v>17.5</v>
      </c>
      <c r="AXP1914" s="62">
        <v>13.28</v>
      </c>
      <c r="AXQ1914" s="115">
        <v>19.489999999999998</v>
      </c>
      <c r="AXR1914" s="56">
        <v>18.98</v>
      </c>
      <c r="AXS1914" s="56">
        <v>17.5</v>
      </c>
      <c r="AXT1914" s="62">
        <v>13.28</v>
      </c>
      <c r="AXU1914" s="115">
        <v>19.489999999999998</v>
      </c>
      <c r="AXV1914" s="56">
        <v>18.98</v>
      </c>
      <c r="AXW1914" s="56">
        <v>17.5</v>
      </c>
      <c r="AXX1914" s="62">
        <v>13.28</v>
      </c>
      <c r="AXY1914" s="115">
        <v>19.489999999999998</v>
      </c>
      <c r="AXZ1914" s="56">
        <v>18.98</v>
      </c>
      <c r="AYA1914" s="56">
        <v>17.5</v>
      </c>
      <c r="AYB1914" s="62">
        <v>13.28</v>
      </c>
      <c r="AYC1914" s="115">
        <v>19.489999999999998</v>
      </c>
      <c r="AYD1914" s="56">
        <v>18.98</v>
      </c>
      <c r="AYE1914" s="56">
        <v>17.5</v>
      </c>
      <c r="AYF1914" s="62">
        <v>13.28</v>
      </c>
      <c r="AYG1914" s="115">
        <v>19.489999999999998</v>
      </c>
      <c r="AYH1914" s="56">
        <v>18.98</v>
      </c>
      <c r="AYI1914" s="56">
        <v>17.5</v>
      </c>
      <c r="AYJ1914" s="62">
        <v>13.28</v>
      </c>
      <c r="AYK1914" s="115">
        <v>19.489999999999998</v>
      </c>
      <c r="AYL1914" s="56">
        <v>18.98</v>
      </c>
      <c r="AYM1914" s="56">
        <v>17.5</v>
      </c>
      <c r="AYN1914" s="62">
        <v>13.28</v>
      </c>
      <c r="AYO1914" s="115">
        <v>19.489999999999998</v>
      </c>
      <c r="AYP1914" s="56">
        <v>18.98</v>
      </c>
      <c r="AYQ1914" s="56">
        <v>17.5</v>
      </c>
      <c r="AYR1914" s="62">
        <v>13.28</v>
      </c>
      <c r="AYS1914" s="115">
        <v>19.489999999999998</v>
      </c>
      <c r="AYT1914" s="56">
        <v>18.98</v>
      </c>
      <c r="AYU1914" s="56">
        <v>17.5</v>
      </c>
      <c r="AYV1914" s="62">
        <v>13.28</v>
      </c>
      <c r="AYW1914" s="115">
        <v>19.489999999999998</v>
      </c>
      <c r="AYX1914" s="56">
        <v>18.98</v>
      </c>
      <c r="AYY1914" s="56">
        <v>17.5</v>
      </c>
      <c r="AYZ1914" s="62">
        <v>13.28</v>
      </c>
      <c r="AZA1914" s="115">
        <v>19.489999999999998</v>
      </c>
      <c r="AZB1914" s="56">
        <v>18.98</v>
      </c>
      <c r="AZC1914" s="56">
        <v>17.5</v>
      </c>
      <c r="AZD1914" s="62">
        <v>13.28</v>
      </c>
      <c r="AZE1914" s="115">
        <v>19.489999999999998</v>
      </c>
      <c r="AZF1914" s="56">
        <v>18.98</v>
      </c>
      <c r="AZG1914" s="56">
        <v>17.5</v>
      </c>
      <c r="AZH1914" s="62">
        <v>13.28</v>
      </c>
      <c r="AZI1914" s="115">
        <v>19.489999999999998</v>
      </c>
      <c r="AZJ1914" s="56">
        <v>18.98</v>
      </c>
      <c r="AZK1914" s="56">
        <v>17.5</v>
      </c>
      <c r="AZL1914" s="62">
        <v>13.28</v>
      </c>
      <c r="AZM1914" s="115">
        <v>19.489999999999998</v>
      </c>
      <c r="AZN1914" s="56">
        <v>18.98</v>
      </c>
      <c r="AZO1914" s="56">
        <v>17.5</v>
      </c>
      <c r="AZP1914" s="62">
        <v>13.28</v>
      </c>
      <c r="AZQ1914" s="115">
        <v>19.489999999999998</v>
      </c>
      <c r="AZR1914" s="56">
        <v>18.98</v>
      </c>
      <c r="AZS1914" s="56">
        <v>17.5</v>
      </c>
      <c r="AZT1914" s="62">
        <v>13.28</v>
      </c>
      <c r="AZU1914" s="115">
        <v>19.489999999999998</v>
      </c>
      <c r="AZV1914" s="56">
        <v>18.98</v>
      </c>
      <c r="AZW1914" s="56">
        <v>17.5</v>
      </c>
      <c r="AZX1914" s="62">
        <v>13.28</v>
      </c>
      <c r="AZY1914" s="115">
        <v>19.489999999999998</v>
      </c>
      <c r="AZZ1914" s="56">
        <v>18.98</v>
      </c>
      <c r="BAA1914" s="56">
        <v>17.5</v>
      </c>
      <c r="BAB1914" s="62">
        <v>13.28</v>
      </c>
      <c r="BAC1914" s="115">
        <v>19.489999999999998</v>
      </c>
      <c r="BAD1914" s="56">
        <v>18.98</v>
      </c>
      <c r="BAE1914" s="56">
        <v>17.5</v>
      </c>
      <c r="BAF1914" s="62">
        <v>13.28</v>
      </c>
      <c r="BAG1914" s="115">
        <v>19.489999999999998</v>
      </c>
      <c r="BAH1914" s="56">
        <v>18.98</v>
      </c>
      <c r="BAI1914" s="56">
        <v>17.5</v>
      </c>
      <c r="BAJ1914" s="62">
        <v>13.28</v>
      </c>
      <c r="BAK1914" s="115">
        <v>19.489999999999998</v>
      </c>
      <c r="BAL1914" s="56">
        <v>18.98</v>
      </c>
      <c r="BAM1914" s="56">
        <v>17.5</v>
      </c>
      <c r="BAN1914" s="62">
        <v>13.28</v>
      </c>
      <c r="BAO1914" s="115">
        <v>19.489999999999998</v>
      </c>
      <c r="BAP1914" s="56">
        <v>18.98</v>
      </c>
      <c r="BAQ1914" s="56">
        <v>17.5</v>
      </c>
      <c r="BAR1914" s="62">
        <v>13.28</v>
      </c>
      <c r="BAS1914" s="115">
        <v>19.489999999999998</v>
      </c>
      <c r="BAT1914" s="56">
        <v>18.98</v>
      </c>
      <c r="BAU1914" s="56">
        <v>17.5</v>
      </c>
      <c r="BAV1914" s="62">
        <v>13.28</v>
      </c>
      <c r="BAW1914" s="115">
        <v>19.489999999999998</v>
      </c>
      <c r="BAX1914" s="56">
        <v>18.98</v>
      </c>
      <c r="BAY1914" s="56">
        <v>17.5</v>
      </c>
      <c r="BAZ1914" s="62">
        <v>13.28</v>
      </c>
      <c r="BBA1914" s="115">
        <v>19.489999999999998</v>
      </c>
      <c r="BBB1914" s="56">
        <v>18.98</v>
      </c>
      <c r="BBC1914" s="56">
        <v>17.5</v>
      </c>
      <c r="BBD1914" s="62">
        <v>13.28</v>
      </c>
      <c r="BBE1914" s="115">
        <v>19.489999999999998</v>
      </c>
      <c r="BBF1914" s="56">
        <v>18.98</v>
      </c>
      <c r="BBG1914" s="56">
        <v>17.5</v>
      </c>
      <c r="BBH1914" s="62">
        <v>13.28</v>
      </c>
      <c r="BBI1914" s="115">
        <v>19.489999999999998</v>
      </c>
      <c r="BBJ1914" s="56">
        <v>18.98</v>
      </c>
      <c r="BBK1914" s="56">
        <v>17.5</v>
      </c>
      <c r="BBL1914" s="62">
        <v>13.28</v>
      </c>
      <c r="BBM1914" s="115">
        <v>19.489999999999998</v>
      </c>
      <c r="BBN1914" s="56">
        <v>18.98</v>
      </c>
      <c r="BBO1914" s="56">
        <v>17.5</v>
      </c>
      <c r="BBP1914" s="62">
        <v>13.28</v>
      </c>
      <c r="BBQ1914" s="115">
        <v>19.489999999999998</v>
      </c>
      <c r="BBR1914" s="56">
        <v>18.98</v>
      </c>
      <c r="BBS1914" s="56">
        <v>17.5</v>
      </c>
      <c r="BBT1914" s="62">
        <v>13.28</v>
      </c>
      <c r="BBU1914" s="115">
        <v>19.489999999999998</v>
      </c>
      <c r="BBV1914" s="56">
        <v>18.98</v>
      </c>
      <c r="BBW1914" s="56">
        <v>17.5</v>
      </c>
      <c r="BBX1914" s="62">
        <v>13.28</v>
      </c>
      <c r="BBY1914" s="115">
        <v>19.489999999999998</v>
      </c>
      <c r="BBZ1914" s="56">
        <v>18.98</v>
      </c>
      <c r="BCA1914" s="56">
        <v>17.5</v>
      </c>
      <c r="BCB1914" s="62">
        <v>13.28</v>
      </c>
      <c r="BCC1914" s="115">
        <v>19.489999999999998</v>
      </c>
      <c r="BCD1914" s="56">
        <v>18.98</v>
      </c>
      <c r="BCE1914" s="56">
        <v>17.5</v>
      </c>
      <c r="BCF1914" s="62">
        <v>13.28</v>
      </c>
      <c r="BCG1914" s="115">
        <v>19.489999999999998</v>
      </c>
      <c r="BCH1914" s="56">
        <v>18.98</v>
      </c>
      <c r="BCI1914" s="56">
        <v>17.5</v>
      </c>
      <c r="BCJ1914" s="62">
        <v>13.28</v>
      </c>
      <c r="BCK1914" s="115">
        <v>19.489999999999998</v>
      </c>
      <c r="BCL1914" s="56">
        <v>18.98</v>
      </c>
      <c r="BCM1914" s="56">
        <v>17.5</v>
      </c>
      <c r="BCN1914" s="62">
        <v>13.28</v>
      </c>
      <c r="BCO1914" s="115">
        <v>19.489999999999998</v>
      </c>
      <c r="BCP1914" s="56">
        <v>18.98</v>
      </c>
      <c r="BCQ1914" s="56">
        <v>17.5</v>
      </c>
      <c r="BCR1914" s="62">
        <v>13.28</v>
      </c>
      <c r="BCS1914" s="115">
        <v>19.489999999999998</v>
      </c>
      <c r="BCT1914" s="56">
        <v>18.98</v>
      </c>
      <c r="BCU1914" s="56">
        <v>17.5</v>
      </c>
      <c r="BCV1914" s="62">
        <v>13.28</v>
      </c>
      <c r="BCW1914" s="115">
        <v>19.489999999999998</v>
      </c>
      <c r="BCX1914" s="56">
        <v>18.98</v>
      </c>
      <c r="BCY1914" s="56">
        <v>17.5</v>
      </c>
      <c r="BCZ1914" s="62">
        <v>13.28</v>
      </c>
      <c r="BDA1914" s="115">
        <v>19.489999999999998</v>
      </c>
      <c r="BDB1914" s="56">
        <v>18.98</v>
      </c>
      <c r="BDC1914" s="56">
        <v>17.5</v>
      </c>
      <c r="BDD1914" s="62">
        <v>13.28</v>
      </c>
      <c r="BDE1914" s="115">
        <v>19.489999999999998</v>
      </c>
      <c r="BDF1914" s="56">
        <v>18.98</v>
      </c>
      <c r="BDG1914" s="56">
        <v>17.5</v>
      </c>
      <c r="BDH1914" s="62">
        <v>13.28</v>
      </c>
      <c r="BDI1914" s="115">
        <v>19.489999999999998</v>
      </c>
      <c r="BDJ1914" s="56">
        <v>18.98</v>
      </c>
      <c r="BDK1914" s="56">
        <v>17.5</v>
      </c>
      <c r="BDL1914" s="62">
        <v>13.28</v>
      </c>
      <c r="BDM1914" s="115">
        <v>19.489999999999998</v>
      </c>
      <c r="BDN1914" s="56">
        <v>18.98</v>
      </c>
      <c r="BDO1914" s="56">
        <v>17.5</v>
      </c>
      <c r="BDP1914" s="62">
        <v>13.28</v>
      </c>
      <c r="BDQ1914" s="115">
        <v>19.489999999999998</v>
      </c>
      <c r="BDR1914" s="56">
        <v>18.98</v>
      </c>
      <c r="BDS1914" s="56">
        <v>17.5</v>
      </c>
      <c r="BDT1914" s="62">
        <v>13.28</v>
      </c>
      <c r="BDU1914" s="115">
        <v>19.489999999999998</v>
      </c>
      <c r="BDV1914" s="56">
        <v>18.98</v>
      </c>
      <c r="BDW1914" s="56">
        <v>17.5</v>
      </c>
      <c r="BDX1914" s="62">
        <v>13.28</v>
      </c>
      <c r="BDY1914" s="115">
        <v>19.489999999999998</v>
      </c>
      <c r="BDZ1914" s="56">
        <v>18.98</v>
      </c>
      <c r="BEA1914" s="56">
        <v>17.5</v>
      </c>
      <c r="BEB1914" s="62">
        <v>13.28</v>
      </c>
      <c r="BEC1914" s="115">
        <v>19.489999999999998</v>
      </c>
      <c r="BED1914" s="56">
        <v>18.98</v>
      </c>
      <c r="BEE1914" s="56">
        <v>17.5</v>
      </c>
      <c r="BEF1914" s="62">
        <v>13.28</v>
      </c>
      <c r="BEG1914" s="115">
        <v>19.489999999999998</v>
      </c>
      <c r="BEH1914" s="56">
        <v>18.98</v>
      </c>
      <c r="BEI1914" s="56">
        <v>17.5</v>
      </c>
      <c r="BEJ1914" s="62">
        <v>13.28</v>
      </c>
      <c r="BEK1914" s="115">
        <v>19.489999999999998</v>
      </c>
      <c r="BEL1914" s="56">
        <v>18.98</v>
      </c>
      <c r="BEM1914" s="56">
        <v>17.5</v>
      </c>
      <c r="BEN1914" s="62">
        <v>13.28</v>
      </c>
      <c r="BEO1914" s="115">
        <v>19.489999999999998</v>
      </c>
      <c r="BEP1914" s="56">
        <v>18.98</v>
      </c>
      <c r="BEQ1914" s="56">
        <v>17.5</v>
      </c>
      <c r="BER1914" s="62">
        <v>13.28</v>
      </c>
      <c r="BES1914" s="115">
        <v>19.489999999999998</v>
      </c>
      <c r="BET1914" s="56">
        <v>18.98</v>
      </c>
      <c r="BEU1914" s="56">
        <v>17.5</v>
      </c>
      <c r="BEV1914" s="62">
        <v>13.28</v>
      </c>
      <c r="BEW1914" s="115">
        <v>19.489999999999998</v>
      </c>
      <c r="BEX1914" s="56">
        <v>18.98</v>
      </c>
      <c r="BEY1914" s="56">
        <v>17.5</v>
      </c>
      <c r="BEZ1914" s="62">
        <v>13.28</v>
      </c>
      <c r="BFA1914" s="115">
        <v>19.489999999999998</v>
      </c>
      <c r="BFB1914" s="56">
        <v>18.98</v>
      </c>
      <c r="BFC1914" s="56">
        <v>17.5</v>
      </c>
      <c r="BFD1914" s="62">
        <v>13.28</v>
      </c>
      <c r="BFE1914" s="115">
        <v>19.489999999999998</v>
      </c>
      <c r="BFF1914" s="56">
        <v>18.98</v>
      </c>
      <c r="BFG1914" s="56">
        <v>17.5</v>
      </c>
      <c r="BFH1914" s="62">
        <v>13.28</v>
      </c>
      <c r="BFI1914" s="115">
        <v>19.489999999999998</v>
      </c>
      <c r="BFJ1914" s="56">
        <v>18.98</v>
      </c>
      <c r="BFK1914" s="56">
        <v>17.5</v>
      </c>
      <c r="BFL1914" s="62">
        <v>13.28</v>
      </c>
      <c r="BFM1914" s="115">
        <v>19.489999999999998</v>
      </c>
      <c r="BFN1914" s="56">
        <v>18.98</v>
      </c>
      <c r="BFO1914" s="56">
        <v>17.5</v>
      </c>
      <c r="BFP1914" s="62">
        <v>13.28</v>
      </c>
      <c r="BFQ1914" s="115">
        <v>19.489999999999998</v>
      </c>
      <c r="BFR1914" s="56">
        <v>18.98</v>
      </c>
      <c r="BFS1914" s="56">
        <v>17.5</v>
      </c>
      <c r="BFT1914" s="62">
        <v>13.28</v>
      </c>
      <c r="BFU1914" s="115">
        <v>19.489999999999998</v>
      </c>
      <c r="BFV1914" s="56">
        <v>18.98</v>
      </c>
      <c r="BFW1914" s="56">
        <v>17.5</v>
      </c>
      <c r="BFX1914" s="62">
        <v>13.28</v>
      </c>
      <c r="BFY1914" s="115">
        <v>19.489999999999998</v>
      </c>
      <c r="BFZ1914" s="56">
        <v>18.98</v>
      </c>
      <c r="BGA1914" s="56">
        <v>17.5</v>
      </c>
      <c r="BGB1914" s="62">
        <v>13.28</v>
      </c>
      <c r="BGC1914" s="115">
        <v>19.489999999999998</v>
      </c>
      <c r="BGD1914" s="56">
        <v>18.98</v>
      </c>
      <c r="BGE1914" s="56">
        <v>17.5</v>
      </c>
      <c r="BGF1914" s="62">
        <v>13.28</v>
      </c>
      <c r="BGG1914" s="115">
        <v>19.489999999999998</v>
      </c>
      <c r="BGH1914" s="56">
        <v>18.98</v>
      </c>
      <c r="BGI1914" s="56">
        <v>17.5</v>
      </c>
      <c r="BGJ1914" s="62">
        <v>13.28</v>
      </c>
      <c r="BGK1914" s="115">
        <v>19.489999999999998</v>
      </c>
      <c r="BGL1914" s="56">
        <v>18.98</v>
      </c>
      <c r="BGM1914" s="56">
        <v>17.5</v>
      </c>
      <c r="BGN1914" s="62">
        <v>13.28</v>
      </c>
      <c r="BGO1914" s="115">
        <v>19.489999999999998</v>
      </c>
      <c r="BGP1914" s="56">
        <v>18.98</v>
      </c>
      <c r="BGQ1914" s="56">
        <v>17.5</v>
      </c>
      <c r="BGR1914" s="62">
        <v>13.28</v>
      </c>
      <c r="BGS1914" s="115">
        <v>19.489999999999998</v>
      </c>
      <c r="BGT1914" s="56">
        <v>18.98</v>
      </c>
      <c r="BGU1914" s="56">
        <v>17.5</v>
      </c>
      <c r="BGV1914" s="62">
        <v>13.28</v>
      </c>
      <c r="BGW1914" s="115">
        <v>19.489999999999998</v>
      </c>
      <c r="BGX1914" s="56">
        <v>18.98</v>
      </c>
      <c r="BGY1914" s="56">
        <v>17.5</v>
      </c>
      <c r="BGZ1914" s="62">
        <v>13.28</v>
      </c>
      <c r="BHA1914" s="115">
        <v>19.489999999999998</v>
      </c>
      <c r="BHB1914" s="56">
        <v>18.98</v>
      </c>
      <c r="BHC1914" s="56">
        <v>17.5</v>
      </c>
      <c r="BHD1914" s="62">
        <v>13.28</v>
      </c>
      <c r="BHE1914" s="115">
        <v>19.489999999999998</v>
      </c>
      <c r="BHF1914" s="56">
        <v>18.98</v>
      </c>
      <c r="BHG1914" s="56">
        <v>17.5</v>
      </c>
      <c r="BHH1914" s="62">
        <v>13.28</v>
      </c>
      <c r="BHI1914" s="115">
        <v>19.489999999999998</v>
      </c>
      <c r="BHJ1914" s="56">
        <v>18.98</v>
      </c>
      <c r="BHK1914" s="56">
        <v>17.5</v>
      </c>
      <c r="BHL1914" s="62">
        <v>13.28</v>
      </c>
      <c r="BHM1914" s="115">
        <v>19.489999999999998</v>
      </c>
      <c r="BHN1914" s="56">
        <v>18.98</v>
      </c>
      <c r="BHO1914" s="56">
        <v>17.5</v>
      </c>
      <c r="BHP1914" s="62">
        <v>13.28</v>
      </c>
      <c r="BHQ1914" s="115">
        <v>19.489999999999998</v>
      </c>
      <c r="BHR1914" s="56">
        <v>18.98</v>
      </c>
      <c r="BHS1914" s="56">
        <v>17.5</v>
      </c>
      <c r="BHT1914" s="62">
        <v>13.28</v>
      </c>
      <c r="BHU1914" s="115">
        <v>19.489999999999998</v>
      </c>
      <c r="BHV1914" s="56">
        <v>18.98</v>
      </c>
      <c r="BHW1914" s="56">
        <v>17.5</v>
      </c>
      <c r="BHX1914" s="62">
        <v>13.28</v>
      </c>
      <c r="BHY1914" s="115">
        <v>19.489999999999998</v>
      </c>
      <c r="BHZ1914" s="56">
        <v>18.98</v>
      </c>
      <c r="BIA1914" s="56">
        <v>17.5</v>
      </c>
      <c r="BIB1914" s="62">
        <v>13.28</v>
      </c>
      <c r="BIC1914" s="115">
        <v>19.489999999999998</v>
      </c>
      <c r="BID1914" s="56">
        <v>18.98</v>
      </c>
      <c r="BIE1914" s="56">
        <v>17.5</v>
      </c>
      <c r="BIF1914" s="62">
        <v>13.28</v>
      </c>
      <c r="BIG1914" s="115">
        <v>19.489999999999998</v>
      </c>
      <c r="BIH1914" s="56">
        <v>18.98</v>
      </c>
      <c r="BII1914" s="56">
        <v>17.5</v>
      </c>
      <c r="BIJ1914" s="62">
        <v>13.28</v>
      </c>
      <c r="BIK1914" s="115">
        <v>19.489999999999998</v>
      </c>
      <c r="BIL1914" s="56">
        <v>18.98</v>
      </c>
      <c r="BIM1914" s="56">
        <v>17.5</v>
      </c>
      <c r="BIN1914" s="62">
        <v>13.28</v>
      </c>
      <c r="BIO1914" s="115">
        <v>19.489999999999998</v>
      </c>
      <c r="BIP1914" s="56">
        <v>18.98</v>
      </c>
      <c r="BIQ1914" s="56">
        <v>17.5</v>
      </c>
      <c r="BIR1914" s="62">
        <v>13.28</v>
      </c>
      <c r="BIS1914" s="115">
        <v>19.489999999999998</v>
      </c>
      <c r="BIT1914" s="56">
        <v>18.98</v>
      </c>
      <c r="BIU1914" s="56">
        <v>17.5</v>
      </c>
      <c r="BIV1914" s="62">
        <v>13.28</v>
      </c>
      <c r="BIW1914" s="115">
        <v>19.489999999999998</v>
      </c>
      <c r="BIX1914" s="56">
        <v>18.98</v>
      </c>
      <c r="BIY1914" s="56">
        <v>17.5</v>
      </c>
      <c r="BIZ1914" s="62">
        <v>13.28</v>
      </c>
      <c r="BJA1914" s="115">
        <v>19.489999999999998</v>
      </c>
      <c r="BJB1914" s="56">
        <v>18.98</v>
      </c>
      <c r="BJC1914" s="56">
        <v>17.5</v>
      </c>
      <c r="BJD1914" s="62">
        <v>13.28</v>
      </c>
      <c r="BJE1914" s="115">
        <v>19.489999999999998</v>
      </c>
      <c r="BJF1914" s="56">
        <v>18.98</v>
      </c>
      <c r="BJG1914" s="56">
        <v>17.5</v>
      </c>
      <c r="BJH1914" s="62">
        <v>13.28</v>
      </c>
      <c r="BJI1914" s="115">
        <v>19.489999999999998</v>
      </c>
      <c r="BJJ1914" s="56">
        <v>18.98</v>
      </c>
      <c r="BJK1914" s="56">
        <v>17.5</v>
      </c>
      <c r="BJL1914" s="62">
        <v>13.28</v>
      </c>
      <c r="BJM1914" s="115">
        <v>19.489999999999998</v>
      </c>
      <c r="BJN1914" s="56">
        <v>18.98</v>
      </c>
      <c r="BJO1914" s="56">
        <v>17.5</v>
      </c>
      <c r="BJP1914" s="62">
        <v>13.28</v>
      </c>
      <c r="BJQ1914" s="115">
        <v>19.489999999999998</v>
      </c>
      <c r="BJR1914" s="56">
        <v>18.98</v>
      </c>
      <c r="BJS1914" s="56">
        <v>17.5</v>
      </c>
      <c r="BJT1914" s="62">
        <v>13.28</v>
      </c>
      <c r="BJU1914" s="115">
        <v>19.489999999999998</v>
      </c>
      <c r="BJV1914" s="56">
        <v>18.98</v>
      </c>
      <c r="BJW1914" s="56">
        <v>17.5</v>
      </c>
      <c r="BJX1914" s="62">
        <v>13.28</v>
      </c>
      <c r="BJY1914" s="115">
        <v>19.489999999999998</v>
      </c>
      <c r="BJZ1914" s="56">
        <v>18.98</v>
      </c>
      <c r="BKA1914" s="56">
        <v>17.5</v>
      </c>
      <c r="BKB1914" s="62">
        <v>13.28</v>
      </c>
      <c r="BKC1914" s="115">
        <v>19.489999999999998</v>
      </c>
      <c r="BKD1914" s="56">
        <v>18.98</v>
      </c>
      <c r="BKE1914" s="56">
        <v>17.5</v>
      </c>
      <c r="BKF1914" s="62">
        <v>13.28</v>
      </c>
      <c r="BKG1914" s="115">
        <v>19.489999999999998</v>
      </c>
      <c r="BKH1914" s="56">
        <v>18.98</v>
      </c>
      <c r="BKI1914" s="56">
        <v>17.5</v>
      </c>
      <c r="BKJ1914" s="62">
        <v>13.28</v>
      </c>
      <c r="BKK1914" s="115">
        <v>19.489999999999998</v>
      </c>
      <c r="BKL1914" s="56">
        <v>18.98</v>
      </c>
      <c r="BKM1914" s="56">
        <v>17.5</v>
      </c>
      <c r="BKN1914" s="62">
        <v>13.28</v>
      </c>
      <c r="BKO1914" s="115">
        <v>19.489999999999998</v>
      </c>
      <c r="BKP1914" s="56">
        <v>18.98</v>
      </c>
      <c r="BKQ1914" s="56">
        <v>17.5</v>
      </c>
      <c r="BKR1914" s="62">
        <v>13.28</v>
      </c>
      <c r="BKS1914" s="115">
        <v>19.489999999999998</v>
      </c>
      <c r="BKT1914" s="56">
        <v>18.98</v>
      </c>
      <c r="BKU1914" s="56">
        <v>17.5</v>
      </c>
      <c r="BKV1914" s="62">
        <v>13.28</v>
      </c>
      <c r="BKW1914" s="115">
        <v>19.489999999999998</v>
      </c>
      <c r="BKX1914" s="56">
        <v>18.98</v>
      </c>
      <c r="BKY1914" s="56">
        <v>17.5</v>
      </c>
      <c r="BKZ1914" s="62">
        <v>13.28</v>
      </c>
      <c r="BLA1914" s="115">
        <v>19.489999999999998</v>
      </c>
      <c r="BLB1914" s="56">
        <v>18.98</v>
      </c>
      <c r="BLC1914" s="56">
        <v>17.5</v>
      </c>
      <c r="BLD1914" s="62">
        <v>13.28</v>
      </c>
      <c r="BLE1914" s="115">
        <v>19.489999999999998</v>
      </c>
      <c r="BLF1914" s="56">
        <v>18.98</v>
      </c>
      <c r="BLG1914" s="56">
        <v>17.5</v>
      </c>
      <c r="BLH1914" s="62">
        <v>13.28</v>
      </c>
      <c r="BLI1914" s="115">
        <v>19.489999999999998</v>
      </c>
      <c r="BLJ1914" s="56">
        <v>18.98</v>
      </c>
      <c r="BLK1914" s="56">
        <v>17.5</v>
      </c>
      <c r="BLL1914" s="62">
        <v>13.28</v>
      </c>
      <c r="BLM1914" s="115">
        <v>19.489999999999998</v>
      </c>
      <c r="BLN1914" s="56">
        <v>18.98</v>
      </c>
      <c r="BLO1914" s="56">
        <v>17.5</v>
      </c>
      <c r="BLP1914" s="62">
        <v>13.28</v>
      </c>
      <c r="BLQ1914" s="115">
        <v>19.489999999999998</v>
      </c>
      <c r="BLR1914" s="56">
        <v>18.98</v>
      </c>
      <c r="BLS1914" s="56">
        <v>17.5</v>
      </c>
      <c r="BLT1914" s="62">
        <v>13.28</v>
      </c>
      <c r="BLU1914" s="115">
        <v>19.489999999999998</v>
      </c>
      <c r="BLV1914" s="56">
        <v>18.98</v>
      </c>
      <c r="BLW1914" s="56">
        <v>17.5</v>
      </c>
      <c r="BLX1914" s="62">
        <v>13.28</v>
      </c>
      <c r="BLY1914" s="115">
        <v>19.489999999999998</v>
      </c>
      <c r="BLZ1914" s="56">
        <v>18.98</v>
      </c>
      <c r="BMA1914" s="56">
        <v>17.5</v>
      </c>
      <c r="BMB1914" s="62">
        <v>13.28</v>
      </c>
      <c r="BMC1914" s="115">
        <v>19.489999999999998</v>
      </c>
      <c r="BMD1914" s="56">
        <v>18.98</v>
      </c>
      <c r="BME1914" s="56">
        <v>17.5</v>
      </c>
      <c r="BMF1914" s="62">
        <v>13.28</v>
      </c>
      <c r="BMG1914" s="115">
        <v>19.489999999999998</v>
      </c>
      <c r="BMH1914" s="56">
        <v>18.98</v>
      </c>
      <c r="BMI1914" s="56">
        <v>17.5</v>
      </c>
      <c r="BMJ1914" s="62">
        <v>13.28</v>
      </c>
      <c r="BMK1914" s="115">
        <v>19.489999999999998</v>
      </c>
      <c r="BML1914" s="56">
        <v>18.98</v>
      </c>
      <c r="BMM1914" s="56">
        <v>17.5</v>
      </c>
      <c r="BMN1914" s="62">
        <v>13.28</v>
      </c>
      <c r="BMO1914" s="115">
        <v>19.489999999999998</v>
      </c>
      <c r="BMP1914" s="56">
        <v>18.98</v>
      </c>
      <c r="BMQ1914" s="56">
        <v>17.5</v>
      </c>
      <c r="BMR1914" s="62">
        <v>13.28</v>
      </c>
      <c r="BMS1914" s="115">
        <v>19.489999999999998</v>
      </c>
      <c r="BMT1914" s="56">
        <v>18.98</v>
      </c>
      <c r="BMU1914" s="56">
        <v>17.5</v>
      </c>
      <c r="BMV1914" s="62">
        <v>13.28</v>
      </c>
      <c r="BMW1914" s="115">
        <v>19.489999999999998</v>
      </c>
      <c r="BMX1914" s="56">
        <v>18.98</v>
      </c>
      <c r="BMY1914" s="56">
        <v>17.5</v>
      </c>
      <c r="BMZ1914" s="62">
        <v>13.28</v>
      </c>
      <c r="BNA1914" s="115">
        <v>19.489999999999998</v>
      </c>
      <c r="BNB1914" s="56">
        <v>18.98</v>
      </c>
      <c r="BNC1914" s="56">
        <v>17.5</v>
      </c>
      <c r="BND1914" s="62">
        <v>13.28</v>
      </c>
      <c r="BNE1914" s="115">
        <v>19.489999999999998</v>
      </c>
      <c r="BNF1914" s="56">
        <v>18.98</v>
      </c>
      <c r="BNG1914" s="56">
        <v>17.5</v>
      </c>
      <c r="BNH1914" s="62">
        <v>13.28</v>
      </c>
      <c r="BNI1914" s="115">
        <v>19.489999999999998</v>
      </c>
      <c r="BNJ1914" s="56">
        <v>18.98</v>
      </c>
      <c r="BNK1914" s="56">
        <v>17.5</v>
      </c>
      <c r="BNL1914" s="62">
        <v>13.28</v>
      </c>
      <c r="BNM1914" s="115">
        <v>19.489999999999998</v>
      </c>
      <c r="BNN1914" s="56">
        <v>18.98</v>
      </c>
      <c r="BNO1914" s="56">
        <v>17.5</v>
      </c>
      <c r="BNP1914" s="62">
        <v>13.28</v>
      </c>
      <c r="BNQ1914" s="115">
        <v>19.489999999999998</v>
      </c>
      <c r="BNR1914" s="56">
        <v>18.98</v>
      </c>
      <c r="BNS1914" s="56">
        <v>17.5</v>
      </c>
      <c r="BNT1914" s="62">
        <v>13.28</v>
      </c>
      <c r="BNU1914" s="115">
        <v>19.489999999999998</v>
      </c>
      <c r="BNV1914" s="56">
        <v>18.98</v>
      </c>
      <c r="BNW1914" s="56">
        <v>17.5</v>
      </c>
      <c r="BNX1914" s="62">
        <v>13.28</v>
      </c>
      <c r="BNY1914" s="115">
        <v>19.489999999999998</v>
      </c>
      <c r="BNZ1914" s="56">
        <v>18.98</v>
      </c>
      <c r="BOA1914" s="56">
        <v>17.5</v>
      </c>
      <c r="BOB1914" s="62">
        <v>13.28</v>
      </c>
      <c r="BOC1914" s="115">
        <v>19.489999999999998</v>
      </c>
      <c r="BOD1914" s="56">
        <v>18.98</v>
      </c>
      <c r="BOE1914" s="56">
        <v>17.5</v>
      </c>
      <c r="BOF1914" s="62">
        <v>13.28</v>
      </c>
      <c r="BOG1914" s="115">
        <v>19.489999999999998</v>
      </c>
      <c r="BOH1914" s="56">
        <v>18.98</v>
      </c>
      <c r="BOI1914" s="56">
        <v>17.5</v>
      </c>
      <c r="BOJ1914" s="62">
        <v>13.28</v>
      </c>
      <c r="BOK1914" s="115">
        <v>19.489999999999998</v>
      </c>
      <c r="BOL1914" s="56">
        <v>18.98</v>
      </c>
      <c r="BOM1914" s="56">
        <v>17.5</v>
      </c>
      <c r="BON1914" s="62">
        <v>13.28</v>
      </c>
      <c r="BOO1914" s="115">
        <v>19.489999999999998</v>
      </c>
      <c r="BOP1914" s="56">
        <v>18.98</v>
      </c>
      <c r="BOQ1914" s="56">
        <v>17.5</v>
      </c>
      <c r="BOR1914" s="62">
        <v>13.28</v>
      </c>
      <c r="BOS1914" s="115">
        <v>19.489999999999998</v>
      </c>
      <c r="BOT1914" s="56">
        <v>18.98</v>
      </c>
      <c r="BOU1914" s="56">
        <v>17.5</v>
      </c>
      <c r="BOV1914" s="62">
        <v>13.28</v>
      </c>
      <c r="BOW1914" s="115">
        <v>19.489999999999998</v>
      </c>
      <c r="BOX1914" s="56">
        <v>18.98</v>
      </c>
      <c r="BOY1914" s="56">
        <v>17.5</v>
      </c>
      <c r="BOZ1914" s="62">
        <v>13.28</v>
      </c>
      <c r="BPA1914" s="115">
        <v>19.489999999999998</v>
      </c>
      <c r="BPB1914" s="56">
        <v>18.98</v>
      </c>
      <c r="BPC1914" s="56">
        <v>17.5</v>
      </c>
      <c r="BPD1914" s="62">
        <v>13.28</v>
      </c>
      <c r="BPE1914" s="115">
        <v>19.489999999999998</v>
      </c>
      <c r="BPF1914" s="56">
        <v>18.98</v>
      </c>
      <c r="BPG1914" s="56">
        <v>17.5</v>
      </c>
      <c r="BPH1914" s="62">
        <v>13.28</v>
      </c>
      <c r="BPI1914" s="115">
        <v>19.489999999999998</v>
      </c>
      <c r="BPJ1914" s="56">
        <v>18.98</v>
      </c>
      <c r="BPK1914" s="56">
        <v>17.5</v>
      </c>
      <c r="BPL1914" s="62">
        <v>13.28</v>
      </c>
      <c r="BPM1914" s="115">
        <v>19.489999999999998</v>
      </c>
      <c r="BPN1914" s="56">
        <v>18.98</v>
      </c>
      <c r="BPO1914" s="56">
        <v>17.5</v>
      </c>
      <c r="BPP1914" s="62">
        <v>13.28</v>
      </c>
      <c r="BPQ1914" s="115">
        <v>19.489999999999998</v>
      </c>
      <c r="BPR1914" s="56">
        <v>18.98</v>
      </c>
      <c r="BPS1914" s="56">
        <v>17.5</v>
      </c>
      <c r="BPT1914" s="62">
        <v>13.28</v>
      </c>
      <c r="BPU1914" s="115">
        <v>19.489999999999998</v>
      </c>
      <c r="BPV1914" s="56">
        <v>18.98</v>
      </c>
      <c r="BPW1914" s="56">
        <v>17.5</v>
      </c>
      <c r="BPX1914" s="62">
        <v>13.28</v>
      </c>
      <c r="BPY1914" s="115">
        <v>19.489999999999998</v>
      </c>
      <c r="BPZ1914" s="56">
        <v>18.98</v>
      </c>
      <c r="BQA1914" s="56">
        <v>17.5</v>
      </c>
      <c r="BQB1914" s="62">
        <v>13.28</v>
      </c>
      <c r="BQC1914" s="115">
        <v>19.489999999999998</v>
      </c>
      <c r="BQD1914" s="56">
        <v>18.98</v>
      </c>
      <c r="BQE1914" s="56">
        <v>17.5</v>
      </c>
      <c r="BQF1914" s="62">
        <v>13.28</v>
      </c>
      <c r="BQG1914" s="115">
        <v>19.489999999999998</v>
      </c>
      <c r="BQH1914" s="56">
        <v>18.98</v>
      </c>
      <c r="BQI1914" s="56">
        <v>17.5</v>
      </c>
      <c r="BQJ1914" s="62">
        <v>13.28</v>
      </c>
      <c r="BQK1914" s="115">
        <v>19.489999999999998</v>
      </c>
      <c r="BQL1914" s="56">
        <v>18.98</v>
      </c>
      <c r="BQM1914" s="56">
        <v>17.5</v>
      </c>
      <c r="BQN1914" s="62">
        <v>13.28</v>
      </c>
      <c r="BQO1914" s="115">
        <v>19.489999999999998</v>
      </c>
      <c r="BQP1914" s="56">
        <v>18.98</v>
      </c>
      <c r="BQQ1914" s="56">
        <v>17.5</v>
      </c>
      <c r="BQR1914" s="62">
        <v>13.28</v>
      </c>
      <c r="BQS1914" s="115">
        <v>19.489999999999998</v>
      </c>
      <c r="BQT1914" s="56">
        <v>18.98</v>
      </c>
      <c r="BQU1914" s="56">
        <v>17.5</v>
      </c>
      <c r="BQV1914" s="62">
        <v>13.28</v>
      </c>
      <c r="BQW1914" s="115">
        <v>19.489999999999998</v>
      </c>
      <c r="BQX1914" s="56">
        <v>18.98</v>
      </c>
      <c r="BQY1914" s="56">
        <v>17.5</v>
      </c>
      <c r="BQZ1914" s="62">
        <v>13.28</v>
      </c>
      <c r="BRA1914" s="115">
        <v>19.489999999999998</v>
      </c>
      <c r="BRB1914" s="56">
        <v>18.98</v>
      </c>
      <c r="BRC1914" s="56">
        <v>17.5</v>
      </c>
      <c r="BRD1914" s="62">
        <v>13.28</v>
      </c>
      <c r="BRE1914" s="115">
        <v>19.489999999999998</v>
      </c>
      <c r="BRF1914" s="56">
        <v>18.98</v>
      </c>
      <c r="BRG1914" s="56">
        <v>17.5</v>
      </c>
      <c r="BRH1914" s="62">
        <v>13.28</v>
      </c>
      <c r="BRI1914" s="115">
        <v>19.489999999999998</v>
      </c>
      <c r="BRJ1914" s="56">
        <v>18.98</v>
      </c>
      <c r="BRK1914" s="56">
        <v>17.5</v>
      </c>
      <c r="BRL1914" s="62">
        <v>13.28</v>
      </c>
      <c r="BRM1914" s="115">
        <v>19.489999999999998</v>
      </c>
      <c r="BRN1914" s="56">
        <v>18.98</v>
      </c>
      <c r="BRO1914" s="56">
        <v>17.5</v>
      </c>
      <c r="BRP1914" s="62">
        <v>13.28</v>
      </c>
      <c r="BRQ1914" s="115">
        <v>19.489999999999998</v>
      </c>
      <c r="BRR1914" s="56">
        <v>18.98</v>
      </c>
      <c r="BRS1914" s="56">
        <v>17.5</v>
      </c>
      <c r="BRT1914" s="62">
        <v>13.28</v>
      </c>
      <c r="BRU1914" s="115">
        <v>19.489999999999998</v>
      </c>
      <c r="BRV1914" s="56">
        <v>18.98</v>
      </c>
      <c r="BRW1914" s="56">
        <v>17.5</v>
      </c>
      <c r="BRX1914" s="62">
        <v>13.28</v>
      </c>
      <c r="BRY1914" s="115">
        <v>19.489999999999998</v>
      </c>
      <c r="BRZ1914" s="56">
        <v>18.98</v>
      </c>
      <c r="BSA1914" s="56">
        <v>17.5</v>
      </c>
      <c r="BSB1914" s="62">
        <v>13.28</v>
      </c>
      <c r="BSC1914" s="115">
        <v>19.489999999999998</v>
      </c>
      <c r="BSD1914" s="56">
        <v>18.98</v>
      </c>
      <c r="BSE1914" s="56">
        <v>17.5</v>
      </c>
      <c r="BSF1914" s="62">
        <v>13.28</v>
      </c>
      <c r="BSG1914" s="115">
        <v>19.489999999999998</v>
      </c>
      <c r="BSH1914" s="56">
        <v>18.98</v>
      </c>
      <c r="BSI1914" s="56">
        <v>17.5</v>
      </c>
      <c r="BSJ1914" s="62">
        <v>13.28</v>
      </c>
      <c r="BSK1914" s="115">
        <v>19.489999999999998</v>
      </c>
      <c r="BSL1914" s="56">
        <v>18.98</v>
      </c>
      <c r="BSM1914" s="56">
        <v>17.5</v>
      </c>
      <c r="BSN1914" s="62">
        <v>13.28</v>
      </c>
      <c r="BSO1914" s="115">
        <v>19.489999999999998</v>
      </c>
      <c r="BSP1914" s="56">
        <v>18.98</v>
      </c>
      <c r="BSQ1914" s="56">
        <v>17.5</v>
      </c>
      <c r="BSR1914" s="62">
        <v>13.28</v>
      </c>
      <c r="BSS1914" s="115">
        <v>19.489999999999998</v>
      </c>
      <c r="BST1914" s="56">
        <v>18.98</v>
      </c>
      <c r="BSU1914" s="56">
        <v>17.5</v>
      </c>
      <c r="BSV1914" s="62">
        <v>13.28</v>
      </c>
      <c r="BSW1914" s="115">
        <v>19.489999999999998</v>
      </c>
      <c r="BSX1914" s="56">
        <v>18.98</v>
      </c>
      <c r="BSY1914" s="56">
        <v>17.5</v>
      </c>
      <c r="BSZ1914" s="62">
        <v>13.28</v>
      </c>
      <c r="BTA1914" s="115">
        <v>19.489999999999998</v>
      </c>
      <c r="BTB1914" s="56">
        <v>18.98</v>
      </c>
      <c r="BTC1914" s="56">
        <v>17.5</v>
      </c>
      <c r="BTD1914" s="62">
        <v>13.28</v>
      </c>
      <c r="BTE1914" s="115">
        <v>19.489999999999998</v>
      </c>
      <c r="BTF1914" s="56">
        <v>18.98</v>
      </c>
      <c r="BTG1914" s="56">
        <v>17.5</v>
      </c>
      <c r="BTH1914" s="62">
        <v>13.28</v>
      </c>
      <c r="BTI1914" s="115">
        <v>19.489999999999998</v>
      </c>
      <c r="BTJ1914" s="56">
        <v>18.98</v>
      </c>
      <c r="BTK1914" s="56">
        <v>17.5</v>
      </c>
      <c r="BTL1914" s="62">
        <v>13.28</v>
      </c>
      <c r="BTM1914" s="115">
        <v>19.489999999999998</v>
      </c>
      <c r="BTN1914" s="56">
        <v>18.98</v>
      </c>
      <c r="BTO1914" s="56">
        <v>17.5</v>
      </c>
      <c r="BTP1914" s="62">
        <v>13.28</v>
      </c>
      <c r="BTQ1914" s="115">
        <v>19.489999999999998</v>
      </c>
      <c r="BTR1914" s="56">
        <v>18.98</v>
      </c>
      <c r="BTS1914" s="56">
        <v>17.5</v>
      </c>
      <c r="BTT1914" s="62">
        <v>13.28</v>
      </c>
      <c r="BTU1914" s="115">
        <v>19.489999999999998</v>
      </c>
      <c r="BTV1914" s="56">
        <v>18.98</v>
      </c>
      <c r="BTW1914" s="56">
        <v>17.5</v>
      </c>
      <c r="BTX1914" s="62">
        <v>13.28</v>
      </c>
      <c r="BTY1914" s="115">
        <v>19.489999999999998</v>
      </c>
      <c r="BTZ1914" s="56">
        <v>18.98</v>
      </c>
      <c r="BUA1914" s="56">
        <v>17.5</v>
      </c>
      <c r="BUB1914" s="62">
        <v>13.28</v>
      </c>
      <c r="BUC1914" s="115">
        <v>19.489999999999998</v>
      </c>
      <c r="BUD1914" s="56">
        <v>18.98</v>
      </c>
      <c r="BUE1914" s="56">
        <v>17.5</v>
      </c>
      <c r="BUF1914" s="62">
        <v>13.28</v>
      </c>
      <c r="BUG1914" s="115">
        <v>19.489999999999998</v>
      </c>
      <c r="BUH1914" s="56">
        <v>18.98</v>
      </c>
      <c r="BUI1914" s="56">
        <v>17.5</v>
      </c>
      <c r="BUJ1914" s="62">
        <v>13.28</v>
      </c>
      <c r="BUK1914" s="115">
        <v>19.489999999999998</v>
      </c>
      <c r="BUL1914" s="56">
        <v>18.98</v>
      </c>
      <c r="BUM1914" s="56">
        <v>17.5</v>
      </c>
      <c r="BUN1914" s="62">
        <v>13.28</v>
      </c>
      <c r="BUO1914" s="115">
        <v>19.489999999999998</v>
      </c>
      <c r="BUP1914" s="56">
        <v>18.98</v>
      </c>
      <c r="BUQ1914" s="56">
        <v>17.5</v>
      </c>
      <c r="BUR1914" s="62">
        <v>13.28</v>
      </c>
      <c r="BUS1914" s="115">
        <v>19.489999999999998</v>
      </c>
      <c r="BUT1914" s="56">
        <v>18.98</v>
      </c>
      <c r="BUU1914" s="56">
        <v>17.5</v>
      </c>
      <c r="BUV1914" s="62">
        <v>13.28</v>
      </c>
      <c r="BUW1914" s="115">
        <v>19.489999999999998</v>
      </c>
      <c r="BUX1914" s="56">
        <v>18.98</v>
      </c>
      <c r="BUY1914" s="56">
        <v>17.5</v>
      </c>
      <c r="BUZ1914" s="62">
        <v>13.28</v>
      </c>
      <c r="BVA1914" s="115">
        <v>19.489999999999998</v>
      </c>
      <c r="BVB1914" s="56">
        <v>18.98</v>
      </c>
      <c r="BVC1914" s="56">
        <v>17.5</v>
      </c>
      <c r="BVD1914" s="62">
        <v>13.28</v>
      </c>
      <c r="BVE1914" s="115">
        <v>19.489999999999998</v>
      </c>
      <c r="BVF1914" s="56">
        <v>18.98</v>
      </c>
      <c r="BVG1914" s="56">
        <v>17.5</v>
      </c>
      <c r="BVH1914" s="62">
        <v>13.28</v>
      </c>
      <c r="BVI1914" s="115">
        <v>19.489999999999998</v>
      </c>
      <c r="BVJ1914" s="56">
        <v>18.98</v>
      </c>
      <c r="BVK1914" s="56">
        <v>17.5</v>
      </c>
      <c r="BVL1914" s="62">
        <v>13.28</v>
      </c>
      <c r="BVM1914" s="115">
        <v>19.489999999999998</v>
      </c>
      <c r="BVN1914" s="56">
        <v>18.98</v>
      </c>
      <c r="BVO1914" s="56">
        <v>17.5</v>
      </c>
      <c r="BVP1914" s="62">
        <v>13.28</v>
      </c>
      <c r="BVQ1914" s="115">
        <v>19.489999999999998</v>
      </c>
      <c r="BVR1914" s="56">
        <v>18.98</v>
      </c>
      <c r="BVS1914" s="56">
        <v>17.5</v>
      </c>
      <c r="BVT1914" s="62">
        <v>13.28</v>
      </c>
      <c r="BVU1914" s="115">
        <v>19.489999999999998</v>
      </c>
      <c r="BVV1914" s="56">
        <v>18.98</v>
      </c>
      <c r="BVW1914" s="56">
        <v>17.5</v>
      </c>
      <c r="BVX1914" s="62">
        <v>13.28</v>
      </c>
      <c r="BVY1914" s="115">
        <v>19.489999999999998</v>
      </c>
      <c r="BVZ1914" s="56">
        <v>18.98</v>
      </c>
      <c r="BWA1914" s="56">
        <v>17.5</v>
      </c>
      <c r="BWB1914" s="62">
        <v>13.28</v>
      </c>
      <c r="BWC1914" s="115">
        <v>19.489999999999998</v>
      </c>
      <c r="BWD1914" s="56">
        <v>18.98</v>
      </c>
      <c r="BWE1914" s="56">
        <v>17.5</v>
      </c>
      <c r="BWF1914" s="62">
        <v>13.28</v>
      </c>
      <c r="BWG1914" s="115">
        <v>19.489999999999998</v>
      </c>
      <c r="BWH1914" s="56">
        <v>18.98</v>
      </c>
      <c r="BWI1914" s="56">
        <v>17.5</v>
      </c>
      <c r="BWJ1914" s="62">
        <v>13.28</v>
      </c>
      <c r="BWK1914" s="115">
        <v>19.489999999999998</v>
      </c>
      <c r="BWL1914" s="56">
        <v>18.98</v>
      </c>
      <c r="BWM1914" s="56">
        <v>17.5</v>
      </c>
      <c r="BWN1914" s="62">
        <v>13.28</v>
      </c>
      <c r="BWO1914" s="115">
        <v>19.489999999999998</v>
      </c>
      <c r="BWP1914" s="56">
        <v>18.98</v>
      </c>
      <c r="BWQ1914" s="56">
        <v>17.5</v>
      </c>
      <c r="BWR1914" s="62">
        <v>13.28</v>
      </c>
      <c r="BWS1914" s="115">
        <v>19.489999999999998</v>
      </c>
      <c r="BWT1914" s="56">
        <v>18.98</v>
      </c>
      <c r="BWU1914" s="56">
        <v>17.5</v>
      </c>
      <c r="BWV1914" s="62">
        <v>13.28</v>
      </c>
      <c r="BWW1914" s="115">
        <v>19.489999999999998</v>
      </c>
      <c r="BWX1914" s="56">
        <v>18.98</v>
      </c>
      <c r="BWY1914" s="56">
        <v>17.5</v>
      </c>
      <c r="BWZ1914" s="62">
        <v>13.28</v>
      </c>
      <c r="BXA1914" s="115">
        <v>19.489999999999998</v>
      </c>
      <c r="BXB1914" s="56">
        <v>18.98</v>
      </c>
      <c r="BXC1914" s="56">
        <v>17.5</v>
      </c>
      <c r="BXD1914" s="62">
        <v>13.28</v>
      </c>
      <c r="BXE1914" s="115">
        <v>19.489999999999998</v>
      </c>
      <c r="BXF1914" s="56">
        <v>18.98</v>
      </c>
      <c r="BXG1914" s="56">
        <v>17.5</v>
      </c>
      <c r="BXH1914" s="62">
        <v>13.28</v>
      </c>
      <c r="BXI1914" s="115">
        <v>19.489999999999998</v>
      </c>
      <c r="BXJ1914" s="56">
        <v>18.98</v>
      </c>
      <c r="BXK1914" s="56">
        <v>17.5</v>
      </c>
      <c r="BXL1914" s="62">
        <v>13.28</v>
      </c>
      <c r="BXM1914" s="115">
        <v>19.489999999999998</v>
      </c>
      <c r="BXN1914" s="56">
        <v>18.98</v>
      </c>
      <c r="BXO1914" s="56">
        <v>17.5</v>
      </c>
      <c r="BXP1914" s="62">
        <v>13.28</v>
      </c>
      <c r="BXQ1914" s="115">
        <v>19.489999999999998</v>
      </c>
      <c r="BXR1914" s="56">
        <v>18.98</v>
      </c>
      <c r="BXS1914" s="56">
        <v>17.5</v>
      </c>
      <c r="BXT1914" s="62">
        <v>13.28</v>
      </c>
      <c r="BXU1914" s="115">
        <v>19.489999999999998</v>
      </c>
      <c r="BXV1914" s="56">
        <v>18.98</v>
      </c>
      <c r="BXW1914" s="56">
        <v>17.5</v>
      </c>
      <c r="BXX1914" s="62">
        <v>13.28</v>
      </c>
      <c r="BXY1914" s="115">
        <v>19.489999999999998</v>
      </c>
      <c r="BXZ1914" s="56">
        <v>18.98</v>
      </c>
      <c r="BYA1914" s="56">
        <v>17.5</v>
      </c>
      <c r="BYB1914" s="62">
        <v>13.28</v>
      </c>
      <c r="BYC1914" s="115">
        <v>19.489999999999998</v>
      </c>
      <c r="BYD1914" s="56">
        <v>18.98</v>
      </c>
      <c r="BYE1914" s="56">
        <v>17.5</v>
      </c>
      <c r="BYF1914" s="62">
        <v>13.28</v>
      </c>
      <c r="BYG1914" s="115">
        <v>19.489999999999998</v>
      </c>
      <c r="BYH1914" s="56">
        <v>18.98</v>
      </c>
      <c r="BYI1914" s="56">
        <v>17.5</v>
      </c>
      <c r="BYJ1914" s="62">
        <v>13.28</v>
      </c>
      <c r="BYK1914" s="115">
        <v>19.489999999999998</v>
      </c>
      <c r="BYL1914" s="56">
        <v>18.98</v>
      </c>
      <c r="BYM1914" s="56">
        <v>17.5</v>
      </c>
      <c r="BYN1914" s="62">
        <v>13.28</v>
      </c>
      <c r="BYO1914" s="115">
        <v>19.489999999999998</v>
      </c>
      <c r="BYP1914" s="56">
        <v>18.98</v>
      </c>
      <c r="BYQ1914" s="56">
        <v>17.5</v>
      </c>
      <c r="BYR1914" s="62">
        <v>13.28</v>
      </c>
      <c r="BYS1914" s="115">
        <v>19.489999999999998</v>
      </c>
      <c r="BYT1914" s="56">
        <v>18.98</v>
      </c>
      <c r="BYU1914" s="56">
        <v>17.5</v>
      </c>
      <c r="BYV1914" s="62">
        <v>13.28</v>
      </c>
      <c r="BYW1914" s="115">
        <v>19.489999999999998</v>
      </c>
      <c r="BYX1914" s="56">
        <v>18.98</v>
      </c>
      <c r="BYY1914" s="56">
        <v>17.5</v>
      </c>
      <c r="BYZ1914" s="62">
        <v>13.28</v>
      </c>
      <c r="BZA1914" s="115">
        <v>19.489999999999998</v>
      </c>
      <c r="BZB1914" s="56">
        <v>18.98</v>
      </c>
      <c r="BZC1914" s="56">
        <v>17.5</v>
      </c>
      <c r="BZD1914" s="62">
        <v>13.28</v>
      </c>
      <c r="BZE1914" s="115">
        <v>19.489999999999998</v>
      </c>
      <c r="BZF1914" s="56">
        <v>18.98</v>
      </c>
      <c r="BZG1914" s="56">
        <v>17.5</v>
      </c>
      <c r="BZH1914" s="62">
        <v>13.28</v>
      </c>
      <c r="BZI1914" s="115">
        <v>19.489999999999998</v>
      </c>
      <c r="BZJ1914" s="56">
        <v>18.98</v>
      </c>
      <c r="BZK1914" s="56">
        <v>17.5</v>
      </c>
      <c r="BZL1914" s="62">
        <v>13.28</v>
      </c>
      <c r="BZM1914" s="115">
        <v>19.489999999999998</v>
      </c>
      <c r="BZN1914" s="56">
        <v>18.98</v>
      </c>
      <c r="BZO1914" s="56">
        <v>17.5</v>
      </c>
      <c r="BZP1914" s="62">
        <v>13.28</v>
      </c>
      <c r="BZQ1914" s="115">
        <v>19.489999999999998</v>
      </c>
      <c r="BZR1914" s="56">
        <v>18.98</v>
      </c>
      <c r="BZS1914" s="56">
        <v>17.5</v>
      </c>
      <c r="BZT1914" s="62">
        <v>13.28</v>
      </c>
      <c r="BZU1914" s="115">
        <v>19.489999999999998</v>
      </c>
      <c r="BZV1914" s="56">
        <v>18.98</v>
      </c>
      <c r="BZW1914" s="56">
        <v>17.5</v>
      </c>
      <c r="BZX1914" s="62">
        <v>13.28</v>
      </c>
      <c r="BZY1914" s="115">
        <v>19.489999999999998</v>
      </c>
      <c r="BZZ1914" s="56">
        <v>18.98</v>
      </c>
      <c r="CAA1914" s="56">
        <v>17.5</v>
      </c>
      <c r="CAB1914" s="62">
        <v>13.28</v>
      </c>
      <c r="CAC1914" s="115">
        <v>19.489999999999998</v>
      </c>
      <c r="CAD1914" s="56">
        <v>18.98</v>
      </c>
      <c r="CAE1914" s="56">
        <v>17.5</v>
      </c>
      <c r="CAF1914" s="62">
        <v>13.28</v>
      </c>
      <c r="CAG1914" s="115">
        <v>19.489999999999998</v>
      </c>
      <c r="CAH1914" s="56">
        <v>18.98</v>
      </c>
      <c r="CAI1914" s="56">
        <v>17.5</v>
      </c>
      <c r="CAJ1914" s="62">
        <v>13.28</v>
      </c>
      <c r="CAK1914" s="115">
        <v>19.489999999999998</v>
      </c>
      <c r="CAL1914" s="56">
        <v>18.98</v>
      </c>
      <c r="CAM1914" s="56">
        <v>17.5</v>
      </c>
      <c r="CAN1914" s="62">
        <v>13.28</v>
      </c>
      <c r="CAO1914" s="115">
        <v>19.489999999999998</v>
      </c>
      <c r="CAP1914" s="56">
        <v>18.98</v>
      </c>
      <c r="CAQ1914" s="56">
        <v>17.5</v>
      </c>
      <c r="CAR1914" s="62">
        <v>13.28</v>
      </c>
      <c r="CAS1914" s="115">
        <v>19.489999999999998</v>
      </c>
      <c r="CAT1914" s="56">
        <v>18.98</v>
      </c>
      <c r="CAU1914" s="56">
        <v>17.5</v>
      </c>
      <c r="CAV1914" s="62">
        <v>13.28</v>
      </c>
      <c r="CAW1914" s="115">
        <v>19.489999999999998</v>
      </c>
      <c r="CAX1914" s="56">
        <v>18.98</v>
      </c>
      <c r="CAY1914" s="56">
        <v>17.5</v>
      </c>
      <c r="CAZ1914" s="62">
        <v>13.28</v>
      </c>
      <c r="CBA1914" s="115">
        <v>19.489999999999998</v>
      </c>
      <c r="CBB1914" s="56">
        <v>18.98</v>
      </c>
      <c r="CBC1914" s="56">
        <v>17.5</v>
      </c>
      <c r="CBD1914" s="62">
        <v>13.28</v>
      </c>
      <c r="CBE1914" s="115">
        <v>19.489999999999998</v>
      </c>
      <c r="CBF1914" s="56">
        <v>18.98</v>
      </c>
      <c r="CBG1914" s="56">
        <v>17.5</v>
      </c>
      <c r="CBH1914" s="62">
        <v>13.28</v>
      </c>
      <c r="CBI1914" s="115">
        <v>19.489999999999998</v>
      </c>
      <c r="CBJ1914" s="56">
        <v>18.98</v>
      </c>
      <c r="CBK1914" s="56">
        <v>17.5</v>
      </c>
      <c r="CBL1914" s="62">
        <v>13.28</v>
      </c>
      <c r="CBM1914" s="115">
        <v>19.489999999999998</v>
      </c>
      <c r="CBN1914" s="56">
        <v>18.98</v>
      </c>
      <c r="CBO1914" s="56">
        <v>17.5</v>
      </c>
      <c r="CBP1914" s="62">
        <v>13.28</v>
      </c>
      <c r="CBQ1914" s="115">
        <v>19.489999999999998</v>
      </c>
      <c r="CBR1914" s="56">
        <v>18.98</v>
      </c>
      <c r="CBS1914" s="56">
        <v>17.5</v>
      </c>
      <c r="CBT1914" s="62">
        <v>13.28</v>
      </c>
      <c r="CBU1914" s="115">
        <v>19.489999999999998</v>
      </c>
      <c r="CBV1914" s="56">
        <v>18.98</v>
      </c>
      <c r="CBW1914" s="56">
        <v>17.5</v>
      </c>
      <c r="CBX1914" s="62">
        <v>13.28</v>
      </c>
      <c r="CBY1914" s="115">
        <v>19.489999999999998</v>
      </c>
      <c r="CBZ1914" s="56">
        <v>18.98</v>
      </c>
      <c r="CCA1914" s="56">
        <v>17.5</v>
      </c>
      <c r="CCB1914" s="62">
        <v>13.28</v>
      </c>
      <c r="CCC1914" s="115">
        <v>19.489999999999998</v>
      </c>
      <c r="CCD1914" s="56">
        <v>18.98</v>
      </c>
      <c r="CCE1914" s="56">
        <v>17.5</v>
      </c>
      <c r="CCF1914" s="62">
        <v>13.28</v>
      </c>
      <c r="CCG1914" s="115">
        <v>19.489999999999998</v>
      </c>
      <c r="CCH1914" s="56">
        <v>18.98</v>
      </c>
      <c r="CCI1914" s="56">
        <v>17.5</v>
      </c>
      <c r="CCJ1914" s="62">
        <v>13.28</v>
      </c>
      <c r="CCK1914" s="115">
        <v>19.489999999999998</v>
      </c>
      <c r="CCL1914" s="56">
        <v>18.98</v>
      </c>
      <c r="CCM1914" s="56">
        <v>17.5</v>
      </c>
      <c r="CCN1914" s="62">
        <v>13.28</v>
      </c>
      <c r="CCO1914" s="115">
        <v>19.489999999999998</v>
      </c>
      <c r="CCP1914" s="56">
        <v>18.98</v>
      </c>
      <c r="CCQ1914" s="56">
        <v>17.5</v>
      </c>
      <c r="CCR1914" s="62">
        <v>13.28</v>
      </c>
      <c r="CCS1914" s="115">
        <v>19.489999999999998</v>
      </c>
      <c r="CCT1914" s="56">
        <v>18.98</v>
      </c>
      <c r="CCU1914" s="56">
        <v>17.5</v>
      </c>
      <c r="CCV1914" s="62">
        <v>13.28</v>
      </c>
      <c r="CCW1914" s="115">
        <v>19.489999999999998</v>
      </c>
      <c r="CCX1914" s="56">
        <v>18.98</v>
      </c>
      <c r="CCY1914" s="56">
        <v>17.5</v>
      </c>
      <c r="CCZ1914" s="62">
        <v>13.28</v>
      </c>
      <c r="CDA1914" s="115">
        <v>19.489999999999998</v>
      </c>
      <c r="CDB1914" s="56">
        <v>18.98</v>
      </c>
      <c r="CDC1914" s="56">
        <v>17.5</v>
      </c>
      <c r="CDD1914" s="62">
        <v>13.28</v>
      </c>
      <c r="CDE1914" s="115">
        <v>19.489999999999998</v>
      </c>
      <c r="CDF1914" s="56">
        <v>18.98</v>
      </c>
      <c r="CDG1914" s="56">
        <v>17.5</v>
      </c>
      <c r="CDH1914" s="62">
        <v>13.28</v>
      </c>
      <c r="CDI1914" s="115">
        <v>19.489999999999998</v>
      </c>
      <c r="CDJ1914" s="56">
        <v>18.98</v>
      </c>
      <c r="CDK1914" s="56">
        <v>17.5</v>
      </c>
      <c r="CDL1914" s="62">
        <v>13.28</v>
      </c>
      <c r="CDM1914" s="115">
        <v>19.489999999999998</v>
      </c>
      <c r="CDN1914" s="56">
        <v>18.98</v>
      </c>
      <c r="CDO1914" s="56">
        <v>17.5</v>
      </c>
      <c r="CDP1914" s="62">
        <v>13.28</v>
      </c>
      <c r="CDQ1914" s="115">
        <v>19.489999999999998</v>
      </c>
      <c r="CDR1914" s="56">
        <v>18.98</v>
      </c>
      <c r="CDS1914" s="56">
        <v>17.5</v>
      </c>
      <c r="CDT1914" s="62">
        <v>13.28</v>
      </c>
      <c r="CDU1914" s="115">
        <v>19.489999999999998</v>
      </c>
      <c r="CDV1914" s="56">
        <v>18.98</v>
      </c>
      <c r="CDW1914" s="56">
        <v>17.5</v>
      </c>
      <c r="CDX1914" s="62">
        <v>13.28</v>
      </c>
      <c r="CDY1914" s="115">
        <v>19.489999999999998</v>
      </c>
      <c r="CDZ1914" s="56">
        <v>18.98</v>
      </c>
      <c r="CEA1914" s="56">
        <v>17.5</v>
      </c>
      <c r="CEB1914" s="62">
        <v>13.28</v>
      </c>
      <c r="CEC1914" s="115">
        <v>19.489999999999998</v>
      </c>
      <c r="CED1914" s="56">
        <v>18.98</v>
      </c>
      <c r="CEE1914" s="56">
        <v>17.5</v>
      </c>
      <c r="CEF1914" s="62">
        <v>13.28</v>
      </c>
      <c r="CEG1914" s="115">
        <v>19.489999999999998</v>
      </c>
      <c r="CEH1914" s="56">
        <v>18.98</v>
      </c>
      <c r="CEI1914" s="56">
        <v>17.5</v>
      </c>
      <c r="CEJ1914" s="62">
        <v>13.28</v>
      </c>
      <c r="CEK1914" s="115">
        <v>19.489999999999998</v>
      </c>
      <c r="CEL1914" s="56">
        <v>18.98</v>
      </c>
      <c r="CEM1914" s="56">
        <v>17.5</v>
      </c>
      <c r="CEN1914" s="62">
        <v>13.28</v>
      </c>
      <c r="CEO1914" s="115">
        <v>19.489999999999998</v>
      </c>
      <c r="CEP1914" s="56">
        <v>18.98</v>
      </c>
      <c r="CEQ1914" s="56">
        <v>17.5</v>
      </c>
      <c r="CER1914" s="62">
        <v>13.28</v>
      </c>
      <c r="CES1914" s="115">
        <v>19.489999999999998</v>
      </c>
      <c r="CET1914" s="56">
        <v>18.98</v>
      </c>
      <c r="CEU1914" s="56">
        <v>17.5</v>
      </c>
      <c r="CEV1914" s="62">
        <v>13.28</v>
      </c>
      <c r="CEW1914" s="115">
        <v>19.489999999999998</v>
      </c>
      <c r="CEX1914" s="56">
        <v>18.98</v>
      </c>
      <c r="CEY1914" s="56">
        <v>17.5</v>
      </c>
      <c r="CEZ1914" s="62">
        <v>13.28</v>
      </c>
      <c r="CFA1914" s="115">
        <v>19.489999999999998</v>
      </c>
      <c r="CFB1914" s="56">
        <v>18.98</v>
      </c>
      <c r="CFC1914" s="56">
        <v>17.5</v>
      </c>
      <c r="CFD1914" s="62">
        <v>13.28</v>
      </c>
      <c r="CFE1914" s="115">
        <v>19.489999999999998</v>
      </c>
      <c r="CFF1914" s="56">
        <v>18.98</v>
      </c>
      <c r="CFG1914" s="56">
        <v>17.5</v>
      </c>
      <c r="CFH1914" s="62">
        <v>13.28</v>
      </c>
      <c r="CFI1914" s="115">
        <v>19.489999999999998</v>
      </c>
      <c r="CFJ1914" s="56">
        <v>18.98</v>
      </c>
      <c r="CFK1914" s="56">
        <v>17.5</v>
      </c>
      <c r="CFL1914" s="62">
        <v>13.28</v>
      </c>
      <c r="CFM1914" s="115">
        <v>19.489999999999998</v>
      </c>
      <c r="CFN1914" s="56">
        <v>18.98</v>
      </c>
      <c r="CFO1914" s="56">
        <v>17.5</v>
      </c>
      <c r="CFP1914" s="62">
        <v>13.28</v>
      </c>
      <c r="CFQ1914" s="115">
        <v>19.489999999999998</v>
      </c>
      <c r="CFR1914" s="56">
        <v>18.98</v>
      </c>
      <c r="CFS1914" s="56">
        <v>17.5</v>
      </c>
      <c r="CFT1914" s="62">
        <v>13.28</v>
      </c>
      <c r="CFU1914" s="115">
        <v>19.489999999999998</v>
      </c>
      <c r="CFV1914" s="56">
        <v>18.98</v>
      </c>
      <c r="CFW1914" s="56">
        <v>17.5</v>
      </c>
      <c r="CFX1914" s="62">
        <v>13.28</v>
      </c>
      <c r="CFY1914" s="115">
        <v>19.489999999999998</v>
      </c>
      <c r="CFZ1914" s="56">
        <v>18.98</v>
      </c>
      <c r="CGA1914" s="56">
        <v>17.5</v>
      </c>
      <c r="CGB1914" s="62">
        <v>13.28</v>
      </c>
      <c r="CGC1914" s="115">
        <v>19.489999999999998</v>
      </c>
      <c r="CGD1914" s="56">
        <v>18.98</v>
      </c>
      <c r="CGE1914" s="56">
        <v>17.5</v>
      </c>
      <c r="CGF1914" s="62">
        <v>13.28</v>
      </c>
      <c r="CGG1914" s="115">
        <v>19.489999999999998</v>
      </c>
      <c r="CGH1914" s="56">
        <v>18.98</v>
      </c>
      <c r="CGI1914" s="56">
        <v>17.5</v>
      </c>
      <c r="CGJ1914" s="62">
        <v>13.28</v>
      </c>
      <c r="CGK1914" s="115">
        <v>19.489999999999998</v>
      </c>
      <c r="CGL1914" s="56">
        <v>18.98</v>
      </c>
      <c r="CGM1914" s="56">
        <v>17.5</v>
      </c>
      <c r="CGN1914" s="62">
        <v>13.28</v>
      </c>
      <c r="CGO1914" s="115">
        <v>19.489999999999998</v>
      </c>
      <c r="CGP1914" s="56">
        <v>18.98</v>
      </c>
      <c r="CGQ1914" s="56">
        <v>17.5</v>
      </c>
      <c r="CGR1914" s="62">
        <v>13.28</v>
      </c>
      <c r="CGS1914" s="115">
        <v>19.489999999999998</v>
      </c>
      <c r="CGT1914" s="56">
        <v>18.98</v>
      </c>
      <c r="CGU1914" s="56">
        <v>17.5</v>
      </c>
      <c r="CGV1914" s="62">
        <v>13.28</v>
      </c>
      <c r="CGW1914" s="115">
        <v>19.489999999999998</v>
      </c>
      <c r="CGX1914" s="56">
        <v>18.98</v>
      </c>
      <c r="CGY1914" s="56">
        <v>17.5</v>
      </c>
      <c r="CGZ1914" s="62">
        <v>13.28</v>
      </c>
      <c r="CHA1914" s="115">
        <v>19.489999999999998</v>
      </c>
      <c r="CHB1914" s="56">
        <v>18.98</v>
      </c>
      <c r="CHC1914" s="56">
        <v>17.5</v>
      </c>
      <c r="CHD1914" s="62">
        <v>13.28</v>
      </c>
      <c r="CHE1914" s="115">
        <v>19.489999999999998</v>
      </c>
      <c r="CHF1914" s="56">
        <v>18.98</v>
      </c>
      <c r="CHG1914" s="56">
        <v>17.5</v>
      </c>
      <c r="CHH1914" s="62">
        <v>13.28</v>
      </c>
      <c r="CHI1914" s="115">
        <v>19.489999999999998</v>
      </c>
      <c r="CHJ1914" s="56">
        <v>18.98</v>
      </c>
      <c r="CHK1914" s="56">
        <v>17.5</v>
      </c>
      <c r="CHL1914" s="62">
        <v>13.28</v>
      </c>
      <c r="CHM1914" s="115">
        <v>19.489999999999998</v>
      </c>
      <c r="CHN1914" s="56">
        <v>18.98</v>
      </c>
      <c r="CHO1914" s="56">
        <v>17.5</v>
      </c>
      <c r="CHP1914" s="62">
        <v>13.28</v>
      </c>
      <c r="CHQ1914" s="115">
        <v>19.489999999999998</v>
      </c>
      <c r="CHR1914" s="56">
        <v>18.98</v>
      </c>
      <c r="CHS1914" s="56">
        <v>17.5</v>
      </c>
      <c r="CHT1914" s="62">
        <v>13.28</v>
      </c>
      <c r="CHU1914" s="115">
        <v>19.489999999999998</v>
      </c>
      <c r="CHV1914" s="56">
        <v>18.98</v>
      </c>
      <c r="CHW1914" s="56">
        <v>17.5</v>
      </c>
      <c r="CHX1914" s="62">
        <v>13.28</v>
      </c>
      <c r="CHY1914" s="115">
        <v>19.489999999999998</v>
      </c>
      <c r="CHZ1914" s="56">
        <v>18.98</v>
      </c>
      <c r="CIA1914" s="56">
        <v>17.5</v>
      </c>
      <c r="CIB1914" s="62">
        <v>13.28</v>
      </c>
      <c r="CIC1914" s="115">
        <v>19.489999999999998</v>
      </c>
      <c r="CID1914" s="56">
        <v>18.98</v>
      </c>
      <c r="CIE1914" s="56">
        <v>17.5</v>
      </c>
      <c r="CIF1914" s="62">
        <v>13.28</v>
      </c>
      <c r="CIG1914" s="115">
        <v>19.489999999999998</v>
      </c>
      <c r="CIH1914" s="56">
        <v>18.98</v>
      </c>
      <c r="CII1914" s="56">
        <v>17.5</v>
      </c>
      <c r="CIJ1914" s="62">
        <v>13.28</v>
      </c>
      <c r="CIK1914" s="115">
        <v>19.489999999999998</v>
      </c>
      <c r="CIL1914" s="56">
        <v>18.98</v>
      </c>
      <c r="CIM1914" s="56">
        <v>17.5</v>
      </c>
      <c r="CIN1914" s="62">
        <v>13.28</v>
      </c>
      <c r="CIO1914" s="115">
        <v>19.489999999999998</v>
      </c>
      <c r="CIP1914" s="56">
        <v>18.98</v>
      </c>
      <c r="CIQ1914" s="56">
        <v>17.5</v>
      </c>
      <c r="CIR1914" s="62">
        <v>13.28</v>
      </c>
      <c r="CIS1914" s="115">
        <v>19.489999999999998</v>
      </c>
      <c r="CIT1914" s="56">
        <v>18.98</v>
      </c>
      <c r="CIU1914" s="56">
        <v>17.5</v>
      </c>
      <c r="CIV1914" s="62">
        <v>13.28</v>
      </c>
      <c r="CIW1914" s="115">
        <v>19.489999999999998</v>
      </c>
      <c r="CIX1914" s="56">
        <v>18.98</v>
      </c>
      <c r="CIY1914" s="56">
        <v>17.5</v>
      </c>
      <c r="CIZ1914" s="62">
        <v>13.28</v>
      </c>
      <c r="CJA1914" s="115">
        <v>19.489999999999998</v>
      </c>
      <c r="CJB1914" s="56">
        <v>18.98</v>
      </c>
      <c r="CJC1914" s="56">
        <v>17.5</v>
      </c>
      <c r="CJD1914" s="62">
        <v>13.28</v>
      </c>
      <c r="CJE1914" s="115">
        <v>19.489999999999998</v>
      </c>
      <c r="CJF1914" s="56">
        <v>18.98</v>
      </c>
      <c r="CJG1914" s="56">
        <v>17.5</v>
      </c>
      <c r="CJH1914" s="62">
        <v>13.28</v>
      </c>
      <c r="CJI1914" s="115">
        <v>19.489999999999998</v>
      </c>
      <c r="CJJ1914" s="56">
        <v>18.98</v>
      </c>
      <c r="CJK1914" s="56">
        <v>17.5</v>
      </c>
      <c r="CJL1914" s="62">
        <v>13.28</v>
      </c>
      <c r="CJM1914" s="115">
        <v>19.489999999999998</v>
      </c>
      <c r="CJN1914" s="56">
        <v>18.98</v>
      </c>
      <c r="CJO1914" s="56">
        <v>17.5</v>
      </c>
      <c r="CJP1914" s="62">
        <v>13.28</v>
      </c>
      <c r="CJQ1914" s="115">
        <v>19.489999999999998</v>
      </c>
      <c r="CJR1914" s="56">
        <v>18.98</v>
      </c>
      <c r="CJS1914" s="56">
        <v>17.5</v>
      </c>
      <c r="CJT1914" s="62">
        <v>13.28</v>
      </c>
      <c r="CJU1914" s="115">
        <v>19.489999999999998</v>
      </c>
      <c r="CJV1914" s="56">
        <v>18.98</v>
      </c>
      <c r="CJW1914" s="56">
        <v>17.5</v>
      </c>
      <c r="CJX1914" s="62">
        <v>13.28</v>
      </c>
      <c r="CJY1914" s="115">
        <v>19.489999999999998</v>
      </c>
      <c r="CJZ1914" s="56">
        <v>18.98</v>
      </c>
      <c r="CKA1914" s="56">
        <v>17.5</v>
      </c>
      <c r="CKB1914" s="62">
        <v>13.28</v>
      </c>
      <c r="CKC1914" s="115">
        <v>19.489999999999998</v>
      </c>
      <c r="CKD1914" s="56">
        <v>18.98</v>
      </c>
      <c r="CKE1914" s="56">
        <v>17.5</v>
      </c>
      <c r="CKF1914" s="62">
        <v>13.28</v>
      </c>
      <c r="CKG1914" s="115">
        <v>19.489999999999998</v>
      </c>
      <c r="CKH1914" s="56">
        <v>18.98</v>
      </c>
      <c r="CKI1914" s="56">
        <v>17.5</v>
      </c>
      <c r="CKJ1914" s="62">
        <v>13.28</v>
      </c>
      <c r="CKK1914" s="115">
        <v>19.489999999999998</v>
      </c>
      <c r="CKL1914" s="56">
        <v>18.98</v>
      </c>
      <c r="CKM1914" s="56">
        <v>17.5</v>
      </c>
      <c r="CKN1914" s="62">
        <v>13.28</v>
      </c>
      <c r="CKO1914" s="115">
        <v>19.489999999999998</v>
      </c>
      <c r="CKP1914" s="56">
        <v>18.98</v>
      </c>
      <c r="CKQ1914" s="56">
        <v>17.5</v>
      </c>
      <c r="CKR1914" s="62">
        <v>13.28</v>
      </c>
      <c r="CKS1914" s="115">
        <v>19.489999999999998</v>
      </c>
      <c r="CKT1914" s="56">
        <v>18.98</v>
      </c>
      <c r="CKU1914" s="56">
        <v>17.5</v>
      </c>
      <c r="CKV1914" s="62">
        <v>13.28</v>
      </c>
      <c r="CKW1914" s="115">
        <v>19.489999999999998</v>
      </c>
      <c r="CKX1914" s="56">
        <v>18.98</v>
      </c>
      <c r="CKY1914" s="56">
        <v>17.5</v>
      </c>
      <c r="CKZ1914" s="62">
        <v>13.28</v>
      </c>
      <c r="CLA1914" s="115">
        <v>19.489999999999998</v>
      </c>
      <c r="CLB1914" s="56">
        <v>18.98</v>
      </c>
      <c r="CLC1914" s="56">
        <v>17.5</v>
      </c>
      <c r="CLD1914" s="62">
        <v>13.28</v>
      </c>
      <c r="CLE1914" s="115">
        <v>19.489999999999998</v>
      </c>
      <c r="CLF1914" s="56">
        <v>18.98</v>
      </c>
      <c r="CLG1914" s="56">
        <v>17.5</v>
      </c>
      <c r="CLH1914" s="62">
        <v>13.28</v>
      </c>
      <c r="CLI1914" s="115">
        <v>19.489999999999998</v>
      </c>
      <c r="CLJ1914" s="56">
        <v>18.98</v>
      </c>
      <c r="CLK1914" s="56">
        <v>17.5</v>
      </c>
      <c r="CLL1914" s="62">
        <v>13.28</v>
      </c>
      <c r="CLM1914" s="115">
        <v>19.489999999999998</v>
      </c>
      <c r="CLN1914" s="56">
        <v>18.98</v>
      </c>
      <c r="CLO1914" s="56">
        <v>17.5</v>
      </c>
      <c r="CLP1914" s="62">
        <v>13.28</v>
      </c>
      <c r="CLQ1914" s="115">
        <v>19.489999999999998</v>
      </c>
      <c r="CLR1914" s="56">
        <v>18.98</v>
      </c>
      <c r="CLS1914" s="56">
        <v>17.5</v>
      </c>
      <c r="CLT1914" s="62">
        <v>13.28</v>
      </c>
      <c r="CLU1914" s="115">
        <v>19.489999999999998</v>
      </c>
      <c r="CLV1914" s="56">
        <v>18.98</v>
      </c>
      <c r="CLW1914" s="56">
        <v>17.5</v>
      </c>
      <c r="CLX1914" s="62">
        <v>13.28</v>
      </c>
      <c r="CLY1914" s="115">
        <v>19.489999999999998</v>
      </c>
      <c r="CLZ1914" s="56">
        <v>18.98</v>
      </c>
      <c r="CMA1914" s="56">
        <v>17.5</v>
      </c>
      <c r="CMB1914" s="62">
        <v>13.28</v>
      </c>
      <c r="CMC1914" s="115">
        <v>19.489999999999998</v>
      </c>
      <c r="CMD1914" s="56">
        <v>18.98</v>
      </c>
      <c r="CME1914" s="56">
        <v>17.5</v>
      </c>
      <c r="CMF1914" s="62">
        <v>13.28</v>
      </c>
      <c r="CMG1914" s="115">
        <v>19.489999999999998</v>
      </c>
      <c r="CMH1914" s="56">
        <v>18.98</v>
      </c>
      <c r="CMI1914" s="56">
        <v>17.5</v>
      </c>
      <c r="CMJ1914" s="62">
        <v>13.28</v>
      </c>
      <c r="CMK1914" s="115">
        <v>19.489999999999998</v>
      </c>
      <c r="CML1914" s="56">
        <v>18.98</v>
      </c>
      <c r="CMM1914" s="56">
        <v>17.5</v>
      </c>
      <c r="CMN1914" s="62">
        <v>13.28</v>
      </c>
      <c r="CMO1914" s="115">
        <v>19.489999999999998</v>
      </c>
      <c r="CMP1914" s="56">
        <v>18.98</v>
      </c>
      <c r="CMQ1914" s="56">
        <v>17.5</v>
      </c>
      <c r="CMR1914" s="62">
        <v>13.28</v>
      </c>
      <c r="CMS1914" s="115">
        <v>19.489999999999998</v>
      </c>
      <c r="CMT1914" s="56">
        <v>18.98</v>
      </c>
      <c r="CMU1914" s="56">
        <v>17.5</v>
      </c>
      <c r="CMV1914" s="62">
        <v>13.28</v>
      </c>
      <c r="CMW1914" s="115">
        <v>19.489999999999998</v>
      </c>
      <c r="CMX1914" s="56">
        <v>18.98</v>
      </c>
      <c r="CMY1914" s="56">
        <v>17.5</v>
      </c>
      <c r="CMZ1914" s="62">
        <v>13.28</v>
      </c>
      <c r="CNA1914" s="115">
        <v>19.489999999999998</v>
      </c>
      <c r="CNB1914" s="56">
        <v>18.98</v>
      </c>
      <c r="CNC1914" s="56">
        <v>17.5</v>
      </c>
      <c r="CND1914" s="62">
        <v>13.28</v>
      </c>
      <c r="CNE1914" s="115">
        <v>19.489999999999998</v>
      </c>
      <c r="CNF1914" s="56">
        <v>18.98</v>
      </c>
      <c r="CNG1914" s="56">
        <v>17.5</v>
      </c>
      <c r="CNH1914" s="62">
        <v>13.28</v>
      </c>
      <c r="CNI1914" s="115">
        <v>19.489999999999998</v>
      </c>
      <c r="CNJ1914" s="56">
        <v>18.98</v>
      </c>
      <c r="CNK1914" s="56">
        <v>17.5</v>
      </c>
      <c r="CNL1914" s="62">
        <v>13.28</v>
      </c>
      <c r="CNM1914" s="115">
        <v>19.489999999999998</v>
      </c>
      <c r="CNN1914" s="56">
        <v>18.98</v>
      </c>
      <c r="CNO1914" s="56">
        <v>17.5</v>
      </c>
      <c r="CNP1914" s="62">
        <v>13.28</v>
      </c>
      <c r="CNQ1914" s="115">
        <v>19.489999999999998</v>
      </c>
      <c r="CNR1914" s="56">
        <v>18.98</v>
      </c>
      <c r="CNS1914" s="56">
        <v>17.5</v>
      </c>
      <c r="CNT1914" s="62">
        <v>13.28</v>
      </c>
      <c r="CNU1914" s="115">
        <v>19.489999999999998</v>
      </c>
      <c r="CNV1914" s="56">
        <v>18.98</v>
      </c>
      <c r="CNW1914" s="56">
        <v>17.5</v>
      </c>
      <c r="CNX1914" s="62">
        <v>13.28</v>
      </c>
      <c r="CNY1914" s="115">
        <v>19.489999999999998</v>
      </c>
      <c r="CNZ1914" s="56">
        <v>18.98</v>
      </c>
      <c r="COA1914" s="56">
        <v>17.5</v>
      </c>
      <c r="COB1914" s="62">
        <v>13.28</v>
      </c>
      <c r="COC1914" s="115">
        <v>19.489999999999998</v>
      </c>
      <c r="COD1914" s="56">
        <v>18.98</v>
      </c>
      <c r="COE1914" s="56">
        <v>17.5</v>
      </c>
      <c r="COF1914" s="62">
        <v>13.28</v>
      </c>
      <c r="COG1914" s="115">
        <v>19.489999999999998</v>
      </c>
      <c r="COH1914" s="56">
        <v>18.98</v>
      </c>
      <c r="COI1914" s="56">
        <v>17.5</v>
      </c>
      <c r="COJ1914" s="62">
        <v>13.28</v>
      </c>
      <c r="COK1914" s="115">
        <v>19.489999999999998</v>
      </c>
      <c r="COL1914" s="56">
        <v>18.98</v>
      </c>
      <c r="COM1914" s="56">
        <v>17.5</v>
      </c>
      <c r="CON1914" s="62">
        <v>13.28</v>
      </c>
      <c r="COO1914" s="115">
        <v>19.489999999999998</v>
      </c>
      <c r="COP1914" s="56">
        <v>18.98</v>
      </c>
      <c r="COQ1914" s="56">
        <v>17.5</v>
      </c>
      <c r="COR1914" s="62">
        <v>13.28</v>
      </c>
      <c r="COS1914" s="115">
        <v>19.489999999999998</v>
      </c>
      <c r="COT1914" s="56">
        <v>18.98</v>
      </c>
      <c r="COU1914" s="56">
        <v>17.5</v>
      </c>
      <c r="COV1914" s="62">
        <v>13.28</v>
      </c>
      <c r="COW1914" s="115">
        <v>19.489999999999998</v>
      </c>
      <c r="COX1914" s="56">
        <v>18.98</v>
      </c>
      <c r="COY1914" s="56">
        <v>17.5</v>
      </c>
      <c r="COZ1914" s="62">
        <v>13.28</v>
      </c>
      <c r="CPA1914" s="115">
        <v>19.489999999999998</v>
      </c>
      <c r="CPB1914" s="56">
        <v>18.98</v>
      </c>
      <c r="CPC1914" s="56">
        <v>17.5</v>
      </c>
      <c r="CPD1914" s="62">
        <v>13.28</v>
      </c>
      <c r="CPE1914" s="115">
        <v>19.489999999999998</v>
      </c>
      <c r="CPF1914" s="56">
        <v>18.98</v>
      </c>
      <c r="CPG1914" s="56">
        <v>17.5</v>
      </c>
      <c r="CPH1914" s="62">
        <v>13.28</v>
      </c>
      <c r="CPI1914" s="115">
        <v>19.489999999999998</v>
      </c>
      <c r="CPJ1914" s="56">
        <v>18.98</v>
      </c>
      <c r="CPK1914" s="56">
        <v>17.5</v>
      </c>
      <c r="CPL1914" s="62">
        <v>13.28</v>
      </c>
      <c r="CPM1914" s="115">
        <v>19.489999999999998</v>
      </c>
      <c r="CPN1914" s="56">
        <v>18.98</v>
      </c>
      <c r="CPO1914" s="56">
        <v>17.5</v>
      </c>
      <c r="CPP1914" s="62">
        <v>13.28</v>
      </c>
      <c r="CPQ1914" s="115">
        <v>19.489999999999998</v>
      </c>
      <c r="CPR1914" s="56">
        <v>18.98</v>
      </c>
      <c r="CPS1914" s="56">
        <v>17.5</v>
      </c>
      <c r="CPT1914" s="62">
        <v>13.28</v>
      </c>
      <c r="CPU1914" s="115">
        <v>19.489999999999998</v>
      </c>
      <c r="CPV1914" s="56">
        <v>18.98</v>
      </c>
      <c r="CPW1914" s="56">
        <v>17.5</v>
      </c>
      <c r="CPX1914" s="62">
        <v>13.28</v>
      </c>
      <c r="CPY1914" s="115">
        <v>19.489999999999998</v>
      </c>
      <c r="CPZ1914" s="56">
        <v>18.98</v>
      </c>
      <c r="CQA1914" s="56">
        <v>17.5</v>
      </c>
      <c r="CQB1914" s="62">
        <v>13.28</v>
      </c>
      <c r="CQC1914" s="115">
        <v>19.489999999999998</v>
      </c>
      <c r="CQD1914" s="56">
        <v>18.98</v>
      </c>
      <c r="CQE1914" s="56">
        <v>17.5</v>
      </c>
      <c r="CQF1914" s="62">
        <v>13.28</v>
      </c>
      <c r="CQG1914" s="115">
        <v>19.489999999999998</v>
      </c>
      <c r="CQH1914" s="56">
        <v>18.98</v>
      </c>
      <c r="CQI1914" s="56">
        <v>17.5</v>
      </c>
      <c r="CQJ1914" s="62">
        <v>13.28</v>
      </c>
      <c r="CQK1914" s="115">
        <v>19.489999999999998</v>
      </c>
      <c r="CQL1914" s="56">
        <v>18.98</v>
      </c>
      <c r="CQM1914" s="56">
        <v>17.5</v>
      </c>
      <c r="CQN1914" s="62">
        <v>13.28</v>
      </c>
      <c r="CQO1914" s="115">
        <v>19.489999999999998</v>
      </c>
      <c r="CQP1914" s="56">
        <v>18.98</v>
      </c>
      <c r="CQQ1914" s="56">
        <v>17.5</v>
      </c>
      <c r="CQR1914" s="62">
        <v>13.28</v>
      </c>
      <c r="CQS1914" s="115">
        <v>19.489999999999998</v>
      </c>
      <c r="CQT1914" s="56">
        <v>18.98</v>
      </c>
      <c r="CQU1914" s="56">
        <v>17.5</v>
      </c>
      <c r="CQV1914" s="62">
        <v>13.28</v>
      </c>
      <c r="CQW1914" s="115">
        <v>19.489999999999998</v>
      </c>
      <c r="CQX1914" s="56">
        <v>18.98</v>
      </c>
      <c r="CQY1914" s="56">
        <v>17.5</v>
      </c>
      <c r="CQZ1914" s="62">
        <v>13.28</v>
      </c>
      <c r="CRA1914" s="115">
        <v>19.489999999999998</v>
      </c>
      <c r="CRB1914" s="56">
        <v>18.98</v>
      </c>
      <c r="CRC1914" s="56">
        <v>17.5</v>
      </c>
      <c r="CRD1914" s="62">
        <v>13.28</v>
      </c>
      <c r="CRE1914" s="115">
        <v>19.489999999999998</v>
      </c>
      <c r="CRF1914" s="56">
        <v>18.98</v>
      </c>
      <c r="CRG1914" s="56">
        <v>17.5</v>
      </c>
      <c r="CRH1914" s="62">
        <v>13.28</v>
      </c>
      <c r="CRI1914" s="115">
        <v>19.489999999999998</v>
      </c>
      <c r="CRJ1914" s="56">
        <v>18.98</v>
      </c>
      <c r="CRK1914" s="56">
        <v>17.5</v>
      </c>
      <c r="CRL1914" s="62">
        <v>13.28</v>
      </c>
      <c r="CRM1914" s="115">
        <v>19.489999999999998</v>
      </c>
      <c r="CRN1914" s="56">
        <v>18.98</v>
      </c>
      <c r="CRO1914" s="56">
        <v>17.5</v>
      </c>
      <c r="CRP1914" s="62">
        <v>13.28</v>
      </c>
      <c r="CRQ1914" s="115">
        <v>19.489999999999998</v>
      </c>
      <c r="CRR1914" s="56">
        <v>18.98</v>
      </c>
      <c r="CRS1914" s="56">
        <v>17.5</v>
      </c>
      <c r="CRT1914" s="62">
        <v>13.28</v>
      </c>
      <c r="CRU1914" s="115">
        <v>19.489999999999998</v>
      </c>
      <c r="CRV1914" s="56">
        <v>18.98</v>
      </c>
      <c r="CRW1914" s="56">
        <v>17.5</v>
      </c>
      <c r="CRX1914" s="62">
        <v>13.28</v>
      </c>
      <c r="CRY1914" s="115">
        <v>19.489999999999998</v>
      </c>
      <c r="CRZ1914" s="56">
        <v>18.98</v>
      </c>
      <c r="CSA1914" s="56">
        <v>17.5</v>
      </c>
      <c r="CSB1914" s="62">
        <v>13.28</v>
      </c>
      <c r="CSC1914" s="115">
        <v>19.489999999999998</v>
      </c>
      <c r="CSD1914" s="56">
        <v>18.98</v>
      </c>
      <c r="CSE1914" s="56">
        <v>17.5</v>
      </c>
      <c r="CSF1914" s="62">
        <v>13.28</v>
      </c>
      <c r="CSG1914" s="115">
        <v>19.489999999999998</v>
      </c>
      <c r="CSH1914" s="56">
        <v>18.98</v>
      </c>
      <c r="CSI1914" s="56">
        <v>17.5</v>
      </c>
      <c r="CSJ1914" s="62">
        <v>13.28</v>
      </c>
      <c r="CSK1914" s="115">
        <v>19.489999999999998</v>
      </c>
      <c r="CSL1914" s="56">
        <v>18.98</v>
      </c>
      <c r="CSM1914" s="56">
        <v>17.5</v>
      </c>
      <c r="CSN1914" s="62">
        <v>13.28</v>
      </c>
      <c r="CSO1914" s="115">
        <v>19.489999999999998</v>
      </c>
      <c r="CSP1914" s="56">
        <v>18.98</v>
      </c>
      <c r="CSQ1914" s="56">
        <v>17.5</v>
      </c>
      <c r="CSR1914" s="62">
        <v>13.28</v>
      </c>
      <c r="CSS1914" s="115">
        <v>19.489999999999998</v>
      </c>
      <c r="CST1914" s="56">
        <v>18.98</v>
      </c>
      <c r="CSU1914" s="56">
        <v>17.5</v>
      </c>
      <c r="CSV1914" s="62">
        <v>13.28</v>
      </c>
      <c r="CSW1914" s="115">
        <v>19.489999999999998</v>
      </c>
      <c r="CSX1914" s="56">
        <v>18.98</v>
      </c>
      <c r="CSY1914" s="56">
        <v>17.5</v>
      </c>
      <c r="CSZ1914" s="62">
        <v>13.28</v>
      </c>
      <c r="CTA1914" s="115">
        <v>19.489999999999998</v>
      </c>
      <c r="CTB1914" s="56">
        <v>18.98</v>
      </c>
      <c r="CTC1914" s="56">
        <v>17.5</v>
      </c>
      <c r="CTD1914" s="62">
        <v>13.28</v>
      </c>
      <c r="CTE1914" s="115">
        <v>19.489999999999998</v>
      </c>
      <c r="CTF1914" s="56">
        <v>18.98</v>
      </c>
      <c r="CTG1914" s="56">
        <v>17.5</v>
      </c>
      <c r="CTH1914" s="62">
        <v>13.28</v>
      </c>
      <c r="CTI1914" s="115">
        <v>19.489999999999998</v>
      </c>
      <c r="CTJ1914" s="56">
        <v>18.98</v>
      </c>
      <c r="CTK1914" s="56">
        <v>17.5</v>
      </c>
      <c r="CTL1914" s="62">
        <v>13.28</v>
      </c>
      <c r="CTM1914" s="115">
        <v>19.489999999999998</v>
      </c>
      <c r="CTN1914" s="56">
        <v>18.98</v>
      </c>
      <c r="CTO1914" s="56">
        <v>17.5</v>
      </c>
      <c r="CTP1914" s="62">
        <v>13.28</v>
      </c>
      <c r="CTQ1914" s="115">
        <v>19.489999999999998</v>
      </c>
      <c r="CTR1914" s="56">
        <v>18.98</v>
      </c>
      <c r="CTS1914" s="56">
        <v>17.5</v>
      </c>
      <c r="CTT1914" s="62">
        <v>13.28</v>
      </c>
      <c r="CTU1914" s="115">
        <v>19.489999999999998</v>
      </c>
      <c r="CTV1914" s="56">
        <v>18.98</v>
      </c>
      <c r="CTW1914" s="56">
        <v>17.5</v>
      </c>
      <c r="CTX1914" s="62">
        <v>13.28</v>
      </c>
      <c r="CTY1914" s="115">
        <v>19.489999999999998</v>
      </c>
      <c r="CTZ1914" s="56">
        <v>18.98</v>
      </c>
      <c r="CUA1914" s="56">
        <v>17.5</v>
      </c>
      <c r="CUB1914" s="62">
        <v>13.28</v>
      </c>
      <c r="CUC1914" s="115">
        <v>19.489999999999998</v>
      </c>
      <c r="CUD1914" s="56">
        <v>18.98</v>
      </c>
      <c r="CUE1914" s="56">
        <v>17.5</v>
      </c>
      <c r="CUF1914" s="62">
        <v>13.28</v>
      </c>
      <c r="CUG1914" s="115">
        <v>19.489999999999998</v>
      </c>
      <c r="CUH1914" s="56">
        <v>18.98</v>
      </c>
      <c r="CUI1914" s="56">
        <v>17.5</v>
      </c>
      <c r="CUJ1914" s="62">
        <v>13.28</v>
      </c>
      <c r="CUK1914" s="115">
        <v>19.489999999999998</v>
      </c>
      <c r="CUL1914" s="56">
        <v>18.98</v>
      </c>
      <c r="CUM1914" s="56">
        <v>17.5</v>
      </c>
      <c r="CUN1914" s="62">
        <v>13.28</v>
      </c>
      <c r="CUO1914" s="115">
        <v>19.489999999999998</v>
      </c>
      <c r="CUP1914" s="56">
        <v>18.98</v>
      </c>
      <c r="CUQ1914" s="56">
        <v>17.5</v>
      </c>
      <c r="CUR1914" s="62">
        <v>13.28</v>
      </c>
      <c r="CUS1914" s="115">
        <v>19.489999999999998</v>
      </c>
      <c r="CUT1914" s="56">
        <v>18.98</v>
      </c>
      <c r="CUU1914" s="56">
        <v>17.5</v>
      </c>
      <c r="CUV1914" s="62">
        <v>13.28</v>
      </c>
      <c r="CUW1914" s="115">
        <v>19.489999999999998</v>
      </c>
      <c r="CUX1914" s="56">
        <v>18.98</v>
      </c>
      <c r="CUY1914" s="56">
        <v>17.5</v>
      </c>
      <c r="CUZ1914" s="62">
        <v>13.28</v>
      </c>
      <c r="CVA1914" s="115">
        <v>19.489999999999998</v>
      </c>
      <c r="CVB1914" s="56">
        <v>18.98</v>
      </c>
      <c r="CVC1914" s="56">
        <v>17.5</v>
      </c>
      <c r="CVD1914" s="62">
        <v>13.28</v>
      </c>
      <c r="CVE1914" s="115">
        <v>19.489999999999998</v>
      </c>
      <c r="CVF1914" s="56">
        <v>18.98</v>
      </c>
      <c r="CVG1914" s="56">
        <v>17.5</v>
      </c>
      <c r="CVH1914" s="62">
        <v>13.28</v>
      </c>
      <c r="CVI1914" s="115">
        <v>19.489999999999998</v>
      </c>
      <c r="CVJ1914" s="56">
        <v>18.98</v>
      </c>
      <c r="CVK1914" s="56">
        <v>17.5</v>
      </c>
      <c r="CVL1914" s="62">
        <v>13.28</v>
      </c>
      <c r="CVM1914" s="115">
        <v>19.489999999999998</v>
      </c>
      <c r="CVN1914" s="56">
        <v>18.98</v>
      </c>
      <c r="CVO1914" s="56">
        <v>17.5</v>
      </c>
      <c r="CVP1914" s="62">
        <v>13.28</v>
      </c>
      <c r="CVQ1914" s="115">
        <v>19.489999999999998</v>
      </c>
      <c r="CVR1914" s="56">
        <v>18.98</v>
      </c>
      <c r="CVS1914" s="56">
        <v>17.5</v>
      </c>
      <c r="CVT1914" s="62">
        <v>13.28</v>
      </c>
      <c r="CVU1914" s="115">
        <v>19.489999999999998</v>
      </c>
      <c r="CVV1914" s="56">
        <v>18.98</v>
      </c>
      <c r="CVW1914" s="56">
        <v>17.5</v>
      </c>
      <c r="CVX1914" s="62">
        <v>13.28</v>
      </c>
      <c r="CVY1914" s="115">
        <v>19.489999999999998</v>
      </c>
      <c r="CVZ1914" s="56">
        <v>18.98</v>
      </c>
      <c r="CWA1914" s="56">
        <v>17.5</v>
      </c>
      <c r="CWB1914" s="62">
        <v>13.28</v>
      </c>
      <c r="CWC1914" s="115">
        <v>19.489999999999998</v>
      </c>
      <c r="CWD1914" s="56">
        <v>18.98</v>
      </c>
      <c r="CWE1914" s="56">
        <v>17.5</v>
      </c>
      <c r="CWF1914" s="62">
        <v>13.28</v>
      </c>
      <c r="CWG1914" s="115">
        <v>19.489999999999998</v>
      </c>
      <c r="CWH1914" s="56">
        <v>18.98</v>
      </c>
      <c r="CWI1914" s="56">
        <v>17.5</v>
      </c>
      <c r="CWJ1914" s="62">
        <v>13.28</v>
      </c>
      <c r="CWK1914" s="115">
        <v>19.489999999999998</v>
      </c>
      <c r="CWL1914" s="56">
        <v>18.98</v>
      </c>
      <c r="CWM1914" s="56">
        <v>17.5</v>
      </c>
      <c r="CWN1914" s="62">
        <v>13.28</v>
      </c>
      <c r="CWO1914" s="115">
        <v>19.489999999999998</v>
      </c>
      <c r="CWP1914" s="56">
        <v>18.98</v>
      </c>
      <c r="CWQ1914" s="56">
        <v>17.5</v>
      </c>
      <c r="CWR1914" s="62">
        <v>13.28</v>
      </c>
      <c r="CWS1914" s="115">
        <v>19.489999999999998</v>
      </c>
      <c r="CWT1914" s="56">
        <v>18.98</v>
      </c>
      <c r="CWU1914" s="56">
        <v>17.5</v>
      </c>
      <c r="CWV1914" s="62">
        <v>13.28</v>
      </c>
      <c r="CWW1914" s="115">
        <v>19.489999999999998</v>
      </c>
      <c r="CWX1914" s="56">
        <v>18.98</v>
      </c>
      <c r="CWY1914" s="56">
        <v>17.5</v>
      </c>
      <c r="CWZ1914" s="62">
        <v>13.28</v>
      </c>
      <c r="CXA1914" s="115">
        <v>19.489999999999998</v>
      </c>
      <c r="CXB1914" s="56">
        <v>18.98</v>
      </c>
      <c r="CXC1914" s="56">
        <v>17.5</v>
      </c>
      <c r="CXD1914" s="62">
        <v>13.28</v>
      </c>
      <c r="CXE1914" s="115">
        <v>19.489999999999998</v>
      </c>
      <c r="CXF1914" s="56">
        <v>18.98</v>
      </c>
      <c r="CXG1914" s="56">
        <v>17.5</v>
      </c>
      <c r="CXH1914" s="62">
        <v>13.28</v>
      </c>
      <c r="CXI1914" s="115">
        <v>19.489999999999998</v>
      </c>
      <c r="CXJ1914" s="56">
        <v>18.98</v>
      </c>
      <c r="CXK1914" s="56">
        <v>17.5</v>
      </c>
      <c r="CXL1914" s="62">
        <v>13.28</v>
      </c>
      <c r="CXM1914" s="115">
        <v>19.489999999999998</v>
      </c>
      <c r="CXN1914" s="56">
        <v>18.98</v>
      </c>
      <c r="CXO1914" s="56">
        <v>17.5</v>
      </c>
      <c r="CXP1914" s="62">
        <v>13.28</v>
      </c>
      <c r="CXQ1914" s="115">
        <v>19.489999999999998</v>
      </c>
      <c r="CXR1914" s="56">
        <v>18.98</v>
      </c>
      <c r="CXS1914" s="56">
        <v>17.5</v>
      </c>
      <c r="CXT1914" s="62">
        <v>13.28</v>
      </c>
      <c r="CXU1914" s="115">
        <v>19.489999999999998</v>
      </c>
      <c r="CXV1914" s="56">
        <v>18.98</v>
      </c>
      <c r="CXW1914" s="56">
        <v>17.5</v>
      </c>
      <c r="CXX1914" s="62">
        <v>13.28</v>
      </c>
      <c r="CXY1914" s="115">
        <v>19.489999999999998</v>
      </c>
      <c r="CXZ1914" s="56">
        <v>18.98</v>
      </c>
      <c r="CYA1914" s="56">
        <v>17.5</v>
      </c>
      <c r="CYB1914" s="62">
        <v>13.28</v>
      </c>
      <c r="CYC1914" s="115">
        <v>19.489999999999998</v>
      </c>
      <c r="CYD1914" s="56">
        <v>18.98</v>
      </c>
      <c r="CYE1914" s="56">
        <v>17.5</v>
      </c>
      <c r="CYF1914" s="62">
        <v>13.28</v>
      </c>
      <c r="CYG1914" s="115">
        <v>19.489999999999998</v>
      </c>
      <c r="CYH1914" s="56">
        <v>18.98</v>
      </c>
      <c r="CYI1914" s="56">
        <v>17.5</v>
      </c>
      <c r="CYJ1914" s="62">
        <v>13.28</v>
      </c>
      <c r="CYK1914" s="115">
        <v>19.489999999999998</v>
      </c>
      <c r="CYL1914" s="56">
        <v>18.98</v>
      </c>
      <c r="CYM1914" s="56">
        <v>17.5</v>
      </c>
      <c r="CYN1914" s="62">
        <v>13.28</v>
      </c>
      <c r="CYO1914" s="115">
        <v>19.489999999999998</v>
      </c>
      <c r="CYP1914" s="56">
        <v>18.98</v>
      </c>
      <c r="CYQ1914" s="56">
        <v>17.5</v>
      </c>
      <c r="CYR1914" s="62">
        <v>13.28</v>
      </c>
      <c r="CYS1914" s="115">
        <v>19.489999999999998</v>
      </c>
      <c r="CYT1914" s="56">
        <v>18.98</v>
      </c>
      <c r="CYU1914" s="56">
        <v>17.5</v>
      </c>
      <c r="CYV1914" s="62">
        <v>13.28</v>
      </c>
      <c r="CYW1914" s="115">
        <v>19.489999999999998</v>
      </c>
      <c r="CYX1914" s="56">
        <v>18.98</v>
      </c>
      <c r="CYY1914" s="56">
        <v>17.5</v>
      </c>
      <c r="CYZ1914" s="62">
        <v>13.28</v>
      </c>
      <c r="CZA1914" s="115">
        <v>19.489999999999998</v>
      </c>
      <c r="CZB1914" s="56">
        <v>18.98</v>
      </c>
      <c r="CZC1914" s="56">
        <v>17.5</v>
      </c>
      <c r="CZD1914" s="62">
        <v>13.28</v>
      </c>
      <c r="CZE1914" s="115">
        <v>19.489999999999998</v>
      </c>
      <c r="CZF1914" s="56">
        <v>18.98</v>
      </c>
      <c r="CZG1914" s="56">
        <v>17.5</v>
      </c>
      <c r="CZH1914" s="62">
        <v>13.28</v>
      </c>
      <c r="CZI1914" s="115">
        <v>19.489999999999998</v>
      </c>
      <c r="CZJ1914" s="56">
        <v>18.98</v>
      </c>
      <c r="CZK1914" s="56">
        <v>17.5</v>
      </c>
      <c r="CZL1914" s="62">
        <v>13.28</v>
      </c>
      <c r="CZM1914" s="115">
        <v>19.489999999999998</v>
      </c>
      <c r="CZN1914" s="56">
        <v>18.98</v>
      </c>
      <c r="CZO1914" s="56">
        <v>17.5</v>
      </c>
      <c r="CZP1914" s="62">
        <v>13.28</v>
      </c>
      <c r="CZQ1914" s="115">
        <v>19.489999999999998</v>
      </c>
      <c r="CZR1914" s="56">
        <v>18.98</v>
      </c>
      <c r="CZS1914" s="56">
        <v>17.5</v>
      </c>
      <c r="CZT1914" s="62">
        <v>13.28</v>
      </c>
      <c r="CZU1914" s="115">
        <v>19.489999999999998</v>
      </c>
      <c r="CZV1914" s="56">
        <v>18.98</v>
      </c>
      <c r="CZW1914" s="56">
        <v>17.5</v>
      </c>
      <c r="CZX1914" s="62">
        <v>13.28</v>
      </c>
      <c r="CZY1914" s="115">
        <v>19.489999999999998</v>
      </c>
      <c r="CZZ1914" s="56">
        <v>18.98</v>
      </c>
      <c r="DAA1914" s="56">
        <v>17.5</v>
      </c>
      <c r="DAB1914" s="62">
        <v>13.28</v>
      </c>
      <c r="DAC1914" s="115">
        <v>19.489999999999998</v>
      </c>
      <c r="DAD1914" s="56">
        <v>18.98</v>
      </c>
      <c r="DAE1914" s="56">
        <v>17.5</v>
      </c>
      <c r="DAF1914" s="62">
        <v>13.28</v>
      </c>
      <c r="DAG1914" s="115">
        <v>19.489999999999998</v>
      </c>
      <c r="DAH1914" s="56">
        <v>18.98</v>
      </c>
      <c r="DAI1914" s="56">
        <v>17.5</v>
      </c>
      <c r="DAJ1914" s="62">
        <v>13.28</v>
      </c>
      <c r="DAK1914" s="115">
        <v>19.489999999999998</v>
      </c>
      <c r="DAL1914" s="56">
        <v>18.98</v>
      </c>
      <c r="DAM1914" s="56">
        <v>17.5</v>
      </c>
      <c r="DAN1914" s="62">
        <v>13.28</v>
      </c>
      <c r="DAO1914" s="115">
        <v>19.489999999999998</v>
      </c>
      <c r="DAP1914" s="56">
        <v>18.98</v>
      </c>
      <c r="DAQ1914" s="56">
        <v>17.5</v>
      </c>
      <c r="DAR1914" s="62">
        <v>13.28</v>
      </c>
      <c r="DAS1914" s="115">
        <v>19.489999999999998</v>
      </c>
      <c r="DAT1914" s="56">
        <v>18.98</v>
      </c>
      <c r="DAU1914" s="56">
        <v>17.5</v>
      </c>
      <c r="DAV1914" s="62">
        <v>13.28</v>
      </c>
      <c r="DAW1914" s="115">
        <v>19.489999999999998</v>
      </c>
      <c r="DAX1914" s="56">
        <v>18.98</v>
      </c>
      <c r="DAY1914" s="56">
        <v>17.5</v>
      </c>
      <c r="DAZ1914" s="62">
        <v>13.28</v>
      </c>
      <c r="DBA1914" s="115">
        <v>19.489999999999998</v>
      </c>
      <c r="DBB1914" s="56">
        <v>18.98</v>
      </c>
      <c r="DBC1914" s="56">
        <v>17.5</v>
      </c>
      <c r="DBD1914" s="62">
        <v>13.28</v>
      </c>
      <c r="DBE1914" s="115">
        <v>19.489999999999998</v>
      </c>
      <c r="DBF1914" s="56">
        <v>18.98</v>
      </c>
      <c r="DBG1914" s="56">
        <v>17.5</v>
      </c>
      <c r="DBH1914" s="62">
        <v>13.28</v>
      </c>
      <c r="DBI1914" s="115">
        <v>19.489999999999998</v>
      </c>
      <c r="DBJ1914" s="56">
        <v>18.98</v>
      </c>
      <c r="DBK1914" s="56">
        <v>17.5</v>
      </c>
      <c r="DBL1914" s="62">
        <v>13.28</v>
      </c>
      <c r="DBM1914" s="115">
        <v>19.489999999999998</v>
      </c>
      <c r="DBN1914" s="56">
        <v>18.98</v>
      </c>
      <c r="DBO1914" s="56">
        <v>17.5</v>
      </c>
      <c r="DBP1914" s="62">
        <v>13.28</v>
      </c>
      <c r="DBQ1914" s="115">
        <v>19.489999999999998</v>
      </c>
      <c r="DBR1914" s="56">
        <v>18.98</v>
      </c>
      <c r="DBS1914" s="56">
        <v>17.5</v>
      </c>
      <c r="DBT1914" s="62">
        <v>13.28</v>
      </c>
      <c r="DBU1914" s="115">
        <v>19.489999999999998</v>
      </c>
      <c r="DBV1914" s="56">
        <v>18.98</v>
      </c>
      <c r="DBW1914" s="56">
        <v>17.5</v>
      </c>
      <c r="DBX1914" s="62">
        <v>13.28</v>
      </c>
      <c r="DBY1914" s="115">
        <v>19.489999999999998</v>
      </c>
      <c r="DBZ1914" s="56">
        <v>18.98</v>
      </c>
      <c r="DCA1914" s="56">
        <v>17.5</v>
      </c>
      <c r="DCB1914" s="62">
        <v>13.28</v>
      </c>
      <c r="DCC1914" s="115">
        <v>19.489999999999998</v>
      </c>
      <c r="DCD1914" s="56">
        <v>18.98</v>
      </c>
      <c r="DCE1914" s="56">
        <v>17.5</v>
      </c>
      <c r="DCF1914" s="62">
        <v>13.28</v>
      </c>
      <c r="DCG1914" s="115">
        <v>19.489999999999998</v>
      </c>
      <c r="DCH1914" s="56">
        <v>18.98</v>
      </c>
      <c r="DCI1914" s="56">
        <v>17.5</v>
      </c>
      <c r="DCJ1914" s="62">
        <v>13.28</v>
      </c>
      <c r="DCK1914" s="115">
        <v>19.489999999999998</v>
      </c>
      <c r="DCL1914" s="56">
        <v>18.98</v>
      </c>
      <c r="DCM1914" s="56">
        <v>17.5</v>
      </c>
      <c r="DCN1914" s="62">
        <v>13.28</v>
      </c>
      <c r="DCO1914" s="115">
        <v>19.489999999999998</v>
      </c>
      <c r="DCP1914" s="56">
        <v>18.98</v>
      </c>
      <c r="DCQ1914" s="56">
        <v>17.5</v>
      </c>
      <c r="DCR1914" s="62">
        <v>13.28</v>
      </c>
      <c r="DCS1914" s="115">
        <v>19.489999999999998</v>
      </c>
      <c r="DCT1914" s="56">
        <v>18.98</v>
      </c>
      <c r="DCU1914" s="56">
        <v>17.5</v>
      </c>
      <c r="DCV1914" s="62">
        <v>13.28</v>
      </c>
      <c r="DCW1914" s="115">
        <v>19.489999999999998</v>
      </c>
      <c r="DCX1914" s="56">
        <v>18.98</v>
      </c>
      <c r="DCY1914" s="56">
        <v>17.5</v>
      </c>
      <c r="DCZ1914" s="62">
        <v>13.28</v>
      </c>
      <c r="DDA1914" s="115">
        <v>19.489999999999998</v>
      </c>
      <c r="DDB1914" s="56">
        <v>18.98</v>
      </c>
      <c r="DDC1914" s="56">
        <v>17.5</v>
      </c>
      <c r="DDD1914" s="62">
        <v>13.28</v>
      </c>
      <c r="DDE1914" s="115">
        <v>19.489999999999998</v>
      </c>
      <c r="DDF1914" s="56">
        <v>18.98</v>
      </c>
      <c r="DDG1914" s="56">
        <v>17.5</v>
      </c>
      <c r="DDH1914" s="62">
        <v>13.28</v>
      </c>
      <c r="DDI1914" s="115">
        <v>19.489999999999998</v>
      </c>
      <c r="DDJ1914" s="56">
        <v>18.98</v>
      </c>
      <c r="DDK1914" s="56">
        <v>17.5</v>
      </c>
      <c r="DDL1914" s="62">
        <v>13.28</v>
      </c>
      <c r="DDM1914" s="115">
        <v>19.489999999999998</v>
      </c>
      <c r="DDN1914" s="56">
        <v>18.98</v>
      </c>
      <c r="DDO1914" s="56">
        <v>17.5</v>
      </c>
      <c r="DDP1914" s="62">
        <v>13.28</v>
      </c>
      <c r="DDQ1914" s="115">
        <v>19.489999999999998</v>
      </c>
      <c r="DDR1914" s="56">
        <v>18.98</v>
      </c>
      <c r="DDS1914" s="56">
        <v>17.5</v>
      </c>
      <c r="DDT1914" s="62">
        <v>13.28</v>
      </c>
      <c r="DDU1914" s="115">
        <v>19.489999999999998</v>
      </c>
      <c r="DDV1914" s="56">
        <v>18.98</v>
      </c>
      <c r="DDW1914" s="56">
        <v>17.5</v>
      </c>
      <c r="DDX1914" s="62">
        <v>13.28</v>
      </c>
      <c r="DDY1914" s="115">
        <v>19.489999999999998</v>
      </c>
      <c r="DDZ1914" s="56">
        <v>18.98</v>
      </c>
      <c r="DEA1914" s="56">
        <v>17.5</v>
      </c>
      <c r="DEB1914" s="62">
        <v>13.28</v>
      </c>
      <c r="DEC1914" s="115">
        <v>19.489999999999998</v>
      </c>
      <c r="DED1914" s="56">
        <v>18.98</v>
      </c>
      <c r="DEE1914" s="56">
        <v>17.5</v>
      </c>
      <c r="DEF1914" s="62">
        <v>13.28</v>
      </c>
      <c r="DEG1914" s="115">
        <v>19.489999999999998</v>
      </c>
      <c r="DEH1914" s="56">
        <v>18.98</v>
      </c>
      <c r="DEI1914" s="56">
        <v>17.5</v>
      </c>
      <c r="DEJ1914" s="62">
        <v>13.28</v>
      </c>
      <c r="DEK1914" s="115">
        <v>19.489999999999998</v>
      </c>
      <c r="DEL1914" s="56">
        <v>18.98</v>
      </c>
      <c r="DEM1914" s="56">
        <v>17.5</v>
      </c>
      <c r="DEN1914" s="62">
        <v>13.28</v>
      </c>
      <c r="DEO1914" s="115">
        <v>19.489999999999998</v>
      </c>
      <c r="DEP1914" s="56">
        <v>18.98</v>
      </c>
      <c r="DEQ1914" s="56">
        <v>17.5</v>
      </c>
      <c r="DER1914" s="62">
        <v>13.28</v>
      </c>
      <c r="DES1914" s="115">
        <v>19.489999999999998</v>
      </c>
      <c r="DET1914" s="56">
        <v>18.98</v>
      </c>
      <c r="DEU1914" s="56">
        <v>17.5</v>
      </c>
      <c r="DEV1914" s="62">
        <v>13.28</v>
      </c>
      <c r="DEW1914" s="115">
        <v>19.489999999999998</v>
      </c>
      <c r="DEX1914" s="56">
        <v>18.98</v>
      </c>
      <c r="DEY1914" s="56">
        <v>17.5</v>
      </c>
      <c r="DEZ1914" s="62">
        <v>13.28</v>
      </c>
      <c r="DFA1914" s="115">
        <v>19.489999999999998</v>
      </c>
      <c r="DFB1914" s="56">
        <v>18.98</v>
      </c>
      <c r="DFC1914" s="56">
        <v>17.5</v>
      </c>
      <c r="DFD1914" s="62">
        <v>13.28</v>
      </c>
      <c r="DFE1914" s="115">
        <v>19.489999999999998</v>
      </c>
      <c r="DFF1914" s="56">
        <v>18.98</v>
      </c>
      <c r="DFG1914" s="56">
        <v>17.5</v>
      </c>
      <c r="DFH1914" s="62">
        <v>13.28</v>
      </c>
      <c r="DFI1914" s="115">
        <v>19.489999999999998</v>
      </c>
      <c r="DFJ1914" s="56">
        <v>18.98</v>
      </c>
      <c r="DFK1914" s="56">
        <v>17.5</v>
      </c>
      <c r="DFL1914" s="62">
        <v>13.28</v>
      </c>
      <c r="DFM1914" s="115">
        <v>19.489999999999998</v>
      </c>
      <c r="DFN1914" s="56">
        <v>18.98</v>
      </c>
      <c r="DFO1914" s="56">
        <v>17.5</v>
      </c>
      <c r="DFP1914" s="62">
        <v>13.28</v>
      </c>
      <c r="DFQ1914" s="115">
        <v>19.489999999999998</v>
      </c>
      <c r="DFR1914" s="56">
        <v>18.98</v>
      </c>
      <c r="DFS1914" s="56">
        <v>17.5</v>
      </c>
      <c r="DFT1914" s="62">
        <v>13.28</v>
      </c>
      <c r="DFU1914" s="115">
        <v>19.489999999999998</v>
      </c>
      <c r="DFV1914" s="56">
        <v>18.98</v>
      </c>
      <c r="DFW1914" s="56">
        <v>17.5</v>
      </c>
      <c r="DFX1914" s="62">
        <v>13.28</v>
      </c>
      <c r="DFY1914" s="115">
        <v>19.489999999999998</v>
      </c>
      <c r="DFZ1914" s="56">
        <v>18.98</v>
      </c>
      <c r="DGA1914" s="56">
        <v>17.5</v>
      </c>
      <c r="DGB1914" s="62">
        <v>13.28</v>
      </c>
      <c r="DGC1914" s="115">
        <v>19.489999999999998</v>
      </c>
      <c r="DGD1914" s="56">
        <v>18.98</v>
      </c>
      <c r="DGE1914" s="56">
        <v>17.5</v>
      </c>
      <c r="DGF1914" s="62">
        <v>13.28</v>
      </c>
      <c r="DGG1914" s="115">
        <v>19.489999999999998</v>
      </c>
      <c r="DGH1914" s="56">
        <v>18.98</v>
      </c>
      <c r="DGI1914" s="56">
        <v>17.5</v>
      </c>
      <c r="DGJ1914" s="62">
        <v>13.28</v>
      </c>
      <c r="DGK1914" s="115">
        <v>19.489999999999998</v>
      </c>
      <c r="DGL1914" s="56">
        <v>18.98</v>
      </c>
      <c r="DGM1914" s="56">
        <v>17.5</v>
      </c>
      <c r="DGN1914" s="62">
        <v>13.28</v>
      </c>
      <c r="DGO1914" s="115">
        <v>19.489999999999998</v>
      </c>
      <c r="DGP1914" s="56">
        <v>18.98</v>
      </c>
      <c r="DGQ1914" s="56">
        <v>17.5</v>
      </c>
      <c r="DGR1914" s="62">
        <v>13.28</v>
      </c>
      <c r="DGS1914" s="115">
        <v>19.489999999999998</v>
      </c>
      <c r="DGT1914" s="56">
        <v>18.98</v>
      </c>
      <c r="DGU1914" s="56">
        <v>17.5</v>
      </c>
      <c r="DGV1914" s="62">
        <v>13.28</v>
      </c>
      <c r="DGW1914" s="115">
        <v>19.489999999999998</v>
      </c>
      <c r="DGX1914" s="56">
        <v>18.98</v>
      </c>
      <c r="DGY1914" s="56">
        <v>17.5</v>
      </c>
      <c r="DGZ1914" s="62">
        <v>13.28</v>
      </c>
      <c r="DHA1914" s="115">
        <v>19.489999999999998</v>
      </c>
      <c r="DHB1914" s="56">
        <v>18.98</v>
      </c>
      <c r="DHC1914" s="56">
        <v>17.5</v>
      </c>
      <c r="DHD1914" s="62">
        <v>13.28</v>
      </c>
      <c r="DHE1914" s="115">
        <v>19.489999999999998</v>
      </c>
      <c r="DHF1914" s="56">
        <v>18.98</v>
      </c>
      <c r="DHG1914" s="56">
        <v>17.5</v>
      </c>
      <c r="DHH1914" s="62">
        <v>13.28</v>
      </c>
      <c r="DHI1914" s="115">
        <v>19.489999999999998</v>
      </c>
      <c r="DHJ1914" s="56">
        <v>18.98</v>
      </c>
      <c r="DHK1914" s="56">
        <v>17.5</v>
      </c>
      <c r="DHL1914" s="62">
        <v>13.28</v>
      </c>
      <c r="DHM1914" s="115">
        <v>19.489999999999998</v>
      </c>
      <c r="DHN1914" s="56">
        <v>18.98</v>
      </c>
      <c r="DHO1914" s="56">
        <v>17.5</v>
      </c>
      <c r="DHP1914" s="62">
        <v>13.28</v>
      </c>
      <c r="DHQ1914" s="115">
        <v>19.489999999999998</v>
      </c>
      <c r="DHR1914" s="56">
        <v>18.98</v>
      </c>
      <c r="DHS1914" s="56">
        <v>17.5</v>
      </c>
      <c r="DHT1914" s="62">
        <v>13.28</v>
      </c>
      <c r="DHU1914" s="115">
        <v>19.489999999999998</v>
      </c>
      <c r="DHV1914" s="56">
        <v>18.98</v>
      </c>
      <c r="DHW1914" s="56">
        <v>17.5</v>
      </c>
      <c r="DHX1914" s="62">
        <v>13.28</v>
      </c>
      <c r="DHY1914" s="115">
        <v>19.489999999999998</v>
      </c>
      <c r="DHZ1914" s="56">
        <v>18.98</v>
      </c>
      <c r="DIA1914" s="56">
        <v>17.5</v>
      </c>
      <c r="DIB1914" s="62">
        <v>13.28</v>
      </c>
      <c r="DIC1914" s="115">
        <v>19.489999999999998</v>
      </c>
      <c r="DID1914" s="56">
        <v>18.98</v>
      </c>
      <c r="DIE1914" s="56">
        <v>17.5</v>
      </c>
      <c r="DIF1914" s="62">
        <v>13.28</v>
      </c>
      <c r="DIG1914" s="115">
        <v>19.489999999999998</v>
      </c>
      <c r="DIH1914" s="56">
        <v>18.98</v>
      </c>
      <c r="DII1914" s="56">
        <v>17.5</v>
      </c>
      <c r="DIJ1914" s="62">
        <v>13.28</v>
      </c>
      <c r="DIK1914" s="115">
        <v>19.489999999999998</v>
      </c>
      <c r="DIL1914" s="56">
        <v>18.98</v>
      </c>
      <c r="DIM1914" s="56">
        <v>17.5</v>
      </c>
      <c r="DIN1914" s="62">
        <v>13.28</v>
      </c>
      <c r="DIO1914" s="115">
        <v>19.489999999999998</v>
      </c>
      <c r="DIP1914" s="56">
        <v>18.98</v>
      </c>
      <c r="DIQ1914" s="56">
        <v>17.5</v>
      </c>
      <c r="DIR1914" s="62">
        <v>13.28</v>
      </c>
      <c r="DIS1914" s="115">
        <v>19.489999999999998</v>
      </c>
      <c r="DIT1914" s="56">
        <v>18.98</v>
      </c>
      <c r="DIU1914" s="56">
        <v>17.5</v>
      </c>
      <c r="DIV1914" s="62">
        <v>13.28</v>
      </c>
      <c r="DIW1914" s="115">
        <v>19.489999999999998</v>
      </c>
      <c r="DIX1914" s="56">
        <v>18.98</v>
      </c>
      <c r="DIY1914" s="56">
        <v>17.5</v>
      </c>
      <c r="DIZ1914" s="62">
        <v>13.28</v>
      </c>
      <c r="DJA1914" s="115">
        <v>19.489999999999998</v>
      </c>
      <c r="DJB1914" s="56">
        <v>18.98</v>
      </c>
      <c r="DJC1914" s="56">
        <v>17.5</v>
      </c>
      <c r="DJD1914" s="62">
        <v>13.28</v>
      </c>
      <c r="DJE1914" s="115">
        <v>19.489999999999998</v>
      </c>
      <c r="DJF1914" s="56">
        <v>18.98</v>
      </c>
      <c r="DJG1914" s="56">
        <v>17.5</v>
      </c>
      <c r="DJH1914" s="62">
        <v>13.28</v>
      </c>
      <c r="DJI1914" s="115">
        <v>19.489999999999998</v>
      </c>
      <c r="DJJ1914" s="56">
        <v>18.98</v>
      </c>
      <c r="DJK1914" s="56">
        <v>17.5</v>
      </c>
      <c r="DJL1914" s="62">
        <v>13.28</v>
      </c>
      <c r="DJM1914" s="115">
        <v>19.489999999999998</v>
      </c>
      <c r="DJN1914" s="56">
        <v>18.98</v>
      </c>
      <c r="DJO1914" s="56">
        <v>17.5</v>
      </c>
      <c r="DJP1914" s="62">
        <v>13.28</v>
      </c>
      <c r="DJQ1914" s="115">
        <v>19.489999999999998</v>
      </c>
      <c r="DJR1914" s="56">
        <v>18.98</v>
      </c>
      <c r="DJS1914" s="56">
        <v>17.5</v>
      </c>
      <c r="DJT1914" s="62">
        <v>13.28</v>
      </c>
      <c r="DJU1914" s="115">
        <v>19.489999999999998</v>
      </c>
      <c r="DJV1914" s="56">
        <v>18.98</v>
      </c>
      <c r="DJW1914" s="56">
        <v>17.5</v>
      </c>
      <c r="DJX1914" s="62">
        <v>13.28</v>
      </c>
      <c r="DJY1914" s="115">
        <v>19.489999999999998</v>
      </c>
      <c r="DJZ1914" s="56">
        <v>18.98</v>
      </c>
      <c r="DKA1914" s="56">
        <v>17.5</v>
      </c>
      <c r="DKB1914" s="62">
        <v>13.28</v>
      </c>
      <c r="DKC1914" s="115">
        <v>19.489999999999998</v>
      </c>
      <c r="DKD1914" s="56">
        <v>18.98</v>
      </c>
      <c r="DKE1914" s="56">
        <v>17.5</v>
      </c>
      <c r="DKF1914" s="62">
        <v>13.28</v>
      </c>
      <c r="DKG1914" s="115">
        <v>19.489999999999998</v>
      </c>
      <c r="DKH1914" s="56">
        <v>18.98</v>
      </c>
      <c r="DKI1914" s="56">
        <v>17.5</v>
      </c>
      <c r="DKJ1914" s="62">
        <v>13.28</v>
      </c>
      <c r="DKK1914" s="115">
        <v>19.489999999999998</v>
      </c>
      <c r="DKL1914" s="56">
        <v>18.98</v>
      </c>
      <c r="DKM1914" s="56">
        <v>17.5</v>
      </c>
      <c r="DKN1914" s="62">
        <v>13.28</v>
      </c>
      <c r="DKO1914" s="115">
        <v>19.489999999999998</v>
      </c>
      <c r="DKP1914" s="56">
        <v>18.98</v>
      </c>
      <c r="DKQ1914" s="56">
        <v>17.5</v>
      </c>
      <c r="DKR1914" s="62">
        <v>13.28</v>
      </c>
      <c r="DKS1914" s="115">
        <v>19.489999999999998</v>
      </c>
      <c r="DKT1914" s="56">
        <v>18.98</v>
      </c>
      <c r="DKU1914" s="56">
        <v>17.5</v>
      </c>
      <c r="DKV1914" s="62">
        <v>13.28</v>
      </c>
      <c r="DKW1914" s="115">
        <v>19.489999999999998</v>
      </c>
      <c r="DKX1914" s="56">
        <v>18.98</v>
      </c>
      <c r="DKY1914" s="56">
        <v>17.5</v>
      </c>
      <c r="DKZ1914" s="62">
        <v>13.28</v>
      </c>
      <c r="DLA1914" s="115">
        <v>19.489999999999998</v>
      </c>
      <c r="DLB1914" s="56">
        <v>18.98</v>
      </c>
      <c r="DLC1914" s="56">
        <v>17.5</v>
      </c>
      <c r="DLD1914" s="62">
        <v>13.28</v>
      </c>
      <c r="DLE1914" s="115">
        <v>19.489999999999998</v>
      </c>
      <c r="DLF1914" s="56">
        <v>18.98</v>
      </c>
      <c r="DLG1914" s="56">
        <v>17.5</v>
      </c>
      <c r="DLH1914" s="62">
        <v>13.28</v>
      </c>
      <c r="DLI1914" s="115">
        <v>19.489999999999998</v>
      </c>
      <c r="DLJ1914" s="56">
        <v>18.98</v>
      </c>
      <c r="DLK1914" s="56">
        <v>17.5</v>
      </c>
      <c r="DLL1914" s="62">
        <v>13.28</v>
      </c>
      <c r="DLM1914" s="115">
        <v>19.489999999999998</v>
      </c>
      <c r="DLN1914" s="56">
        <v>18.98</v>
      </c>
      <c r="DLO1914" s="56">
        <v>17.5</v>
      </c>
      <c r="DLP1914" s="62">
        <v>13.28</v>
      </c>
      <c r="DLQ1914" s="115">
        <v>19.489999999999998</v>
      </c>
      <c r="DLR1914" s="56">
        <v>18.98</v>
      </c>
      <c r="DLS1914" s="56">
        <v>17.5</v>
      </c>
      <c r="DLT1914" s="62">
        <v>13.28</v>
      </c>
      <c r="DLU1914" s="115">
        <v>19.489999999999998</v>
      </c>
      <c r="DLV1914" s="56">
        <v>18.98</v>
      </c>
      <c r="DLW1914" s="56">
        <v>17.5</v>
      </c>
      <c r="DLX1914" s="62">
        <v>13.28</v>
      </c>
      <c r="DLY1914" s="115">
        <v>19.489999999999998</v>
      </c>
      <c r="DLZ1914" s="56">
        <v>18.98</v>
      </c>
      <c r="DMA1914" s="56">
        <v>17.5</v>
      </c>
      <c r="DMB1914" s="62">
        <v>13.28</v>
      </c>
      <c r="DMC1914" s="115">
        <v>19.489999999999998</v>
      </c>
      <c r="DMD1914" s="56">
        <v>18.98</v>
      </c>
      <c r="DME1914" s="56">
        <v>17.5</v>
      </c>
      <c r="DMF1914" s="62">
        <v>13.28</v>
      </c>
      <c r="DMG1914" s="115">
        <v>19.489999999999998</v>
      </c>
      <c r="DMH1914" s="56">
        <v>18.98</v>
      </c>
      <c r="DMI1914" s="56">
        <v>17.5</v>
      </c>
      <c r="DMJ1914" s="62">
        <v>13.28</v>
      </c>
      <c r="DMK1914" s="115">
        <v>19.489999999999998</v>
      </c>
      <c r="DML1914" s="56">
        <v>18.98</v>
      </c>
      <c r="DMM1914" s="56">
        <v>17.5</v>
      </c>
      <c r="DMN1914" s="62">
        <v>13.28</v>
      </c>
      <c r="DMO1914" s="115">
        <v>19.489999999999998</v>
      </c>
      <c r="DMP1914" s="56">
        <v>18.98</v>
      </c>
      <c r="DMQ1914" s="56">
        <v>17.5</v>
      </c>
      <c r="DMR1914" s="62">
        <v>13.28</v>
      </c>
      <c r="DMS1914" s="115">
        <v>19.489999999999998</v>
      </c>
      <c r="DMT1914" s="56">
        <v>18.98</v>
      </c>
      <c r="DMU1914" s="56">
        <v>17.5</v>
      </c>
      <c r="DMV1914" s="62">
        <v>13.28</v>
      </c>
      <c r="DMW1914" s="115">
        <v>19.489999999999998</v>
      </c>
      <c r="DMX1914" s="56">
        <v>18.98</v>
      </c>
      <c r="DMY1914" s="56">
        <v>17.5</v>
      </c>
      <c r="DMZ1914" s="62">
        <v>13.28</v>
      </c>
      <c r="DNA1914" s="115">
        <v>19.489999999999998</v>
      </c>
      <c r="DNB1914" s="56">
        <v>18.98</v>
      </c>
      <c r="DNC1914" s="56">
        <v>17.5</v>
      </c>
      <c r="DND1914" s="62">
        <v>13.28</v>
      </c>
      <c r="DNE1914" s="115">
        <v>19.489999999999998</v>
      </c>
      <c r="DNF1914" s="56">
        <v>18.98</v>
      </c>
      <c r="DNG1914" s="56">
        <v>17.5</v>
      </c>
      <c r="DNH1914" s="62">
        <v>13.28</v>
      </c>
      <c r="DNI1914" s="115">
        <v>19.489999999999998</v>
      </c>
      <c r="DNJ1914" s="56">
        <v>18.98</v>
      </c>
      <c r="DNK1914" s="56">
        <v>17.5</v>
      </c>
      <c r="DNL1914" s="62">
        <v>13.28</v>
      </c>
      <c r="DNM1914" s="115">
        <v>19.489999999999998</v>
      </c>
      <c r="DNN1914" s="56">
        <v>18.98</v>
      </c>
      <c r="DNO1914" s="56">
        <v>17.5</v>
      </c>
      <c r="DNP1914" s="62">
        <v>13.28</v>
      </c>
      <c r="DNQ1914" s="115">
        <v>19.489999999999998</v>
      </c>
      <c r="DNR1914" s="56">
        <v>18.98</v>
      </c>
      <c r="DNS1914" s="56">
        <v>17.5</v>
      </c>
      <c r="DNT1914" s="62">
        <v>13.28</v>
      </c>
      <c r="DNU1914" s="115">
        <v>19.489999999999998</v>
      </c>
      <c r="DNV1914" s="56">
        <v>18.98</v>
      </c>
      <c r="DNW1914" s="56">
        <v>17.5</v>
      </c>
      <c r="DNX1914" s="62">
        <v>13.28</v>
      </c>
      <c r="DNY1914" s="115">
        <v>19.489999999999998</v>
      </c>
      <c r="DNZ1914" s="56">
        <v>18.98</v>
      </c>
      <c r="DOA1914" s="56">
        <v>17.5</v>
      </c>
      <c r="DOB1914" s="62">
        <v>13.28</v>
      </c>
      <c r="DOC1914" s="115">
        <v>19.489999999999998</v>
      </c>
      <c r="DOD1914" s="56">
        <v>18.98</v>
      </c>
      <c r="DOE1914" s="56">
        <v>17.5</v>
      </c>
      <c r="DOF1914" s="62">
        <v>13.28</v>
      </c>
      <c r="DOG1914" s="115">
        <v>19.489999999999998</v>
      </c>
      <c r="DOH1914" s="56">
        <v>18.98</v>
      </c>
      <c r="DOI1914" s="56">
        <v>17.5</v>
      </c>
      <c r="DOJ1914" s="62">
        <v>13.28</v>
      </c>
      <c r="DOK1914" s="115">
        <v>19.489999999999998</v>
      </c>
      <c r="DOL1914" s="56">
        <v>18.98</v>
      </c>
      <c r="DOM1914" s="56">
        <v>17.5</v>
      </c>
      <c r="DON1914" s="62">
        <v>13.28</v>
      </c>
      <c r="DOO1914" s="115">
        <v>19.489999999999998</v>
      </c>
      <c r="DOP1914" s="56">
        <v>18.98</v>
      </c>
      <c r="DOQ1914" s="56">
        <v>17.5</v>
      </c>
      <c r="DOR1914" s="62">
        <v>13.28</v>
      </c>
      <c r="DOS1914" s="115">
        <v>19.489999999999998</v>
      </c>
      <c r="DOT1914" s="56">
        <v>18.98</v>
      </c>
      <c r="DOU1914" s="56">
        <v>17.5</v>
      </c>
      <c r="DOV1914" s="62">
        <v>13.28</v>
      </c>
      <c r="DOW1914" s="115">
        <v>19.489999999999998</v>
      </c>
      <c r="DOX1914" s="56">
        <v>18.98</v>
      </c>
      <c r="DOY1914" s="56">
        <v>17.5</v>
      </c>
      <c r="DOZ1914" s="62">
        <v>13.28</v>
      </c>
      <c r="DPA1914" s="115">
        <v>19.489999999999998</v>
      </c>
      <c r="DPB1914" s="56">
        <v>18.98</v>
      </c>
      <c r="DPC1914" s="56">
        <v>17.5</v>
      </c>
      <c r="DPD1914" s="62">
        <v>13.28</v>
      </c>
      <c r="DPE1914" s="115">
        <v>19.489999999999998</v>
      </c>
      <c r="DPF1914" s="56">
        <v>18.98</v>
      </c>
      <c r="DPG1914" s="56">
        <v>17.5</v>
      </c>
      <c r="DPH1914" s="62">
        <v>13.28</v>
      </c>
      <c r="DPI1914" s="115">
        <v>19.489999999999998</v>
      </c>
      <c r="DPJ1914" s="56">
        <v>18.98</v>
      </c>
      <c r="DPK1914" s="56">
        <v>17.5</v>
      </c>
      <c r="DPL1914" s="62">
        <v>13.28</v>
      </c>
      <c r="DPM1914" s="115">
        <v>19.489999999999998</v>
      </c>
      <c r="DPN1914" s="56">
        <v>18.98</v>
      </c>
      <c r="DPO1914" s="56">
        <v>17.5</v>
      </c>
      <c r="DPP1914" s="62">
        <v>13.28</v>
      </c>
      <c r="DPQ1914" s="115">
        <v>19.489999999999998</v>
      </c>
      <c r="DPR1914" s="56">
        <v>18.98</v>
      </c>
      <c r="DPS1914" s="56">
        <v>17.5</v>
      </c>
      <c r="DPT1914" s="62">
        <v>13.28</v>
      </c>
      <c r="DPU1914" s="115">
        <v>19.489999999999998</v>
      </c>
      <c r="DPV1914" s="56">
        <v>18.98</v>
      </c>
      <c r="DPW1914" s="56">
        <v>17.5</v>
      </c>
      <c r="DPX1914" s="62">
        <v>13.28</v>
      </c>
      <c r="DPY1914" s="115">
        <v>19.489999999999998</v>
      </c>
      <c r="DPZ1914" s="56">
        <v>18.98</v>
      </c>
      <c r="DQA1914" s="56">
        <v>17.5</v>
      </c>
      <c r="DQB1914" s="62">
        <v>13.28</v>
      </c>
      <c r="DQC1914" s="115">
        <v>19.489999999999998</v>
      </c>
      <c r="DQD1914" s="56">
        <v>18.98</v>
      </c>
      <c r="DQE1914" s="56">
        <v>17.5</v>
      </c>
      <c r="DQF1914" s="62">
        <v>13.28</v>
      </c>
      <c r="DQG1914" s="115">
        <v>19.489999999999998</v>
      </c>
      <c r="DQH1914" s="56">
        <v>18.98</v>
      </c>
      <c r="DQI1914" s="56">
        <v>17.5</v>
      </c>
      <c r="DQJ1914" s="62">
        <v>13.28</v>
      </c>
      <c r="DQK1914" s="115">
        <v>19.489999999999998</v>
      </c>
      <c r="DQL1914" s="56">
        <v>18.98</v>
      </c>
      <c r="DQM1914" s="56">
        <v>17.5</v>
      </c>
      <c r="DQN1914" s="62">
        <v>13.28</v>
      </c>
      <c r="DQO1914" s="115">
        <v>19.489999999999998</v>
      </c>
      <c r="DQP1914" s="56">
        <v>18.98</v>
      </c>
      <c r="DQQ1914" s="56">
        <v>17.5</v>
      </c>
      <c r="DQR1914" s="62">
        <v>13.28</v>
      </c>
      <c r="DQS1914" s="115">
        <v>19.489999999999998</v>
      </c>
      <c r="DQT1914" s="56">
        <v>18.98</v>
      </c>
      <c r="DQU1914" s="56">
        <v>17.5</v>
      </c>
      <c r="DQV1914" s="62">
        <v>13.28</v>
      </c>
      <c r="DQW1914" s="115">
        <v>19.489999999999998</v>
      </c>
      <c r="DQX1914" s="56">
        <v>18.98</v>
      </c>
      <c r="DQY1914" s="56">
        <v>17.5</v>
      </c>
      <c r="DQZ1914" s="62">
        <v>13.28</v>
      </c>
      <c r="DRA1914" s="115">
        <v>19.489999999999998</v>
      </c>
      <c r="DRB1914" s="56">
        <v>18.98</v>
      </c>
      <c r="DRC1914" s="56">
        <v>17.5</v>
      </c>
      <c r="DRD1914" s="62">
        <v>13.28</v>
      </c>
      <c r="DRE1914" s="115">
        <v>19.489999999999998</v>
      </c>
      <c r="DRF1914" s="56">
        <v>18.98</v>
      </c>
      <c r="DRG1914" s="56">
        <v>17.5</v>
      </c>
      <c r="DRH1914" s="62">
        <v>13.28</v>
      </c>
      <c r="DRI1914" s="115">
        <v>19.489999999999998</v>
      </c>
      <c r="DRJ1914" s="56">
        <v>18.98</v>
      </c>
      <c r="DRK1914" s="56">
        <v>17.5</v>
      </c>
      <c r="DRL1914" s="62">
        <v>13.28</v>
      </c>
      <c r="DRM1914" s="115">
        <v>19.489999999999998</v>
      </c>
      <c r="DRN1914" s="56">
        <v>18.98</v>
      </c>
      <c r="DRO1914" s="56">
        <v>17.5</v>
      </c>
      <c r="DRP1914" s="62">
        <v>13.28</v>
      </c>
      <c r="DRQ1914" s="115">
        <v>19.489999999999998</v>
      </c>
      <c r="DRR1914" s="56">
        <v>18.98</v>
      </c>
      <c r="DRS1914" s="56">
        <v>17.5</v>
      </c>
      <c r="DRT1914" s="62">
        <v>13.28</v>
      </c>
      <c r="DRU1914" s="115">
        <v>19.489999999999998</v>
      </c>
      <c r="DRV1914" s="56">
        <v>18.98</v>
      </c>
      <c r="DRW1914" s="56">
        <v>17.5</v>
      </c>
      <c r="DRX1914" s="62">
        <v>13.28</v>
      </c>
      <c r="DRY1914" s="115">
        <v>19.489999999999998</v>
      </c>
      <c r="DRZ1914" s="56">
        <v>18.98</v>
      </c>
      <c r="DSA1914" s="56">
        <v>17.5</v>
      </c>
      <c r="DSB1914" s="62">
        <v>13.28</v>
      </c>
      <c r="DSC1914" s="115">
        <v>19.489999999999998</v>
      </c>
      <c r="DSD1914" s="56">
        <v>18.98</v>
      </c>
      <c r="DSE1914" s="56">
        <v>17.5</v>
      </c>
      <c r="DSF1914" s="62">
        <v>13.28</v>
      </c>
      <c r="DSG1914" s="115">
        <v>19.489999999999998</v>
      </c>
      <c r="DSH1914" s="56">
        <v>18.98</v>
      </c>
      <c r="DSI1914" s="56">
        <v>17.5</v>
      </c>
      <c r="DSJ1914" s="62">
        <v>13.28</v>
      </c>
      <c r="DSK1914" s="115">
        <v>19.489999999999998</v>
      </c>
      <c r="DSL1914" s="56">
        <v>18.98</v>
      </c>
      <c r="DSM1914" s="56">
        <v>17.5</v>
      </c>
      <c r="DSN1914" s="62">
        <v>13.28</v>
      </c>
      <c r="DSO1914" s="115">
        <v>19.489999999999998</v>
      </c>
      <c r="DSP1914" s="56">
        <v>18.98</v>
      </c>
      <c r="DSQ1914" s="56">
        <v>17.5</v>
      </c>
      <c r="DSR1914" s="62">
        <v>13.28</v>
      </c>
      <c r="DSS1914" s="115">
        <v>19.489999999999998</v>
      </c>
      <c r="DST1914" s="56">
        <v>18.98</v>
      </c>
      <c r="DSU1914" s="56">
        <v>17.5</v>
      </c>
      <c r="DSV1914" s="62">
        <v>13.28</v>
      </c>
      <c r="DSW1914" s="115">
        <v>19.489999999999998</v>
      </c>
      <c r="DSX1914" s="56">
        <v>18.98</v>
      </c>
      <c r="DSY1914" s="56">
        <v>17.5</v>
      </c>
      <c r="DSZ1914" s="62">
        <v>13.28</v>
      </c>
      <c r="DTA1914" s="115">
        <v>19.489999999999998</v>
      </c>
      <c r="DTB1914" s="56">
        <v>18.98</v>
      </c>
      <c r="DTC1914" s="56">
        <v>17.5</v>
      </c>
      <c r="DTD1914" s="62">
        <v>13.28</v>
      </c>
      <c r="DTE1914" s="115">
        <v>19.489999999999998</v>
      </c>
      <c r="DTF1914" s="56">
        <v>18.98</v>
      </c>
      <c r="DTG1914" s="56">
        <v>17.5</v>
      </c>
      <c r="DTH1914" s="62">
        <v>13.28</v>
      </c>
      <c r="DTI1914" s="115">
        <v>19.489999999999998</v>
      </c>
      <c r="DTJ1914" s="56">
        <v>18.98</v>
      </c>
      <c r="DTK1914" s="56">
        <v>17.5</v>
      </c>
      <c r="DTL1914" s="62">
        <v>13.28</v>
      </c>
      <c r="DTM1914" s="115">
        <v>19.489999999999998</v>
      </c>
      <c r="DTN1914" s="56">
        <v>18.98</v>
      </c>
      <c r="DTO1914" s="56">
        <v>17.5</v>
      </c>
      <c r="DTP1914" s="62">
        <v>13.28</v>
      </c>
      <c r="DTQ1914" s="115">
        <v>19.489999999999998</v>
      </c>
      <c r="DTR1914" s="56">
        <v>18.98</v>
      </c>
      <c r="DTS1914" s="56">
        <v>17.5</v>
      </c>
      <c r="DTT1914" s="62">
        <v>13.28</v>
      </c>
      <c r="DTU1914" s="115">
        <v>19.489999999999998</v>
      </c>
      <c r="DTV1914" s="56">
        <v>18.98</v>
      </c>
      <c r="DTW1914" s="56">
        <v>17.5</v>
      </c>
      <c r="DTX1914" s="62">
        <v>13.28</v>
      </c>
      <c r="DTY1914" s="115">
        <v>19.489999999999998</v>
      </c>
      <c r="DTZ1914" s="56">
        <v>18.98</v>
      </c>
      <c r="DUA1914" s="56">
        <v>17.5</v>
      </c>
      <c r="DUB1914" s="62">
        <v>13.28</v>
      </c>
      <c r="DUC1914" s="115">
        <v>19.489999999999998</v>
      </c>
      <c r="DUD1914" s="56">
        <v>18.98</v>
      </c>
      <c r="DUE1914" s="56">
        <v>17.5</v>
      </c>
      <c r="DUF1914" s="62">
        <v>13.28</v>
      </c>
      <c r="DUG1914" s="115">
        <v>19.489999999999998</v>
      </c>
      <c r="DUH1914" s="56">
        <v>18.98</v>
      </c>
      <c r="DUI1914" s="56">
        <v>17.5</v>
      </c>
      <c r="DUJ1914" s="62">
        <v>13.28</v>
      </c>
      <c r="DUK1914" s="115">
        <v>19.489999999999998</v>
      </c>
      <c r="DUL1914" s="56">
        <v>18.98</v>
      </c>
      <c r="DUM1914" s="56">
        <v>17.5</v>
      </c>
      <c r="DUN1914" s="62">
        <v>13.28</v>
      </c>
      <c r="DUO1914" s="115">
        <v>19.489999999999998</v>
      </c>
      <c r="DUP1914" s="56">
        <v>18.98</v>
      </c>
      <c r="DUQ1914" s="56">
        <v>17.5</v>
      </c>
      <c r="DUR1914" s="62">
        <v>13.28</v>
      </c>
      <c r="DUS1914" s="115">
        <v>19.489999999999998</v>
      </c>
      <c r="DUT1914" s="56">
        <v>18.98</v>
      </c>
      <c r="DUU1914" s="56">
        <v>17.5</v>
      </c>
      <c r="DUV1914" s="62">
        <v>13.28</v>
      </c>
      <c r="DUW1914" s="115">
        <v>19.489999999999998</v>
      </c>
      <c r="DUX1914" s="56">
        <v>18.98</v>
      </c>
      <c r="DUY1914" s="56">
        <v>17.5</v>
      </c>
      <c r="DUZ1914" s="62">
        <v>13.28</v>
      </c>
      <c r="DVA1914" s="115">
        <v>19.489999999999998</v>
      </c>
      <c r="DVB1914" s="56">
        <v>18.98</v>
      </c>
      <c r="DVC1914" s="56">
        <v>17.5</v>
      </c>
      <c r="DVD1914" s="62">
        <v>13.28</v>
      </c>
      <c r="DVE1914" s="115">
        <v>19.489999999999998</v>
      </c>
      <c r="DVF1914" s="56">
        <v>18.98</v>
      </c>
      <c r="DVG1914" s="56">
        <v>17.5</v>
      </c>
      <c r="DVH1914" s="62">
        <v>13.28</v>
      </c>
      <c r="DVI1914" s="115">
        <v>19.489999999999998</v>
      </c>
      <c r="DVJ1914" s="56">
        <v>18.98</v>
      </c>
      <c r="DVK1914" s="56">
        <v>17.5</v>
      </c>
      <c r="DVL1914" s="62">
        <v>13.28</v>
      </c>
      <c r="DVM1914" s="115">
        <v>19.489999999999998</v>
      </c>
      <c r="DVN1914" s="56">
        <v>18.98</v>
      </c>
      <c r="DVO1914" s="56">
        <v>17.5</v>
      </c>
      <c r="DVP1914" s="62">
        <v>13.28</v>
      </c>
      <c r="DVQ1914" s="115">
        <v>19.489999999999998</v>
      </c>
      <c r="DVR1914" s="56">
        <v>18.98</v>
      </c>
      <c r="DVS1914" s="56">
        <v>17.5</v>
      </c>
      <c r="DVT1914" s="62">
        <v>13.28</v>
      </c>
      <c r="DVU1914" s="115">
        <v>19.489999999999998</v>
      </c>
      <c r="DVV1914" s="56">
        <v>18.98</v>
      </c>
      <c r="DVW1914" s="56">
        <v>17.5</v>
      </c>
      <c r="DVX1914" s="62">
        <v>13.28</v>
      </c>
      <c r="DVY1914" s="115">
        <v>19.489999999999998</v>
      </c>
      <c r="DVZ1914" s="56">
        <v>18.98</v>
      </c>
      <c r="DWA1914" s="56">
        <v>17.5</v>
      </c>
      <c r="DWB1914" s="62">
        <v>13.28</v>
      </c>
      <c r="DWC1914" s="115">
        <v>19.489999999999998</v>
      </c>
      <c r="DWD1914" s="56">
        <v>18.98</v>
      </c>
      <c r="DWE1914" s="56">
        <v>17.5</v>
      </c>
      <c r="DWF1914" s="62">
        <v>13.28</v>
      </c>
      <c r="DWG1914" s="115">
        <v>19.489999999999998</v>
      </c>
      <c r="DWH1914" s="56">
        <v>18.98</v>
      </c>
      <c r="DWI1914" s="56">
        <v>17.5</v>
      </c>
      <c r="DWJ1914" s="62">
        <v>13.28</v>
      </c>
      <c r="DWK1914" s="115">
        <v>19.489999999999998</v>
      </c>
      <c r="DWL1914" s="56">
        <v>18.98</v>
      </c>
      <c r="DWM1914" s="56">
        <v>17.5</v>
      </c>
      <c r="DWN1914" s="62">
        <v>13.28</v>
      </c>
      <c r="DWO1914" s="115">
        <v>19.489999999999998</v>
      </c>
      <c r="DWP1914" s="56">
        <v>18.98</v>
      </c>
      <c r="DWQ1914" s="56">
        <v>17.5</v>
      </c>
      <c r="DWR1914" s="62">
        <v>13.28</v>
      </c>
      <c r="DWS1914" s="115">
        <v>19.489999999999998</v>
      </c>
      <c r="DWT1914" s="56">
        <v>18.98</v>
      </c>
      <c r="DWU1914" s="56">
        <v>17.5</v>
      </c>
      <c r="DWV1914" s="62">
        <v>13.28</v>
      </c>
      <c r="DWW1914" s="115">
        <v>19.489999999999998</v>
      </c>
      <c r="DWX1914" s="56">
        <v>18.98</v>
      </c>
      <c r="DWY1914" s="56">
        <v>17.5</v>
      </c>
      <c r="DWZ1914" s="62">
        <v>13.28</v>
      </c>
      <c r="DXA1914" s="115">
        <v>19.489999999999998</v>
      </c>
      <c r="DXB1914" s="56">
        <v>18.98</v>
      </c>
      <c r="DXC1914" s="56">
        <v>17.5</v>
      </c>
      <c r="DXD1914" s="62">
        <v>13.28</v>
      </c>
      <c r="DXE1914" s="115">
        <v>19.489999999999998</v>
      </c>
      <c r="DXF1914" s="56">
        <v>18.98</v>
      </c>
      <c r="DXG1914" s="56">
        <v>17.5</v>
      </c>
      <c r="DXH1914" s="62">
        <v>13.28</v>
      </c>
      <c r="DXI1914" s="115">
        <v>19.489999999999998</v>
      </c>
      <c r="DXJ1914" s="56">
        <v>18.98</v>
      </c>
      <c r="DXK1914" s="56">
        <v>17.5</v>
      </c>
      <c r="DXL1914" s="62">
        <v>13.28</v>
      </c>
      <c r="DXM1914" s="115">
        <v>19.489999999999998</v>
      </c>
      <c r="DXN1914" s="56">
        <v>18.98</v>
      </c>
      <c r="DXO1914" s="56">
        <v>17.5</v>
      </c>
      <c r="DXP1914" s="62">
        <v>13.28</v>
      </c>
      <c r="DXQ1914" s="115">
        <v>19.489999999999998</v>
      </c>
      <c r="DXR1914" s="56">
        <v>18.98</v>
      </c>
      <c r="DXS1914" s="56">
        <v>17.5</v>
      </c>
      <c r="DXT1914" s="62">
        <v>13.28</v>
      </c>
      <c r="DXU1914" s="115">
        <v>19.489999999999998</v>
      </c>
      <c r="DXV1914" s="56">
        <v>18.98</v>
      </c>
      <c r="DXW1914" s="56">
        <v>17.5</v>
      </c>
      <c r="DXX1914" s="62">
        <v>13.28</v>
      </c>
      <c r="DXY1914" s="115">
        <v>19.489999999999998</v>
      </c>
      <c r="DXZ1914" s="56">
        <v>18.98</v>
      </c>
      <c r="DYA1914" s="56">
        <v>17.5</v>
      </c>
      <c r="DYB1914" s="62">
        <v>13.28</v>
      </c>
      <c r="DYC1914" s="115">
        <v>19.489999999999998</v>
      </c>
      <c r="DYD1914" s="56">
        <v>18.98</v>
      </c>
      <c r="DYE1914" s="56">
        <v>17.5</v>
      </c>
      <c r="DYF1914" s="62">
        <v>13.28</v>
      </c>
      <c r="DYG1914" s="115">
        <v>19.489999999999998</v>
      </c>
      <c r="DYH1914" s="56">
        <v>18.98</v>
      </c>
      <c r="DYI1914" s="56">
        <v>17.5</v>
      </c>
      <c r="DYJ1914" s="62">
        <v>13.28</v>
      </c>
      <c r="DYK1914" s="115">
        <v>19.489999999999998</v>
      </c>
      <c r="DYL1914" s="56">
        <v>18.98</v>
      </c>
      <c r="DYM1914" s="56">
        <v>17.5</v>
      </c>
      <c r="DYN1914" s="62">
        <v>13.28</v>
      </c>
      <c r="DYO1914" s="115">
        <v>19.489999999999998</v>
      </c>
      <c r="DYP1914" s="56">
        <v>18.98</v>
      </c>
      <c r="DYQ1914" s="56">
        <v>17.5</v>
      </c>
      <c r="DYR1914" s="62">
        <v>13.28</v>
      </c>
      <c r="DYS1914" s="115">
        <v>19.489999999999998</v>
      </c>
      <c r="DYT1914" s="56">
        <v>18.98</v>
      </c>
      <c r="DYU1914" s="56">
        <v>17.5</v>
      </c>
      <c r="DYV1914" s="62">
        <v>13.28</v>
      </c>
      <c r="DYW1914" s="115">
        <v>19.489999999999998</v>
      </c>
      <c r="DYX1914" s="56">
        <v>18.98</v>
      </c>
      <c r="DYY1914" s="56">
        <v>17.5</v>
      </c>
      <c r="DYZ1914" s="62">
        <v>13.28</v>
      </c>
      <c r="DZA1914" s="115">
        <v>19.489999999999998</v>
      </c>
      <c r="DZB1914" s="56">
        <v>18.98</v>
      </c>
      <c r="DZC1914" s="56">
        <v>17.5</v>
      </c>
      <c r="DZD1914" s="62">
        <v>13.28</v>
      </c>
      <c r="DZE1914" s="115">
        <v>19.489999999999998</v>
      </c>
      <c r="DZF1914" s="56">
        <v>18.98</v>
      </c>
      <c r="DZG1914" s="56">
        <v>17.5</v>
      </c>
      <c r="DZH1914" s="62">
        <v>13.28</v>
      </c>
      <c r="DZI1914" s="115">
        <v>19.489999999999998</v>
      </c>
      <c r="DZJ1914" s="56">
        <v>18.98</v>
      </c>
      <c r="DZK1914" s="56">
        <v>17.5</v>
      </c>
      <c r="DZL1914" s="62">
        <v>13.28</v>
      </c>
      <c r="DZM1914" s="115">
        <v>19.489999999999998</v>
      </c>
      <c r="DZN1914" s="56">
        <v>18.98</v>
      </c>
      <c r="DZO1914" s="56">
        <v>17.5</v>
      </c>
      <c r="DZP1914" s="62">
        <v>13.28</v>
      </c>
      <c r="DZQ1914" s="115">
        <v>19.489999999999998</v>
      </c>
      <c r="DZR1914" s="56">
        <v>18.98</v>
      </c>
      <c r="DZS1914" s="56">
        <v>17.5</v>
      </c>
      <c r="DZT1914" s="62">
        <v>13.28</v>
      </c>
      <c r="DZU1914" s="115">
        <v>19.489999999999998</v>
      </c>
      <c r="DZV1914" s="56">
        <v>18.98</v>
      </c>
      <c r="DZW1914" s="56">
        <v>17.5</v>
      </c>
      <c r="DZX1914" s="62">
        <v>13.28</v>
      </c>
      <c r="DZY1914" s="115">
        <v>19.489999999999998</v>
      </c>
      <c r="DZZ1914" s="56">
        <v>18.98</v>
      </c>
      <c r="EAA1914" s="56">
        <v>17.5</v>
      </c>
      <c r="EAB1914" s="62">
        <v>13.28</v>
      </c>
      <c r="EAC1914" s="115">
        <v>19.489999999999998</v>
      </c>
      <c r="EAD1914" s="56">
        <v>18.98</v>
      </c>
      <c r="EAE1914" s="56">
        <v>17.5</v>
      </c>
      <c r="EAF1914" s="62">
        <v>13.28</v>
      </c>
      <c r="EAG1914" s="115">
        <v>19.489999999999998</v>
      </c>
      <c r="EAH1914" s="56">
        <v>18.98</v>
      </c>
      <c r="EAI1914" s="56">
        <v>17.5</v>
      </c>
      <c r="EAJ1914" s="62">
        <v>13.28</v>
      </c>
      <c r="EAK1914" s="115">
        <v>19.489999999999998</v>
      </c>
      <c r="EAL1914" s="56">
        <v>18.98</v>
      </c>
      <c r="EAM1914" s="56">
        <v>17.5</v>
      </c>
      <c r="EAN1914" s="62">
        <v>13.28</v>
      </c>
      <c r="EAO1914" s="115">
        <v>19.489999999999998</v>
      </c>
      <c r="EAP1914" s="56">
        <v>18.98</v>
      </c>
      <c r="EAQ1914" s="56">
        <v>17.5</v>
      </c>
      <c r="EAR1914" s="62">
        <v>13.28</v>
      </c>
      <c r="EAS1914" s="115">
        <v>19.489999999999998</v>
      </c>
      <c r="EAT1914" s="56">
        <v>18.98</v>
      </c>
      <c r="EAU1914" s="56">
        <v>17.5</v>
      </c>
      <c r="EAV1914" s="62">
        <v>13.28</v>
      </c>
      <c r="EAW1914" s="115">
        <v>19.489999999999998</v>
      </c>
      <c r="EAX1914" s="56">
        <v>18.98</v>
      </c>
      <c r="EAY1914" s="56">
        <v>17.5</v>
      </c>
      <c r="EAZ1914" s="62">
        <v>13.28</v>
      </c>
      <c r="EBA1914" s="115">
        <v>19.489999999999998</v>
      </c>
      <c r="EBB1914" s="56">
        <v>18.98</v>
      </c>
      <c r="EBC1914" s="56">
        <v>17.5</v>
      </c>
      <c r="EBD1914" s="62">
        <v>13.28</v>
      </c>
      <c r="EBE1914" s="115">
        <v>19.489999999999998</v>
      </c>
      <c r="EBF1914" s="56">
        <v>18.98</v>
      </c>
      <c r="EBG1914" s="56">
        <v>17.5</v>
      </c>
      <c r="EBH1914" s="62">
        <v>13.28</v>
      </c>
      <c r="EBI1914" s="115">
        <v>19.489999999999998</v>
      </c>
      <c r="EBJ1914" s="56">
        <v>18.98</v>
      </c>
      <c r="EBK1914" s="56">
        <v>17.5</v>
      </c>
      <c r="EBL1914" s="62">
        <v>13.28</v>
      </c>
      <c r="EBM1914" s="115">
        <v>19.489999999999998</v>
      </c>
      <c r="EBN1914" s="56">
        <v>18.98</v>
      </c>
      <c r="EBO1914" s="56">
        <v>17.5</v>
      </c>
      <c r="EBP1914" s="62">
        <v>13.28</v>
      </c>
      <c r="EBQ1914" s="115">
        <v>19.489999999999998</v>
      </c>
      <c r="EBR1914" s="56">
        <v>18.98</v>
      </c>
      <c r="EBS1914" s="56">
        <v>17.5</v>
      </c>
      <c r="EBT1914" s="62">
        <v>13.28</v>
      </c>
      <c r="EBU1914" s="115">
        <v>19.489999999999998</v>
      </c>
      <c r="EBV1914" s="56">
        <v>18.98</v>
      </c>
      <c r="EBW1914" s="56">
        <v>17.5</v>
      </c>
      <c r="EBX1914" s="62">
        <v>13.28</v>
      </c>
      <c r="EBY1914" s="115">
        <v>19.489999999999998</v>
      </c>
      <c r="EBZ1914" s="56">
        <v>18.98</v>
      </c>
      <c r="ECA1914" s="56">
        <v>17.5</v>
      </c>
      <c r="ECB1914" s="62">
        <v>13.28</v>
      </c>
      <c r="ECC1914" s="115">
        <v>19.489999999999998</v>
      </c>
      <c r="ECD1914" s="56">
        <v>18.98</v>
      </c>
      <c r="ECE1914" s="56">
        <v>17.5</v>
      </c>
      <c r="ECF1914" s="62">
        <v>13.28</v>
      </c>
      <c r="ECG1914" s="115">
        <v>19.489999999999998</v>
      </c>
      <c r="ECH1914" s="56">
        <v>18.98</v>
      </c>
      <c r="ECI1914" s="56">
        <v>17.5</v>
      </c>
      <c r="ECJ1914" s="62">
        <v>13.28</v>
      </c>
      <c r="ECK1914" s="115">
        <v>19.489999999999998</v>
      </c>
      <c r="ECL1914" s="56">
        <v>18.98</v>
      </c>
      <c r="ECM1914" s="56">
        <v>17.5</v>
      </c>
      <c r="ECN1914" s="62">
        <v>13.28</v>
      </c>
      <c r="ECO1914" s="115">
        <v>19.489999999999998</v>
      </c>
      <c r="ECP1914" s="56">
        <v>18.98</v>
      </c>
      <c r="ECQ1914" s="56">
        <v>17.5</v>
      </c>
      <c r="ECR1914" s="62">
        <v>13.28</v>
      </c>
      <c r="ECS1914" s="115">
        <v>19.489999999999998</v>
      </c>
      <c r="ECT1914" s="56">
        <v>18.98</v>
      </c>
      <c r="ECU1914" s="56">
        <v>17.5</v>
      </c>
      <c r="ECV1914" s="62">
        <v>13.28</v>
      </c>
      <c r="ECW1914" s="115">
        <v>19.489999999999998</v>
      </c>
      <c r="ECX1914" s="56">
        <v>18.98</v>
      </c>
      <c r="ECY1914" s="56">
        <v>17.5</v>
      </c>
      <c r="ECZ1914" s="62">
        <v>13.28</v>
      </c>
      <c r="EDA1914" s="115">
        <v>19.489999999999998</v>
      </c>
      <c r="EDB1914" s="56">
        <v>18.98</v>
      </c>
      <c r="EDC1914" s="56">
        <v>17.5</v>
      </c>
      <c r="EDD1914" s="62">
        <v>13.28</v>
      </c>
      <c r="EDE1914" s="115">
        <v>19.489999999999998</v>
      </c>
      <c r="EDF1914" s="56">
        <v>18.98</v>
      </c>
      <c r="EDG1914" s="56">
        <v>17.5</v>
      </c>
      <c r="EDH1914" s="62">
        <v>13.28</v>
      </c>
      <c r="EDI1914" s="115">
        <v>19.489999999999998</v>
      </c>
      <c r="EDJ1914" s="56">
        <v>18.98</v>
      </c>
      <c r="EDK1914" s="56">
        <v>17.5</v>
      </c>
      <c r="EDL1914" s="62">
        <v>13.28</v>
      </c>
      <c r="EDM1914" s="115">
        <v>19.489999999999998</v>
      </c>
      <c r="EDN1914" s="56">
        <v>18.98</v>
      </c>
      <c r="EDO1914" s="56">
        <v>17.5</v>
      </c>
      <c r="EDP1914" s="62">
        <v>13.28</v>
      </c>
      <c r="EDQ1914" s="115">
        <v>19.489999999999998</v>
      </c>
      <c r="EDR1914" s="56">
        <v>18.98</v>
      </c>
      <c r="EDS1914" s="56">
        <v>17.5</v>
      </c>
      <c r="EDT1914" s="62">
        <v>13.28</v>
      </c>
      <c r="EDU1914" s="115">
        <v>19.489999999999998</v>
      </c>
      <c r="EDV1914" s="56">
        <v>18.98</v>
      </c>
      <c r="EDW1914" s="56">
        <v>17.5</v>
      </c>
      <c r="EDX1914" s="62">
        <v>13.28</v>
      </c>
      <c r="EDY1914" s="115">
        <v>19.489999999999998</v>
      </c>
      <c r="EDZ1914" s="56">
        <v>18.98</v>
      </c>
      <c r="EEA1914" s="56">
        <v>17.5</v>
      </c>
      <c r="EEB1914" s="62">
        <v>13.28</v>
      </c>
      <c r="EEC1914" s="115">
        <v>19.489999999999998</v>
      </c>
      <c r="EED1914" s="56">
        <v>18.98</v>
      </c>
      <c r="EEE1914" s="56">
        <v>17.5</v>
      </c>
      <c r="EEF1914" s="62">
        <v>13.28</v>
      </c>
      <c r="EEG1914" s="115">
        <v>19.489999999999998</v>
      </c>
      <c r="EEH1914" s="56">
        <v>18.98</v>
      </c>
      <c r="EEI1914" s="56">
        <v>17.5</v>
      </c>
      <c r="EEJ1914" s="62">
        <v>13.28</v>
      </c>
      <c r="EEK1914" s="115">
        <v>19.489999999999998</v>
      </c>
      <c r="EEL1914" s="56">
        <v>18.98</v>
      </c>
      <c r="EEM1914" s="56">
        <v>17.5</v>
      </c>
      <c r="EEN1914" s="62">
        <v>13.28</v>
      </c>
      <c r="EEO1914" s="115">
        <v>19.489999999999998</v>
      </c>
      <c r="EEP1914" s="56">
        <v>18.98</v>
      </c>
      <c r="EEQ1914" s="56">
        <v>17.5</v>
      </c>
      <c r="EER1914" s="62">
        <v>13.28</v>
      </c>
      <c r="EES1914" s="115">
        <v>19.489999999999998</v>
      </c>
      <c r="EET1914" s="56">
        <v>18.98</v>
      </c>
      <c r="EEU1914" s="56">
        <v>17.5</v>
      </c>
      <c r="EEV1914" s="62">
        <v>13.28</v>
      </c>
      <c r="EEW1914" s="115">
        <v>19.489999999999998</v>
      </c>
      <c r="EEX1914" s="56">
        <v>18.98</v>
      </c>
      <c r="EEY1914" s="56">
        <v>17.5</v>
      </c>
      <c r="EEZ1914" s="62">
        <v>13.28</v>
      </c>
      <c r="EFA1914" s="115">
        <v>19.489999999999998</v>
      </c>
      <c r="EFB1914" s="56">
        <v>18.98</v>
      </c>
      <c r="EFC1914" s="56">
        <v>17.5</v>
      </c>
      <c r="EFD1914" s="62">
        <v>13.28</v>
      </c>
      <c r="EFE1914" s="115">
        <v>19.489999999999998</v>
      </c>
      <c r="EFF1914" s="56">
        <v>18.98</v>
      </c>
      <c r="EFG1914" s="56">
        <v>17.5</v>
      </c>
      <c r="EFH1914" s="62">
        <v>13.28</v>
      </c>
      <c r="EFI1914" s="115">
        <v>19.489999999999998</v>
      </c>
      <c r="EFJ1914" s="56">
        <v>18.98</v>
      </c>
      <c r="EFK1914" s="56">
        <v>17.5</v>
      </c>
      <c r="EFL1914" s="62">
        <v>13.28</v>
      </c>
      <c r="EFM1914" s="115">
        <v>19.489999999999998</v>
      </c>
      <c r="EFN1914" s="56">
        <v>18.98</v>
      </c>
      <c r="EFO1914" s="56">
        <v>17.5</v>
      </c>
      <c r="EFP1914" s="62">
        <v>13.28</v>
      </c>
      <c r="EFQ1914" s="115">
        <v>19.489999999999998</v>
      </c>
      <c r="EFR1914" s="56">
        <v>18.98</v>
      </c>
      <c r="EFS1914" s="56">
        <v>17.5</v>
      </c>
      <c r="EFT1914" s="62">
        <v>13.28</v>
      </c>
      <c r="EFU1914" s="115">
        <v>19.489999999999998</v>
      </c>
      <c r="EFV1914" s="56">
        <v>18.98</v>
      </c>
      <c r="EFW1914" s="56">
        <v>17.5</v>
      </c>
      <c r="EFX1914" s="62">
        <v>13.28</v>
      </c>
      <c r="EFY1914" s="115">
        <v>19.489999999999998</v>
      </c>
      <c r="EFZ1914" s="56">
        <v>18.98</v>
      </c>
      <c r="EGA1914" s="56">
        <v>17.5</v>
      </c>
      <c r="EGB1914" s="62">
        <v>13.28</v>
      </c>
      <c r="EGC1914" s="115">
        <v>19.489999999999998</v>
      </c>
      <c r="EGD1914" s="56">
        <v>18.98</v>
      </c>
      <c r="EGE1914" s="56">
        <v>17.5</v>
      </c>
      <c r="EGF1914" s="62">
        <v>13.28</v>
      </c>
      <c r="EGG1914" s="115">
        <v>19.489999999999998</v>
      </c>
      <c r="EGH1914" s="56">
        <v>18.98</v>
      </c>
      <c r="EGI1914" s="56">
        <v>17.5</v>
      </c>
      <c r="EGJ1914" s="62">
        <v>13.28</v>
      </c>
      <c r="EGK1914" s="115">
        <v>19.489999999999998</v>
      </c>
      <c r="EGL1914" s="56">
        <v>18.98</v>
      </c>
      <c r="EGM1914" s="56">
        <v>17.5</v>
      </c>
      <c r="EGN1914" s="62">
        <v>13.28</v>
      </c>
      <c r="EGO1914" s="115">
        <v>19.489999999999998</v>
      </c>
      <c r="EGP1914" s="56">
        <v>18.98</v>
      </c>
      <c r="EGQ1914" s="56">
        <v>17.5</v>
      </c>
      <c r="EGR1914" s="62">
        <v>13.28</v>
      </c>
      <c r="EGS1914" s="115">
        <v>19.489999999999998</v>
      </c>
      <c r="EGT1914" s="56">
        <v>18.98</v>
      </c>
      <c r="EGU1914" s="56">
        <v>17.5</v>
      </c>
      <c r="EGV1914" s="62">
        <v>13.28</v>
      </c>
      <c r="EGW1914" s="115">
        <v>19.489999999999998</v>
      </c>
      <c r="EGX1914" s="56">
        <v>18.98</v>
      </c>
      <c r="EGY1914" s="56">
        <v>17.5</v>
      </c>
      <c r="EGZ1914" s="62">
        <v>13.28</v>
      </c>
      <c r="EHA1914" s="115">
        <v>19.489999999999998</v>
      </c>
      <c r="EHB1914" s="56">
        <v>18.98</v>
      </c>
      <c r="EHC1914" s="56">
        <v>17.5</v>
      </c>
      <c r="EHD1914" s="62">
        <v>13.28</v>
      </c>
      <c r="EHE1914" s="115">
        <v>19.489999999999998</v>
      </c>
      <c r="EHF1914" s="56">
        <v>18.98</v>
      </c>
      <c r="EHG1914" s="56">
        <v>17.5</v>
      </c>
      <c r="EHH1914" s="62">
        <v>13.28</v>
      </c>
      <c r="EHI1914" s="115">
        <v>19.489999999999998</v>
      </c>
      <c r="EHJ1914" s="56">
        <v>18.98</v>
      </c>
      <c r="EHK1914" s="56">
        <v>17.5</v>
      </c>
      <c r="EHL1914" s="62">
        <v>13.28</v>
      </c>
      <c r="EHM1914" s="115">
        <v>19.489999999999998</v>
      </c>
      <c r="EHN1914" s="56">
        <v>18.98</v>
      </c>
      <c r="EHO1914" s="56">
        <v>17.5</v>
      </c>
      <c r="EHP1914" s="62">
        <v>13.28</v>
      </c>
      <c r="EHQ1914" s="115">
        <v>19.489999999999998</v>
      </c>
      <c r="EHR1914" s="56">
        <v>18.98</v>
      </c>
      <c r="EHS1914" s="56">
        <v>17.5</v>
      </c>
      <c r="EHT1914" s="62">
        <v>13.28</v>
      </c>
      <c r="EHU1914" s="115">
        <v>19.489999999999998</v>
      </c>
      <c r="EHV1914" s="56">
        <v>18.98</v>
      </c>
      <c r="EHW1914" s="56">
        <v>17.5</v>
      </c>
      <c r="EHX1914" s="62">
        <v>13.28</v>
      </c>
      <c r="EHY1914" s="115">
        <v>19.489999999999998</v>
      </c>
      <c r="EHZ1914" s="56">
        <v>18.98</v>
      </c>
      <c r="EIA1914" s="56">
        <v>17.5</v>
      </c>
      <c r="EIB1914" s="62">
        <v>13.28</v>
      </c>
      <c r="EIC1914" s="115">
        <v>19.489999999999998</v>
      </c>
      <c r="EID1914" s="56">
        <v>18.98</v>
      </c>
      <c r="EIE1914" s="56">
        <v>17.5</v>
      </c>
      <c r="EIF1914" s="62">
        <v>13.28</v>
      </c>
      <c r="EIG1914" s="115">
        <v>19.489999999999998</v>
      </c>
      <c r="EIH1914" s="56">
        <v>18.98</v>
      </c>
      <c r="EII1914" s="56">
        <v>17.5</v>
      </c>
      <c r="EIJ1914" s="62">
        <v>13.28</v>
      </c>
      <c r="EIK1914" s="115">
        <v>19.489999999999998</v>
      </c>
      <c r="EIL1914" s="56">
        <v>18.98</v>
      </c>
      <c r="EIM1914" s="56">
        <v>17.5</v>
      </c>
      <c r="EIN1914" s="62">
        <v>13.28</v>
      </c>
      <c r="EIO1914" s="115">
        <v>19.489999999999998</v>
      </c>
      <c r="EIP1914" s="56">
        <v>18.98</v>
      </c>
      <c r="EIQ1914" s="56">
        <v>17.5</v>
      </c>
      <c r="EIR1914" s="62">
        <v>13.28</v>
      </c>
      <c r="EIS1914" s="115">
        <v>19.489999999999998</v>
      </c>
      <c r="EIT1914" s="56">
        <v>18.98</v>
      </c>
      <c r="EIU1914" s="56">
        <v>17.5</v>
      </c>
      <c r="EIV1914" s="62">
        <v>13.28</v>
      </c>
      <c r="EIW1914" s="115">
        <v>19.489999999999998</v>
      </c>
      <c r="EIX1914" s="56">
        <v>18.98</v>
      </c>
      <c r="EIY1914" s="56">
        <v>17.5</v>
      </c>
      <c r="EIZ1914" s="62">
        <v>13.28</v>
      </c>
      <c r="EJA1914" s="115">
        <v>19.489999999999998</v>
      </c>
      <c r="EJB1914" s="56">
        <v>18.98</v>
      </c>
      <c r="EJC1914" s="56">
        <v>17.5</v>
      </c>
      <c r="EJD1914" s="62">
        <v>13.28</v>
      </c>
      <c r="EJE1914" s="115">
        <v>19.489999999999998</v>
      </c>
      <c r="EJF1914" s="56">
        <v>18.98</v>
      </c>
      <c r="EJG1914" s="56">
        <v>17.5</v>
      </c>
      <c r="EJH1914" s="62">
        <v>13.28</v>
      </c>
      <c r="EJI1914" s="115">
        <v>19.489999999999998</v>
      </c>
      <c r="EJJ1914" s="56">
        <v>18.98</v>
      </c>
      <c r="EJK1914" s="56">
        <v>17.5</v>
      </c>
      <c r="EJL1914" s="62">
        <v>13.28</v>
      </c>
      <c r="EJM1914" s="115">
        <v>19.489999999999998</v>
      </c>
      <c r="EJN1914" s="56">
        <v>18.98</v>
      </c>
      <c r="EJO1914" s="56">
        <v>17.5</v>
      </c>
      <c r="EJP1914" s="62">
        <v>13.28</v>
      </c>
      <c r="EJQ1914" s="115">
        <v>19.489999999999998</v>
      </c>
      <c r="EJR1914" s="56">
        <v>18.98</v>
      </c>
      <c r="EJS1914" s="56">
        <v>17.5</v>
      </c>
      <c r="EJT1914" s="62">
        <v>13.28</v>
      </c>
      <c r="EJU1914" s="115">
        <v>19.489999999999998</v>
      </c>
      <c r="EJV1914" s="56">
        <v>18.98</v>
      </c>
      <c r="EJW1914" s="56">
        <v>17.5</v>
      </c>
      <c r="EJX1914" s="62">
        <v>13.28</v>
      </c>
      <c r="EJY1914" s="115">
        <v>19.489999999999998</v>
      </c>
      <c r="EJZ1914" s="56">
        <v>18.98</v>
      </c>
      <c r="EKA1914" s="56">
        <v>17.5</v>
      </c>
      <c r="EKB1914" s="62">
        <v>13.28</v>
      </c>
      <c r="EKC1914" s="115">
        <v>19.489999999999998</v>
      </c>
      <c r="EKD1914" s="56">
        <v>18.98</v>
      </c>
      <c r="EKE1914" s="56">
        <v>17.5</v>
      </c>
      <c r="EKF1914" s="62">
        <v>13.28</v>
      </c>
      <c r="EKG1914" s="115">
        <v>19.489999999999998</v>
      </c>
      <c r="EKH1914" s="56">
        <v>18.98</v>
      </c>
      <c r="EKI1914" s="56">
        <v>17.5</v>
      </c>
      <c r="EKJ1914" s="62">
        <v>13.28</v>
      </c>
      <c r="EKK1914" s="115">
        <v>19.489999999999998</v>
      </c>
      <c r="EKL1914" s="56">
        <v>18.98</v>
      </c>
      <c r="EKM1914" s="56">
        <v>17.5</v>
      </c>
      <c r="EKN1914" s="62">
        <v>13.28</v>
      </c>
      <c r="EKO1914" s="115">
        <v>19.489999999999998</v>
      </c>
      <c r="EKP1914" s="56">
        <v>18.98</v>
      </c>
      <c r="EKQ1914" s="56">
        <v>17.5</v>
      </c>
      <c r="EKR1914" s="62">
        <v>13.28</v>
      </c>
      <c r="EKS1914" s="115">
        <v>19.489999999999998</v>
      </c>
      <c r="EKT1914" s="56">
        <v>18.98</v>
      </c>
      <c r="EKU1914" s="56">
        <v>17.5</v>
      </c>
      <c r="EKV1914" s="62">
        <v>13.28</v>
      </c>
      <c r="EKW1914" s="115">
        <v>19.489999999999998</v>
      </c>
      <c r="EKX1914" s="56">
        <v>18.98</v>
      </c>
      <c r="EKY1914" s="56">
        <v>17.5</v>
      </c>
      <c r="EKZ1914" s="62">
        <v>13.28</v>
      </c>
      <c r="ELA1914" s="115">
        <v>19.489999999999998</v>
      </c>
      <c r="ELB1914" s="56">
        <v>18.98</v>
      </c>
      <c r="ELC1914" s="56">
        <v>17.5</v>
      </c>
      <c r="ELD1914" s="62">
        <v>13.28</v>
      </c>
      <c r="ELE1914" s="115">
        <v>19.489999999999998</v>
      </c>
      <c r="ELF1914" s="56">
        <v>18.98</v>
      </c>
      <c r="ELG1914" s="56">
        <v>17.5</v>
      </c>
      <c r="ELH1914" s="62">
        <v>13.28</v>
      </c>
      <c r="ELI1914" s="115">
        <v>19.489999999999998</v>
      </c>
      <c r="ELJ1914" s="56">
        <v>18.98</v>
      </c>
      <c r="ELK1914" s="56">
        <v>17.5</v>
      </c>
      <c r="ELL1914" s="62">
        <v>13.28</v>
      </c>
      <c r="ELM1914" s="115">
        <v>19.489999999999998</v>
      </c>
      <c r="ELN1914" s="56">
        <v>18.98</v>
      </c>
      <c r="ELO1914" s="56">
        <v>17.5</v>
      </c>
      <c r="ELP1914" s="62">
        <v>13.28</v>
      </c>
      <c r="ELQ1914" s="115">
        <v>19.489999999999998</v>
      </c>
      <c r="ELR1914" s="56">
        <v>18.98</v>
      </c>
      <c r="ELS1914" s="56">
        <v>17.5</v>
      </c>
      <c r="ELT1914" s="62">
        <v>13.28</v>
      </c>
      <c r="ELU1914" s="115">
        <v>19.489999999999998</v>
      </c>
      <c r="ELV1914" s="56">
        <v>18.98</v>
      </c>
      <c r="ELW1914" s="56">
        <v>17.5</v>
      </c>
      <c r="ELX1914" s="62">
        <v>13.28</v>
      </c>
      <c r="ELY1914" s="115">
        <v>19.489999999999998</v>
      </c>
      <c r="ELZ1914" s="56">
        <v>18.98</v>
      </c>
      <c r="EMA1914" s="56">
        <v>17.5</v>
      </c>
      <c r="EMB1914" s="62">
        <v>13.28</v>
      </c>
      <c r="EMC1914" s="115">
        <v>19.489999999999998</v>
      </c>
      <c r="EMD1914" s="56">
        <v>18.98</v>
      </c>
      <c r="EME1914" s="56">
        <v>17.5</v>
      </c>
      <c r="EMF1914" s="62">
        <v>13.28</v>
      </c>
      <c r="EMG1914" s="115">
        <v>19.489999999999998</v>
      </c>
      <c r="EMH1914" s="56">
        <v>18.98</v>
      </c>
      <c r="EMI1914" s="56">
        <v>17.5</v>
      </c>
      <c r="EMJ1914" s="62">
        <v>13.28</v>
      </c>
      <c r="EMK1914" s="115">
        <v>19.489999999999998</v>
      </c>
      <c r="EML1914" s="56">
        <v>18.98</v>
      </c>
      <c r="EMM1914" s="56">
        <v>17.5</v>
      </c>
      <c r="EMN1914" s="62">
        <v>13.28</v>
      </c>
      <c r="EMO1914" s="115">
        <v>19.489999999999998</v>
      </c>
      <c r="EMP1914" s="56">
        <v>18.98</v>
      </c>
      <c r="EMQ1914" s="56">
        <v>17.5</v>
      </c>
      <c r="EMR1914" s="62">
        <v>13.28</v>
      </c>
      <c r="EMS1914" s="115">
        <v>19.489999999999998</v>
      </c>
      <c r="EMT1914" s="56">
        <v>18.98</v>
      </c>
      <c r="EMU1914" s="56">
        <v>17.5</v>
      </c>
      <c r="EMV1914" s="62">
        <v>13.28</v>
      </c>
      <c r="EMW1914" s="115">
        <v>19.489999999999998</v>
      </c>
      <c r="EMX1914" s="56">
        <v>18.98</v>
      </c>
      <c r="EMY1914" s="56">
        <v>17.5</v>
      </c>
      <c r="EMZ1914" s="62">
        <v>13.28</v>
      </c>
      <c r="ENA1914" s="115">
        <v>19.489999999999998</v>
      </c>
      <c r="ENB1914" s="56">
        <v>18.98</v>
      </c>
      <c r="ENC1914" s="56">
        <v>17.5</v>
      </c>
      <c r="END1914" s="62">
        <v>13.28</v>
      </c>
      <c r="ENE1914" s="115">
        <v>19.489999999999998</v>
      </c>
      <c r="ENF1914" s="56">
        <v>18.98</v>
      </c>
      <c r="ENG1914" s="56">
        <v>17.5</v>
      </c>
      <c r="ENH1914" s="62">
        <v>13.28</v>
      </c>
      <c r="ENI1914" s="115">
        <v>19.489999999999998</v>
      </c>
      <c r="ENJ1914" s="56">
        <v>18.98</v>
      </c>
      <c r="ENK1914" s="56">
        <v>17.5</v>
      </c>
      <c r="ENL1914" s="62">
        <v>13.28</v>
      </c>
      <c r="ENM1914" s="115">
        <v>19.489999999999998</v>
      </c>
      <c r="ENN1914" s="56">
        <v>18.98</v>
      </c>
      <c r="ENO1914" s="56">
        <v>17.5</v>
      </c>
      <c r="ENP1914" s="62">
        <v>13.28</v>
      </c>
      <c r="ENQ1914" s="115">
        <v>19.489999999999998</v>
      </c>
      <c r="ENR1914" s="56">
        <v>18.98</v>
      </c>
      <c r="ENS1914" s="56">
        <v>17.5</v>
      </c>
      <c r="ENT1914" s="62">
        <v>13.28</v>
      </c>
      <c r="ENU1914" s="115">
        <v>19.489999999999998</v>
      </c>
      <c r="ENV1914" s="56">
        <v>18.98</v>
      </c>
      <c r="ENW1914" s="56">
        <v>17.5</v>
      </c>
      <c r="ENX1914" s="62">
        <v>13.28</v>
      </c>
      <c r="ENY1914" s="115">
        <v>19.489999999999998</v>
      </c>
      <c r="ENZ1914" s="56">
        <v>18.98</v>
      </c>
      <c r="EOA1914" s="56">
        <v>17.5</v>
      </c>
      <c r="EOB1914" s="62">
        <v>13.28</v>
      </c>
      <c r="EOC1914" s="115">
        <v>19.489999999999998</v>
      </c>
      <c r="EOD1914" s="56">
        <v>18.98</v>
      </c>
      <c r="EOE1914" s="56">
        <v>17.5</v>
      </c>
      <c r="EOF1914" s="62">
        <v>13.28</v>
      </c>
      <c r="EOG1914" s="115">
        <v>19.489999999999998</v>
      </c>
      <c r="EOH1914" s="56">
        <v>18.98</v>
      </c>
      <c r="EOI1914" s="56">
        <v>17.5</v>
      </c>
      <c r="EOJ1914" s="62">
        <v>13.28</v>
      </c>
      <c r="EOK1914" s="115">
        <v>19.489999999999998</v>
      </c>
      <c r="EOL1914" s="56">
        <v>18.98</v>
      </c>
      <c r="EOM1914" s="56">
        <v>17.5</v>
      </c>
      <c r="EON1914" s="62">
        <v>13.28</v>
      </c>
      <c r="EOO1914" s="115">
        <v>19.489999999999998</v>
      </c>
      <c r="EOP1914" s="56">
        <v>18.98</v>
      </c>
      <c r="EOQ1914" s="56">
        <v>17.5</v>
      </c>
      <c r="EOR1914" s="62">
        <v>13.28</v>
      </c>
      <c r="EOS1914" s="115">
        <v>19.489999999999998</v>
      </c>
      <c r="EOT1914" s="56">
        <v>18.98</v>
      </c>
      <c r="EOU1914" s="56">
        <v>17.5</v>
      </c>
      <c r="EOV1914" s="62">
        <v>13.28</v>
      </c>
      <c r="EOW1914" s="115">
        <v>19.489999999999998</v>
      </c>
      <c r="EOX1914" s="56">
        <v>18.98</v>
      </c>
      <c r="EOY1914" s="56">
        <v>17.5</v>
      </c>
      <c r="EOZ1914" s="62">
        <v>13.28</v>
      </c>
      <c r="EPA1914" s="115">
        <v>19.489999999999998</v>
      </c>
      <c r="EPB1914" s="56">
        <v>18.98</v>
      </c>
      <c r="EPC1914" s="56">
        <v>17.5</v>
      </c>
      <c r="EPD1914" s="62">
        <v>13.28</v>
      </c>
      <c r="EPE1914" s="115">
        <v>19.489999999999998</v>
      </c>
      <c r="EPF1914" s="56">
        <v>18.98</v>
      </c>
      <c r="EPG1914" s="56">
        <v>17.5</v>
      </c>
      <c r="EPH1914" s="62">
        <v>13.28</v>
      </c>
      <c r="EPI1914" s="115">
        <v>19.489999999999998</v>
      </c>
      <c r="EPJ1914" s="56">
        <v>18.98</v>
      </c>
      <c r="EPK1914" s="56">
        <v>17.5</v>
      </c>
      <c r="EPL1914" s="62">
        <v>13.28</v>
      </c>
      <c r="EPM1914" s="115">
        <v>19.489999999999998</v>
      </c>
      <c r="EPN1914" s="56">
        <v>18.98</v>
      </c>
      <c r="EPO1914" s="56">
        <v>17.5</v>
      </c>
      <c r="EPP1914" s="62">
        <v>13.28</v>
      </c>
      <c r="EPQ1914" s="115">
        <v>19.489999999999998</v>
      </c>
      <c r="EPR1914" s="56">
        <v>18.98</v>
      </c>
      <c r="EPS1914" s="56">
        <v>17.5</v>
      </c>
      <c r="EPT1914" s="62">
        <v>13.28</v>
      </c>
      <c r="EPU1914" s="115">
        <v>19.489999999999998</v>
      </c>
      <c r="EPV1914" s="56">
        <v>18.98</v>
      </c>
      <c r="EPW1914" s="56">
        <v>17.5</v>
      </c>
      <c r="EPX1914" s="62">
        <v>13.28</v>
      </c>
      <c r="EPY1914" s="115">
        <v>19.489999999999998</v>
      </c>
      <c r="EPZ1914" s="56">
        <v>18.98</v>
      </c>
      <c r="EQA1914" s="56">
        <v>17.5</v>
      </c>
      <c r="EQB1914" s="62">
        <v>13.28</v>
      </c>
      <c r="EQC1914" s="115">
        <v>19.489999999999998</v>
      </c>
      <c r="EQD1914" s="56">
        <v>18.98</v>
      </c>
      <c r="EQE1914" s="56">
        <v>17.5</v>
      </c>
      <c r="EQF1914" s="62">
        <v>13.28</v>
      </c>
      <c r="EQG1914" s="115">
        <v>19.489999999999998</v>
      </c>
      <c r="EQH1914" s="56">
        <v>18.98</v>
      </c>
      <c r="EQI1914" s="56">
        <v>17.5</v>
      </c>
      <c r="EQJ1914" s="62">
        <v>13.28</v>
      </c>
      <c r="EQK1914" s="115">
        <v>19.489999999999998</v>
      </c>
      <c r="EQL1914" s="56">
        <v>18.98</v>
      </c>
      <c r="EQM1914" s="56">
        <v>17.5</v>
      </c>
      <c r="EQN1914" s="62">
        <v>13.28</v>
      </c>
      <c r="EQO1914" s="115">
        <v>19.489999999999998</v>
      </c>
      <c r="EQP1914" s="56">
        <v>18.98</v>
      </c>
      <c r="EQQ1914" s="56">
        <v>17.5</v>
      </c>
      <c r="EQR1914" s="62">
        <v>13.28</v>
      </c>
      <c r="EQS1914" s="115">
        <v>19.489999999999998</v>
      </c>
      <c r="EQT1914" s="56">
        <v>18.98</v>
      </c>
      <c r="EQU1914" s="56">
        <v>17.5</v>
      </c>
      <c r="EQV1914" s="62">
        <v>13.28</v>
      </c>
      <c r="EQW1914" s="115">
        <v>19.489999999999998</v>
      </c>
      <c r="EQX1914" s="56">
        <v>18.98</v>
      </c>
      <c r="EQY1914" s="56">
        <v>17.5</v>
      </c>
      <c r="EQZ1914" s="62">
        <v>13.28</v>
      </c>
      <c r="ERA1914" s="115">
        <v>19.489999999999998</v>
      </c>
      <c r="ERB1914" s="56">
        <v>18.98</v>
      </c>
      <c r="ERC1914" s="56">
        <v>17.5</v>
      </c>
      <c r="ERD1914" s="62">
        <v>13.28</v>
      </c>
      <c r="ERE1914" s="115">
        <v>19.489999999999998</v>
      </c>
      <c r="ERF1914" s="56">
        <v>18.98</v>
      </c>
      <c r="ERG1914" s="56">
        <v>17.5</v>
      </c>
      <c r="ERH1914" s="62">
        <v>13.28</v>
      </c>
      <c r="ERI1914" s="115">
        <v>19.489999999999998</v>
      </c>
      <c r="ERJ1914" s="56">
        <v>18.98</v>
      </c>
      <c r="ERK1914" s="56">
        <v>17.5</v>
      </c>
      <c r="ERL1914" s="62">
        <v>13.28</v>
      </c>
      <c r="ERM1914" s="115">
        <v>19.489999999999998</v>
      </c>
      <c r="ERN1914" s="56">
        <v>18.98</v>
      </c>
      <c r="ERO1914" s="56">
        <v>17.5</v>
      </c>
      <c r="ERP1914" s="62">
        <v>13.28</v>
      </c>
      <c r="ERQ1914" s="115">
        <v>19.489999999999998</v>
      </c>
      <c r="ERR1914" s="56">
        <v>18.98</v>
      </c>
      <c r="ERS1914" s="56">
        <v>17.5</v>
      </c>
      <c r="ERT1914" s="62">
        <v>13.28</v>
      </c>
      <c r="ERU1914" s="115">
        <v>19.489999999999998</v>
      </c>
      <c r="ERV1914" s="56">
        <v>18.98</v>
      </c>
      <c r="ERW1914" s="56">
        <v>17.5</v>
      </c>
      <c r="ERX1914" s="62">
        <v>13.28</v>
      </c>
      <c r="ERY1914" s="115">
        <v>19.489999999999998</v>
      </c>
      <c r="ERZ1914" s="56">
        <v>18.98</v>
      </c>
      <c r="ESA1914" s="56">
        <v>17.5</v>
      </c>
      <c r="ESB1914" s="62">
        <v>13.28</v>
      </c>
      <c r="ESC1914" s="115">
        <v>19.489999999999998</v>
      </c>
      <c r="ESD1914" s="56">
        <v>18.98</v>
      </c>
      <c r="ESE1914" s="56">
        <v>17.5</v>
      </c>
      <c r="ESF1914" s="62">
        <v>13.28</v>
      </c>
      <c r="ESG1914" s="115">
        <v>19.489999999999998</v>
      </c>
      <c r="ESH1914" s="56">
        <v>18.98</v>
      </c>
      <c r="ESI1914" s="56">
        <v>17.5</v>
      </c>
      <c r="ESJ1914" s="62">
        <v>13.28</v>
      </c>
      <c r="ESK1914" s="115">
        <v>19.489999999999998</v>
      </c>
      <c r="ESL1914" s="56">
        <v>18.98</v>
      </c>
      <c r="ESM1914" s="56">
        <v>17.5</v>
      </c>
      <c r="ESN1914" s="62">
        <v>13.28</v>
      </c>
      <c r="ESO1914" s="115">
        <v>19.489999999999998</v>
      </c>
      <c r="ESP1914" s="56">
        <v>18.98</v>
      </c>
      <c r="ESQ1914" s="56">
        <v>17.5</v>
      </c>
      <c r="ESR1914" s="62">
        <v>13.28</v>
      </c>
      <c r="ESS1914" s="115">
        <v>19.489999999999998</v>
      </c>
      <c r="EST1914" s="56">
        <v>18.98</v>
      </c>
      <c r="ESU1914" s="56">
        <v>17.5</v>
      </c>
      <c r="ESV1914" s="62">
        <v>13.28</v>
      </c>
      <c r="ESW1914" s="115">
        <v>19.489999999999998</v>
      </c>
      <c r="ESX1914" s="56">
        <v>18.98</v>
      </c>
      <c r="ESY1914" s="56">
        <v>17.5</v>
      </c>
      <c r="ESZ1914" s="62">
        <v>13.28</v>
      </c>
      <c r="ETA1914" s="115">
        <v>19.489999999999998</v>
      </c>
      <c r="ETB1914" s="56">
        <v>18.98</v>
      </c>
      <c r="ETC1914" s="56">
        <v>17.5</v>
      </c>
      <c r="ETD1914" s="62">
        <v>13.28</v>
      </c>
      <c r="ETE1914" s="115">
        <v>19.489999999999998</v>
      </c>
      <c r="ETF1914" s="56">
        <v>18.98</v>
      </c>
      <c r="ETG1914" s="56">
        <v>17.5</v>
      </c>
      <c r="ETH1914" s="62">
        <v>13.28</v>
      </c>
      <c r="ETI1914" s="115">
        <v>19.489999999999998</v>
      </c>
      <c r="ETJ1914" s="56">
        <v>18.98</v>
      </c>
      <c r="ETK1914" s="56">
        <v>17.5</v>
      </c>
      <c r="ETL1914" s="62">
        <v>13.28</v>
      </c>
      <c r="ETM1914" s="115">
        <v>19.489999999999998</v>
      </c>
      <c r="ETN1914" s="56">
        <v>18.98</v>
      </c>
      <c r="ETO1914" s="56">
        <v>17.5</v>
      </c>
      <c r="ETP1914" s="62">
        <v>13.28</v>
      </c>
      <c r="ETQ1914" s="115">
        <v>19.489999999999998</v>
      </c>
      <c r="ETR1914" s="56">
        <v>18.98</v>
      </c>
      <c r="ETS1914" s="56">
        <v>17.5</v>
      </c>
      <c r="ETT1914" s="62">
        <v>13.28</v>
      </c>
      <c r="ETU1914" s="115">
        <v>19.489999999999998</v>
      </c>
      <c r="ETV1914" s="56">
        <v>18.98</v>
      </c>
      <c r="ETW1914" s="56">
        <v>17.5</v>
      </c>
      <c r="ETX1914" s="62">
        <v>13.28</v>
      </c>
      <c r="ETY1914" s="115">
        <v>19.489999999999998</v>
      </c>
      <c r="ETZ1914" s="56">
        <v>18.98</v>
      </c>
      <c r="EUA1914" s="56">
        <v>17.5</v>
      </c>
      <c r="EUB1914" s="62">
        <v>13.28</v>
      </c>
      <c r="EUC1914" s="115">
        <v>19.489999999999998</v>
      </c>
      <c r="EUD1914" s="56">
        <v>18.98</v>
      </c>
      <c r="EUE1914" s="56">
        <v>17.5</v>
      </c>
      <c r="EUF1914" s="62">
        <v>13.28</v>
      </c>
      <c r="EUG1914" s="115">
        <v>19.489999999999998</v>
      </c>
      <c r="EUH1914" s="56">
        <v>18.98</v>
      </c>
      <c r="EUI1914" s="56">
        <v>17.5</v>
      </c>
      <c r="EUJ1914" s="62">
        <v>13.28</v>
      </c>
      <c r="EUK1914" s="115">
        <v>19.489999999999998</v>
      </c>
      <c r="EUL1914" s="56">
        <v>18.98</v>
      </c>
      <c r="EUM1914" s="56">
        <v>17.5</v>
      </c>
      <c r="EUN1914" s="62">
        <v>13.28</v>
      </c>
      <c r="EUO1914" s="115">
        <v>19.489999999999998</v>
      </c>
      <c r="EUP1914" s="56">
        <v>18.98</v>
      </c>
      <c r="EUQ1914" s="56">
        <v>17.5</v>
      </c>
      <c r="EUR1914" s="62">
        <v>13.28</v>
      </c>
      <c r="EUS1914" s="115">
        <v>19.489999999999998</v>
      </c>
      <c r="EUT1914" s="56">
        <v>18.98</v>
      </c>
      <c r="EUU1914" s="56">
        <v>17.5</v>
      </c>
      <c r="EUV1914" s="62">
        <v>13.28</v>
      </c>
      <c r="EUW1914" s="115">
        <v>19.489999999999998</v>
      </c>
      <c r="EUX1914" s="56">
        <v>18.98</v>
      </c>
      <c r="EUY1914" s="56">
        <v>17.5</v>
      </c>
      <c r="EUZ1914" s="62">
        <v>13.28</v>
      </c>
      <c r="EVA1914" s="115">
        <v>19.489999999999998</v>
      </c>
      <c r="EVB1914" s="56">
        <v>18.98</v>
      </c>
      <c r="EVC1914" s="56">
        <v>17.5</v>
      </c>
      <c r="EVD1914" s="62">
        <v>13.28</v>
      </c>
      <c r="EVE1914" s="115">
        <v>19.489999999999998</v>
      </c>
      <c r="EVF1914" s="56">
        <v>18.98</v>
      </c>
      <c r="EVG1914" s="56">
        <v>17.5</v>
      </c>
      <c r="EVH1914" s="62">
        <v>13.28</v>
      </c>
      <c r="EVI1914" s="115">
        <v>19.489999999999998</v>
      </c>
      <c r="EVJ1914" s="56">
        <v>18.98</v>
      </c>
      <c r="EVK1914" s="56">
        <v>17.5</v>
      </c>
      <c r="EVL1914" s="62">
        <v>13.28</v>
      </c>
      <c r="EVM1914" s="115">
        <v>19.489999999999998</v>
      </c>
      <c r="EVN1914" s="56">
        <v>18.98</v>
      </c>
      <c r="EVO1914" s="56">
        <v>17.5</v>
      </c>
      <c r="EVP1914" s="62">
        <v>13.28</v>
      </c>
      <c r="EVQ1914" s="115">
        <v>19.489999999999998</v>
      </c>
      <c r="EVR1914" s="56">
        <v>18.98</v>
      </c>
      <c r="EVS1914" s="56">
        <v>17.5</v>
      </c>
      <c r="EVT1914" s="62">
        <v>13.28</v>
      </c>
      <c r="EVU1914" s="115">
        <v>19.489999999999998</v>
      </c>
      <c r="EVV1914" s="56">
        <v>18.98</v>
      </c>
      <c r="EVW1914" s="56">
        <v>17.5</v>
      </c>
      <c r="EVX1914" s="62">
        <v>13.28</v>
      </c>
      <c r="EVY1914" s="115">
        <v>19.489999999999998</v>
      </c>
      <c r="EVZ1914" s="56">
        <v>18.98</v>
      </c>
      <c r="EWA1914" s="56">
        <v>17.5</v>
      </c>
      <c r="EWB1914" s="62">
        <v>13.28</v>
      </c>
      <c r="EWC1914" s="115">
        <v>19.489999999999998</v>
      </c>
      <c r="EWD1914" s="56">
        <v>18.98</v>
      </c>
      <c r="EWE1914" s="56">
        <v>17.5</v>
      </c>
      <c r="EWF1914" s="62">
        <v>13.28</v>
      </c>
      <c r="EWG1914" s="115">
        <v>19.489999999999998</v>
      </c>
      <c r="EWH1914" s="56">
        <v>18.98</v>
      </c>
      <c r="EWI1914" s="56">
        <v>17.5</v>
      </c>
      <c r="EWJ1914" s="62">
        <v>13.28</v>
      </c>
      <c r="EWK1914" s="115">
        <v>19.489999999999998</v>
      </c>
      <c r="EWL1914" s="56">
        <v>18.98</v>
      </c>
      <c r="EWM1914" s="56">
        <v>17.5</v>
      </c>
      <c r="EWN1914" s="62">
        <v>13.28</v>
      </c>
      <c r="EWO1914" s="115">
        <v>19.489999999999998</v>
      </c>
      <c r="EWP1914" s="56">
        <v>18.98</v>
      </c>
      <c r="EWQ1914" s="56">
        <v>17.5</v>
      </c>
      <c r="EWR1914" s="62">
        <v>13.28</v>
      </c>
      <c r="EWS1914" s="115">
        <v>19.489999999999998</v>
      </c>
      <c r="EWT1914" s="56">
        <v>18.98</v>
      </c>
      <c r="EWU1914" s="56">
        <v>17.5</v>
      </c>
      <c r="EWV1914" s="62">
        <v>13.28</v>
      </c>
      <c r="EWW1914" s="115">
        <v>19.489999999999998</v>
      </c>
      <c r="EWX1914" s="56">
        <v>18.98</v>
      </c>
      <c r="EWY1914" s="56">
        <v>17.5</v>
      </c>
      <c r="EWZ1914" s="62">
        <v>13.28</v>
      </c>
      <c r="EXA1914" s="115">
        <v>19.489999999999998</v>
      </c>
      <c r="EXB1914" s="56">
        <v>18.98</v>
      </c>
      <c r="EXC1914" s="56">
        <v>17.5</v>
      </c>
      <c r="EXD1914" s="62">
        <v>13.28</v>
      </c>
      <c r="EXE1914" s="115">
        <v>19.489999999999998</v>
      </c>
      <c r="EXF1914" s="56">
        <v>18.98</v>
      </c>
      <c r="EXG1914" s="56">
        <v>17.5</v>
      </c>
      <c r="EXH1914" s="62">
        <v>13.28</v>
      </c>
      <c r="EXI1914" s="115">
        <v>19.489999999999998</v>
      </c>
      <c r="EXJ1914" s="56">
        <v>18.98</v>
      </c>
      <c r="EXK1914" s="56">
        <v>17.5</v>
      </c>
      <c r="EXL1914" s="62">
        <v>13.28</v>
      </c>
      <c r="EXM1914" s="115">
        <v>19.489999999999998</v>
      </c>
      <c r="EXN1914" s="56">
        <v>18.98</v>
      </c>
      <c r="EXO1914" s="56">
        <v>17.5</v>
      </c>
      <c r="EXP1914" s="62">
        <v>13.28</v>
      </c>
      <c r="EXQ1914" s="115">
        <v>19.489999999999998</v>
      </c>
      <c r="EXR1914" s="56">
        <v>18.98</v>
      </c>
      <c r="EXS1914" s="56">
        <v>17.5</v>
      </c>
      <c r="EXT1914" s="62">
        <v>13.28</v>
      </c>
      <c r="EXU1914" s="115">
        <v>19.489999999999998</v>
      </c>
      <c r="EXV1914" s="56">
        <v>18.98</v>
      </c>
      <c r="EXW1914" s="56">
        <v>17.5</v>
      </c>
      <c r="EXX1914" s="62">
        <v>13.28</v>
      </c>
      <c r="EXY1914" s="115">
        <v>19.489999999999998</v>
      </c>
      <c r="EXZ1914" s="56">
        <v>18.98</v>
      </c>
      <c r="EYA1914" s="56">
        <v>17.5</v>
      </c>
      <c r="EYB1914" s="62">
        <v>13.28</v>
      </c>
      <c r="EYC1914" s="115">
        <v>19.489999999999998</v>
      </c>
      <c r="EYD1914" s="56">
        <v>18.98</v>
      </c>
      <c r="EYE1914" s="56">
        <v>17.5</v>
      </c>
      <c r="EYF1914" s="62">
        <v>13.28</v>
      </c>
      <c r="EYG1914" s="115">
        <v>19.489999999999998</v>
      </c>
      <c r="EYH1914" s="56">
        <v>18.98</v>
      </c>
      <c r="EYI1914" s="56">
        <v>17.5</v>
      </c>
      <c r="EYJ1914" s="62">
        <v>13.28</v>
      </c>
      <c r="EYK1914" s="115">
        <v>19.489999999999998</v>
      </c>
      <c r="EYL1914" s="56">
        <v>18.98</v>
      </c>
      <c r="EYM1914" s="56">
        <v>17.5</v>
      </c>
      <c r="EYN1914" s="62">
        <v>13.28</v>
      </c>
      <c r="EYO1914" s="115">
        <v>19.489999999999998</v>
      </c>
      <c r="EYP1914" s="56">
        <v>18.98</v>
      </c>
      <c r="EYQ1914" s="56">
        <v>17.5</v>
      </c>
      <c r="EYR1914" s="62">
        <v>13.28</v>
      </c>
      <c r="EYS1914" s="115">
        <v>19.489999999999998</v>
      </c>
      <c r="EYT1914" s="56">
        <v>18.98</v>
      </c>
      <c r="EYU1914" s="56">
        <v>17.5</v>
      </c>
      <c r="EYV1914" s="62">
        <v>13.28</v>
      </c>
      <c r="EYW1914" s="115">
        <v>19.489999999999998</v>
      </c>
      <c r="EYX1914" s="56">
        <v>18.98</v>
      </c>
      <c r="EYY1914" s="56">
        <v>17.5</v>
      </c>
      <c r="EYZ1914" s="62">
        <v>13.28</v>
      </c>
      <c r="EZA1914" s="115">
        <v>19.489999999999998</v>
      </c>
      <c r="EZB1914" s="56">
        <v>18.98</v>
      </c>
      <c r="EZC1914" s="56">
        <v>17.5</v>
      </c>
      <c r="EZD1914" s="62">
        <v>13.28</v>
      </c>
      <c r="EZE1914" s="115">
        <v>19.489999999999998</v>
      </c>
      <c r="EZF1914" s="56">
        <v>18.98</v>
      </c>
      <c r="EZG1914" s="56">
        <v>17.5</v>
      </c>
      <c r="EZH1914" s="62">
        <v>13.28</v>
      </c>
      <c r="EZI1914" s="115">
        <v>19.489999999999998</v>
      </c>
      <c r="EZJ1914" s="56">
        <v>18.98</v>
      </c>
      <c r="EZK1914" s="56">
        <v>17.5</v>
      </c>
      <c r="EZL1914" s="62">
        <v>13.28</v>
      </c>
      <c r="EZM1914" s="115">
        <v>19.489999999999998</v>
      </c>
      <c r="EZN1914" s="56">
        <v>18.98</v>
      </c>
      <c r="EZO1914" s="56">
        <v>17.5</v>
      </c>
      <c r="EZP1914" s="62">
        <v>13.28</v>
      </c>
      <c r="EZQ1914" s="115">
        <v>19.489999999999998</v>
      </c>
      <c r="EZR1914" s="56">
        <v>18.98</v>
      </c>
      <c r="EZS1914" s="56">
        <v>17.5</v>
      </c>
      <c r="EZT1914" s="62">
        <v>13.28</v>
      </c>
      <c r="EZU1914" s="115">
        <v>19.489999999999998</v>
      </c>
      <c r="EZV1914" s="56">
        <v>18.98</v>
      </c>
      <c r="EZW1914" s="56">
        <v>17.5</v>
      </c>
      <c r="EZX1914" s="62">
        <v>13.28</v>
      </c>
      <c r="EZY1914" s="115">
        <v>19.489999999999998</v>
      </c>
      <c r="EZZ1914" s="56">
        <v>18.98</v>
      </c>
      <c r="FAA1914" s="56">
        <v>17.5</v>
      </c>
      <c r="FAB1914" s="62">
        <v>13.28</v>
      </c>
      <c r="FAC1914" s="115">
        <v>19.489999999999998</v>
      </c>
      <c r="FAD1914" s="56">
        <v>18.98</v>
      </c>
      <c r="FAE1914" s="56">
        <v>17.5</v>
      </c>
      <c r="FAF1914" s="62">
        <v>13.28</v>
      </c>
      <c r="FAG1914" s="115">
        <v>19.489999999999998</v>
      </c>
      <c r="FAH1914" s="56">
        <v>18.98</v>
      </c>
      <c r="FAI1914" s="56">
        <v>17.5</v>
      </c>
      <c r="FAJ1914" s="62">
        <v>13.28</v>
      </c>
      <c r="FAK1914" s="115">
        <v>19.489999999999998</v>
      </c>
      <c r="FAL1914" s="56">
        <v>18.98</v>
      </c>
      <c r="FAM1914" s="56">
        <v>17.5</v>
      </c>
      <c r="FAN1914" s="62">
        <v>13.28</v>
      </c>
      <c r="FAO1914" s="115">
        <v>19.489999999999998</v>
      </c>
      <c r="FAP1914" s="56">
        <v>18.98</v>
      </c>
      <c r="FAQ1914" s="56">
        <v>17.5</v>
      </c>
      <c r="FAR1914" s="62">
        <v>13.28</v>
      </c>
      <c r="FAS1914" s="115">
        <v>19.489999999999998</v>
      </c>
      <c r="FAT1914" s="56">
        <v>18.98</v>
      </c>
      <c r="FAU1914" s="56">
        <v>17.5</v>
      </c>
      <c r="FAV1914" s="62">
        <v>13.28</v>
      </c>
      <c r="FAW1914" s="115">
        <v>19.489999999999998</v>
      </c>
      <c r="FAX1914" s="56">
        <v>18.98</v>
      </c>
      <c r="FAY1914" s="56">
        <v>17.5</v>
      </c>
      <c r="FAZ1914" s="62">
        <v>13.28</v>
      </c>
      <c r="FBA1914" s="115">
        <v>19.489999999999998</v>
      </c>
      <c r="FBB1914" s="56">
        <v>18.98</v>
      </c>
      <c r="FBC1914" s="56">
        <v>17.5</v>
      </c>
      <c r="FBD1914" s="62">
        <v>13.28</v>
      </c>
      <c r="FBE1914" s="115">
        <v>19.489999999999998</v>
      </c>
      <c r="FBF1914" s="56">
        <v>18.98</v>
      </c>
      <c r="FBG1914" s="56">
        <v>17.5</v>
      </c>
      <c r="FBH1914" s="62">
        <v>13.28</v>
      </c>
      <c r="FBI1914" s="115">
        <v>19.489999999999998</v>
      </c>
      <c r="FBJ1914" s="56">
        <v>18.98</v>
      </c>
      <c r="FBK1914" s="56">
        <v>17.5</v>
      </c>
      <c r="FBL1914" s="62">
        <v>13.28</v>
      </c>
      <c r="FBM1914" s="115">
        <v>19.489999999999998</v>
      </c>
      <c r="FBN1914" s="56">
        <v>18.98</v>
      </c>
      <c r="FBO1914" s="56">
        <v>17.5</v>
      </c>
      <c r="FBP1914" s="62">
        <v>13.28</v>
      </c>
      <c r="FBQ1914" s="115">
        <v>19.489999999999998</v>
      </c>
      <c r="FBR1914" s="56">
        <v>18.98</v>
      </c>
      <c r="FBS1914" s="56">
        <v>17.5</v>
      </c>
      <c r="FBT1914" s="62">
        <v>13.28</v>
      </c>
      <c r="FBU1914" s="115">
        <v>19.489999999999998</v>
      </c>
      <c r="FBV1914" s="56">
        <v>18.98</v>
      </c>
      <c r="FBW1914" s="56">
        <v>17.5</v>
      </c>
      <c r="FBX1914" s="62">
        <v>13.28</v>
      </c>
      <c r="FBY1914" s="115">
        <v>19.489999999999998</v>
      </c>
      <c r="FBZ1914" s="56">
        <v>18.98</v>
      </c>
      <c r="FCA1914" s="56">
        <v>17.5</v>
      </c>
      <c r="FCB1914" s="62">
        <v>13.28</v>
      </c>
      <c r="FCC1914" s="115">
        <v>19.489999999999998</v>
      </c>
      <c r="FCD1914" s="56">
        <v>18.98</v>
      </c>
      <c r="FCE1914" s="56">
        <v>17.5</v>
      </c>
      <c r="FCF1914" s="62">
        <v>13.28</v>
      </c>
      <c r="FCG1914" s="115">
        <v>19.489999999999998</v>
      </c>
      <c r="FCH1914" s="56">
        <v>18.98</v>
      </c>
      <c r="FCI1914" s="56">
        <v>17.5</v>
      </c>
      <c r="FCJ1914" s="62">
        <v>13.28</v>
      </c>
      <c r="FCK1914" s="115">
        <v>19.489999999999998</v>
      </c>
      <c r="FCL1914" s="56">
        <v>18.98</v>
      </c>
      <c r="FCM1914" s="56">
        <v>17.5</v>
      </c>
      <c r="FCN1914" s="62">
        <v>13.28</v>
      </c>
      <c r="FCO1914" s="115">
        <v>19.489999999999998</v>
      </c>
      <c r="FCP1914" s="56">
        <v>18.98</v>
      </c>
      <c r="FCQ1914" s="56">
        <v>17.5</v>
      </c>
      <c r="FCR1914" s="62">
        <v>13.28</v>
      </c>
      <c r="FCS1914" s="115">
        <v>19.489999999999998</v>
      </c>
      <c r="FCT1914" s="56">
        <v>18.98</v>
      </c>
      <c r="FCU1914" s="56">
        <v>17.5</v>
      </c>
      <c r="FCV1914" s="62">
        <v>13.28</v>
      </c>
      <c r="FCW1914" s="115">
        <v>19.489999999999998</v>
      </c>
      <c r="FCX1914" s="56">
        <v>18.98</v>
      </c>
      <c r="FCY1914" s="56">
        <v>17.5</v>
      </c>
      <c r="FCZ1914" s="62">
        <v>13.28</v>
      </c>
      <c r="FDA1914" s="115">
        <v>19.489999999999998</v>
      </c>
      <c r="FDB1914" s="56">
        <v>18.98</v>
      </c>
      <c r="FDC1914" s="56">
        <v>17.5</v>
      </c>
      <c r="FDD1914" s="62">
        <v>13.28</v>
      </c>
      <c r="FDE1914" s="115">
        <v>19.489999999999998</v>
      </c>
      <c r="FDF1914" s="56">
        <v>18.98</v>
      </c>
      <c r="FDG1914" s="56">
        <v>17.5</v>
      </c>
      <c r="FDH1914" s="62">
        <v>13.28</v>
      </c>
      <c r="FDI1914" s="115">
        <v>19.489999999999998</v>
      </c>
      <c r="FDJ1914" s="56">
        <v>18.98</v>
      </c>
      <c r="FDK1914" s="56">
        <v>17.5</v>
      </c>
      <c r="FDL1914" s="62">
        <v>13.28</v>
      </c>
      <c r="FDM1914" s="115">
        <v>19.489999999999998</v>
      </c>
      <c r="FDN1914" s="56">
        <v>18.98</v>
      </c>
      <c r="FDO1914" s="56">
        <v>17.5</v>
      </c>
      <c r="FDP1914" s="62">
        <v>13.28</v>
      </c>
      <c r="FDQ1914" s="115">
        <v>19.489999999999998</v>
      </c>
      <c r="FDR1914" s="56">
        <v>18.98</v>
      </c>
      <c r="FDS1914" s="56">
        <v>17.5</v>
      </c>
      <c r="FDT1914" s="62">
        <v>13.28</v>
      </c>
      <c r="FDU1914" s="115">
        <v>19.489999999999998</v>
      </c>
      <c r="FDV1914" s="56">
        <v>18.98</v>
      </c>
      <c r="FDW1914" s="56">
        <v>17.5</v>
      </c>
      <c r="FDX1914" s="62">
        <v>13.28</v>
      </c>
      <c r="FDY1914" s="115">
        <v>19.489999999999998</v>
      </c>
      <c r="FDZ1914" s="56">
        <v>18.98</v>
      </c>
      <c r="FEA1914" s="56">
        <v>17.5</v>
      </c>
      <c r="FEB1914" s="62">
        <v>13.28</v>
      </c>
      <c r="FEC1914" s="115">
        <v>19.489999999999998</v>
      </c>
      <c r="FED1914" s="56">
        <v>18.98</v>
      </c>
      <c r="FEE1914" s="56">
        <v>17.5</v>
      </c>
      <c r="FEF1914" s="62">
        <v>13.28</v>
      </c>
      <c r="FEG1914" s="115">
        <v>19.489999999999998</v>
      </c>
      <c r="FEH1914" s="56">
        <v>18.98</v>
      </c>
      <c r="FEI1914" s="56">
        <v>17.5</v>
      </c>
      <c r="FEJ1914" s="62">
        <v>13.28</v>
      </c>
      <c r="FEK1914" s="115">
        <v>19.489999999999998</v>
      </c>
      <c r="FEL1914" s="56">
        <v>18.98</v>
      </c>
      <c r="FEM1914" s="56">
        <v>17.5</v>
      </c>
      <c r="FEN1914" s="62">
        <v>13.28</v>
      </c>
      <c r="FEO1914" s="115">
        <v>19.489999999999998</v>
      </c>
      <c r="FEP1914" s="56">
        <v>18.98</v>
      </c>
      <c r="FEQ1914" s="56">
        <v>17.5</v>
      </c>
      <c r="FER1914" s="62">
        <v>13.28</v>
      </c>
      <c r="FES1914" s="115">
        <v>19.489999999999998</v>
      </c>
      <c r="FET1914" s="56">
        <v>18.98</v>
      </c>
      <c r="FEU1914" s="56">
        <v>17.5</v>
      </c>
      <c r="FEV1914" s="62">
        <v>13.28</v>
      </c>
      <c r="FEW1914" s="115">
        <v>19.489999999999998</v>
      </c>
      <c r="FEX1914" s="56">
        <v>18.98</v>
      </c>
      <c r="FEY1914" s="56">
        <v>17.5</v>
      </c>
      <c r="FEZ1914" s="62">
        <v>13.28</v>
      </c>
      <c r="FFA1914" s="115">
        <v>19.489999999999998</v>
      </c>
      <c r="FFB1914" s="56">
        <v>18.98</v>
      </c>
      <c r="FFC1914" s="56">
        <v>17.5</v>
      </c>
      <c r="FFD1914" s="62">
        <v>13.28</v>
      </c>
      <c r="FFE1914" s="115">
        <v>19.489999999999998</v>
      </c>
      <c r="FFF1914" s="56">
        <v>18.98</v>
      </c>
      <c r="FFG1914" s="56">
        <v>17.5</v>
      </c>
      <c r="FFH1914" s="62">
        <v>13.28</v>
      </c>
      <c r="FFI1914" s="115">
        <v>19.489999999999998</v>
      </c>
      <c r="FFJ1914" s="56">
        <v>18.98</v>
      </c>
      <c r="FFK1914" s="56">
        <v>17.5</v>
      </c>
      <c r="FFL1914" s="62">
        <v>13.28</v>
      </c>
      <c r="FFM1914" s="115">
        <v>19.489999999999998</v>
      </c>
      <c r="FFN1914" s="56">
        <v>18.98</v>
      </c>
      <c r="FFO1914" s="56">
        <v>17.5</v>
      </c>
      <c r="FFP1914" s="62">
        <v>13.28</v>
      </c>
      <c r="FFQ1914" s="115">
        <v>19.489999999999998</v>
      </c>
      <c r="FFR1914" s="56">
        <v>18.98</v>
      </c>
      <c r="FFS1914" s="56">
        <v>17.5</v>
      </c>
      <c r="FFT1914" s="62">
        <v>13.28</v>
      </c>
      <c r="FFU1914" s="115">
        <v>19.489999999999998</v>
      </c>
      <c r="FFV1914" s="56">
        <v>18.98</v>
      </c>
      <c r="FFW1914" s="56">
        <v>17.5</v>
      </c>
      <c r="FFX1914" s="62">
        <v>13.28</v>
      </c>
      <c r="FFY1914" s="115">
        <v>19.489999999999998</v>
      </c>
      <c r="FFZ1914" s="56">
        <v>18.98</v>
      </c>
      <c r="FGA1914" s="56">
        <v>17.5</v>
      </c>
      <c r="FGB1914" s="62">
        <v>13.28</v>
      </c>
      <c r="FGC1914" s="115">
        <v>19.489999999999998</v>
      </c>
      <c r="FGD1914" s="56">
        <v>18.98</v>
      </c>
      <c r="FGE1914" s="56">
        <v>17.5</v>
      </c>
      <c r="FGF1914" s="62">
        <v>13.28</v>
      </c>
      <c r="FGG1914" s="115">
        <v>19.489999999999998</v>
      </c>
      <c r="FGH1914" s="56">
        <v>18.98</v>
      </c>
      <c r="FGI1914" s="56">
        <v>17.5</v>
      </c>
      <c r="FGJ1914" s="62">
        <v>13.28</v>
      </c>
      <c r="FGK1914" s="115">
        <v>19.489999999999998</v>
      </c>
      <c r="FGL1914" s="56">
        <v>18.98</v>
      </c>
      <c r="FGM1914" s="56">
        <v>17.5</v>
      </c>
      <c r="FGN1914" s="62">
        <v>13.28</v>
      </c>
      <c r="FGO1914" s="115">
        <v>19.489999999999998</v>
      </c>
      <c r="FGP1914" s="56">
        <v>18.98</v>
      </c>
      <c r="FGQ1914" s="56">
        <v>17.5</v>
      </c>
      <c r="FGR1914" s="62">
        <v>13.28</v>
      </c>
      <c r="FGS1914" s="115">
        <v>19.489999999999998</v>
      </c>
      <c r="FGT1914" s="56">
        <v>18.98</v>
      </c>
      <c r="FGU1914" s="56">
        <v>17.5</v>
      </c>
      <c r="FGV1914" s="62">
        <v>13.28</v>
      </c>
      <c r="FGW1914" s="115">
        <v>19.489999999999998</v>
      </c>
      <c r="FGX1914" s="56">
        <v>18.98</v>
      </c>
      <c r="FGY1914" s="56">
        <v>17.5</v>
      </c>
      <c r="FGZ1914" s="62">
        <v>13.28</v>
      </c>
      <c r="FHA1914" s="115">
        <v>19.489999999999998</v>
      </c>
      <c r="FHB1914" s="56">
        <v>18.98</v>
      </c>
      <c r="FHC1914" s="56">
        <v>17.5</v>
      </c>
      <c r="FHD1914" s="62">
        <v>13.28</v>
      </c>
      <c r="FHE1914" s="115">
        <v>19.489999999999998</v>
      </c>
      <c r="FHF1914" s="56">
        <v>18.98</v>
      </c>
      <c r="FHG1914" s="56">
        <v>17.5</v>
      </c>
      <c r="FHH1914" s="62">
        <v>13.28</v>
      </c>
      <c r="FHI1914" s="115">
        <v>19.489999999999998</v>
      </c>
      <c r="FHJ1914" s="56">
        <v>18.98</v>
      </c>
      <c r="FHK1914" s="56">
        <v>17.5</v>
      </c>
      <c r="FHL1914" s="62">
        <v>13.28</v>
      </c>
      <c r="FHM1914" s="115">
        <v>19.489999999999998</v>
      </c>
      <c r="FHN1914" s="56">
        <v>18.98</v>
      </c>
      <c r="FHO1914" s="56">
        <v>17.5</v>
      </c>
      <c r="FHP1914" s="62">
        <v>13.28</v>
      </c>
      <c r="FHQ1914" s="115">
        <v>19.489999999999998</v>
      </c>
      <c r="FHR1914" s="56">
        <v>18.98</v>
      </c>
      <c r="FHS1914" s="56">
        <v>17.5</v>
      </c>
      <c r="FHT1914" s="62">
        <v>13.28</v>
      </c>
      <c r="FHU1914" s="115">
        <v>19.489999999999998</v>
      </c>
      <c r="FHV1914" s="56">
        <v>18.98</v>
      </c>
      <c r="FHW1914" s="56">
        <v>17.5</v>
      </c>
      <c r="FHX1914" s="62">
        <v>13.28</v>
      </c>
      <c r="FHY1914" s="115">
        <v>19.489999999999998</v>
      </c>
      <c r="FHZ1914" s="56">
        <v>18.98</v>
      </c>
      <c r="FIA1914" s="56">
        <v>17.5</v>
      </c>
      <c r="FIB1914" s="62">
        <v>13.28</v>
      </c>
      <c r="FIC1914" s="115">
        <v>19.489999999999998</v>
      </c>
      <c r="FID1914" s="56">
        <v>18.98</v>
      </c>
      <c r="FIE1914" s="56">
        <v>17.5</v>
      </c>
      <c r="FIF1914" s="62">
        <v>13.28</v>
      </c>
      <c r="FIG1914" s="115">
        <v>19.489999999999998</v>
      </c>
      <c r="FIH1914" s="56">
        <v>18.98</v>
      </c>
      <c r="FII1914" s="56">
        <v>17.5</v>
      </c>
      <c r="FIJ1914" s="62">
        <v>13.28</v>
      </c>
      <c r="FIK1914" s="115">
        <v>19.489999999999998</v>
      </c>
      <c r="FIL1914" s="56">
        <v>18.98</v>
      </c>
      <c r="FIM1914" s="56">
        <v>17.5</v>
      </c>
      <c r="FIN1914" s="62">
        <v>13.28</v>
      </c>
      <c r="FIO1914" s="115">
        <v>19.489999999999998</v>
      </c>
      <c r="FIP1914" s="56">
        <v>18.98</v>
      </c>
      <c r="FIQ1914" s="56">
        <v>17.5</v>
      </c>
      <c r="FIR1914" s="62">
        <v>13.28</v>
      </c>
      <c r="FIS1914" s="115">
        <v>19.489999999999998</v>
      </c>
      <c r="FIT1914" s="56">
        <v>18.98</v>
      </c>
      <c r="FIU1914" s="56">
        <v>17.5</v>
      </c>
      <c r="FIV1914" s="62">
        <v>13.28</v>
      </c>
      <c r="FIW1914" s="115">
        <v>19.489999999999998</v>
      </c>
      <c r="FIX1914" s="56">
        <v>18.98</v>
      </c>
      <c r="FIY1914" s="56">
        <v>17.5</v>
      </c>
      <c r="FIZ1914" s="62">
        <v>13.28</v>
      </c>
      <c r="FJA1914" s="115">
        <v>19.489999999999998</v>
      </c>
      <c r="FJB1914" s="56">
        <v>18.98</v>
      </c>
      <c r="FJC1914" s="56">
        <v>17.5</v>
      </c>
      <c r="FJD1914" s="62">
        <v>13.28</v>
      </c>
      <c r="FJE1914" s="115">
        <v>19.489999999999998</v>
      </c>
      <c r="FJF1914" s="56">
        <v>18.98</v>
      </c>
      <c r="FJG1914" s="56">
        <v>17.5</v>
      </c>
      <c r="FJH1914" s="62">
        <v>13.28</v>
      </c>
      <c r="FJI1914" s="115">
        <v>19.489999999999998</v>
      </c>
      <c r="FJJ1914" s="56">
        <v>18.98</v>
      </c>
      <c r="FJK1914" s="56">
        <v>17.5</v>
      </c>
      <c r="FJL1914" s="62">
        <v>13.28</v>
      </c>
      <c r="FJM1914" s="115">
        <v>19.489999999999998</v>
      </c>
      <c r="FJN1914" s="56">
        <v>18.98</v>
      </c>
      <c r="FJO1914" s="56">
        <v>17.5</v>
      </c>
      <c r="FJP1914" s="62">
        <v>13.28</v>
      </c>
      <c r="FJQ1914" s="115">
        <v>19.489999999999998</v>
      </c>
      <c r="FJR1914" s="56">
        <v>18.98</v>
      </c>
      <c r="FJS1914" s="56">
        <v>17.5</v>
      </c>
      <c r="FJT1914" s="62">
        <v>13.28</v>
      </c>
      <c r="FJU1914" s="115">
        <v>19.489999999999998</v>
      </c>
      <c r="FJV1914" s="56">
        <v>18.98</v>
      </c>
      <c r="FJW1914" s="56">
        <v>17.5</v>
      </c>
      <c r="FJX1914" s="62">
        <v>13.28</v>
      </c>
      <c r="FJY1914" s="115">
        <v>19.489999999999998</v>
      </c>
      <c r="FJZ1914" s="56">
        <v>18.98</v>
      </c>
      <c r="FKA1914" s="56">
        <v>17.5</v>
      </c>
      <c r="FKB1914" s="62">
        <v>13.28</v>
      </c>
      <c r="FKC1914" s="115">
        <v>19.489999999999998</v>
      </c>
      <c r="FKD1914" s="56">
        <v>18.98</v>
      </c>
      <c r="FKE1914" s="56">
        <v>17.5</v>
      </c>
      <c r="FKF1914" s="62">
        <v>13.28</v>
      </c>
      <c r="FKG1914" s="115">
        <v>19.489999999999998</v>
      </c>
      <c r="FKH1914" s="56">
        <v>18.98</v>
      </c>
      <c r="FKI1914" s="56">
        <v>17.5</v>
      </c>
      <c r="FKJ1914" s="62">
        <v>13.28</v>
      </c>
      <c r="FKK1914" s="115">
        <v>19.489999999999998</v>
      </c>
      <c r="FKL1914" s="56">
        <v>18.98</v>
      </c>
      <c r="FKM1914" s="56">
        <v>17.5</v>
      </c>
      <c r="FKN1914" s="62">
        <v>13.28</v>
      </c>
      <c r="FKO1914" s="115">
        <v>19.489999999999998</v>
      </c>
      <c r="FKP1914" s="56">
        <v>18.98</v>
      </c>
      <c r="FKQ1914" s="56">
        <v>17.5</v>
      </c>
      <c r="FKR1914" s="62">
        <v>13.28</v>
      </c>
      <c r="FKS1914" s="115">
        <v>19.489999999999998</v>
      </c>
      <c r="FKT1914" s="56">
        <v>18.98</v>
      </c>
      <c r="FKU1914" s="56">
        <v>17.5</v>
      </c>
      <c r="FKV1914" s="62">
        <v>13.28</v>
      </c>
      <c r="FKW1914" s="115">
        <v>19.489999999999998</v>
      </c>
      <c r="FKX1914" s="56">
        <v>18.98</v>
      </c>
      <c r="FKY1914" s="56">
        <v>17.5</v>
      </c>
      <c r="FKZ1914" s="62">
        <v>13.28</v>
      </c>
      <c r="FLA1914" s="115">
        <v>19.489999999999998</v>
      </c>
      <c r="FLB1914" s="56">
        <v>18.98</v>
      </c>
      <c r="FLC1914" s="56">
        <v>17.5</v>
      </c>
      <c r="FLD1914" s="62">
        <v>13.28</v>
      </c>
      <c r="FLE1914" s="115">
        <v>19.489999999999998</v>
      </c>
      <c r="FLF1914" s="56">
        <v>18.98</v>
      </c>
      <c r="FLG1914" s="56">
        <v>17.5</v>
      </c>
      <c r="FLH1914" s="62">
        <v>13.28</v>
      </c>
      <c r="FLI1914" s="115">
        <v>19.489999999999998</v>
      </c>
      <c r="FLJ1914" s="56">
        <v>18.98</v>
      </c>
      <c r="FLK1914" s="56">
        <v>17.5</v>
      </c>
      <c r="FLL1914" s="62">
        <v>13.28</v>
      </c>
      <c r="FLM1914" s="115">
        <v>19.489999999999998</v>
      </c>
      <c r="FLN1914" s="56">
        <v>18.98</v>
      </c>
      <c r="FLO1914" s="56">
        <v>17.5</v>
      </c>
      <c r="FLP1914" s="62">
        <v>13.28</v>
      </c>
      <c r="FLQ1914" s="115">
        <v>19.489999999999998</v>
      </c>
      <c r="FLR1914" s="56">
        <v>18.98</v>
      </c>
      <c r="FLS1914" s="56">
        <v>17.5</v>
      </c>
      <c r="FLT1914" s="62">
        <v>13.28</v>
      </c>
      <c r="FLU1914" s="115">
        <v>19.489999999999998</v>
      </c>
      <c r="FLV1914" s="56">
        <v>18.98</v>
      </c>
      <c r="FLW1914" s="56">
        <v>17.5</v>
      </c>
      <c r="FLX1914" s="62">
        <v>13.28</v>
      </c>
      <c r="FLY1914" s="115">
        <v>19.489999999999998</v>
      </c>
      <c r="FLZ1914" s="56">
        <v>18.98</v>
      </c>
      <c r="FMA1914" s="56">
        <v>17.5</v>
      </c>
      <c r="FMB1914" s="62">
        <v>13.28</v>
      </c>
      <c r="FMC1914" s="115">
        <v>19.489999999999998</v>
      </c>
      <c r="FMD1914" s="56">
        <v>18.98</v>
      </c>
      <c r="FME1914" s="56">
        <v>17.5</v>
      </c>
      <c r="FMF1914" s="62">
        <v>13.28</v>
      </c>
      <c r="FMG1914" s="115">
        <v>19.489999999999998</v>
      </c>
      <c r="FMH1914" s="56">
        <v>18.98</v>
      </c>
      <c r="FMI1914" s="56">
        <v>17.5</v>
      </c>
      <c r="FMJ1914" s="62">
        <v>13.28</v>
      </c>
      <c r="FMK1914" s="115">
        <v>19.489999999999998</v>
      </c>
      <c r="FML1914" s="56">
        <v>18.98</v>
      </c>
      <c r="FMM1914" s="56">
        <v>17.5</v>
      </c>
      <c r="FMN1914" s="62">
        <v>13.28</v>
      </c>
      <c r="FMO1914" s="115">
        <v>19.489999999999998</v>
      </c>
      <c r="FMP1914" s="56">
        <v>18.98</v>
      </c>
      <c r="FMQ1914" s="56">
        <v>17.5</v>
      </c>
      <c r="FMR1914" s="62">
        <v>13.28</v>
      </c>
      <c r="FMS1914" s="115">
        <v>19.489999999999998</v>
      </c>
      <c r="FMT1914" s="56">
        <v>18.98</v>
      </c>
      <c r="FMU1914" s="56">
        <v>17.5</v>
      </c>
      <c r="FMV1914" s="62">
        <v>13.28</v>
      </c>
      <c r="FMW1914" s="115">
        <v>19.489999999999998</v>
      </c>
      <c r="FMX1914" s="56">
        <v>18.98</v>
      </c>
      <c r="FMY1914" s="56">
        <v>17.5</v>
      </c>
      <c r="FMZ1914" s="62">
        <v>13.28</v>
      </c>
      <c r="FNA1914" s="115">
        <v>19.489999999999998</v>
      </c>
      <c r="FNB1914" s="56">
        <v>18.98</v>
      </c>
      <c r="FNC1914" s="56">
        <v>17.5</v>
      </c>
      <c r="FND1914" s="62">
        <v>13.28</v>
      </c>
      <c r="FNE1914" s="115">
        <v>19.489999999999998</v>
      </c>
      <c r="FNF1914" s="56">
        <v>18.98</v>
      </c>
      <c r="FNG1914" s="56">
        <v>17.5</v>
      </c>
      <c r="FNH1914" s="62">
        <v>13.28</v>
      </c>
      <c r="FNI1914" s="115">
        <v>19.489999999999998</v>
      </c>
      <c r="FNJ1914" s="56">
        <v>18.98</v>
      </c>
      <c r="FNK1914" s="56">
        <v>17.5</v>
      </c>
      <c r="FNL1914" s="62">
        <v>13.28</v>
      </c>
      <c r="FNM1914" s="115">
        <v>19.489999999999998</v>
      </c>
      <c r="FNN1914" s="56">
        <v>18.98</v>
      </c>
      <c r="FNO1914" s="56">
        <v>17.5</v>
      </c>
      <c r="FNP1914" s="62">
        <v>13.28</v>
      </c>
      <c r="FNQ1914" s="115">
        <v>19.489999999999998</v>
      </c>
      <c r="FNR1914" s="56">
        <v>18.98</v>
      </c>
      <c r="FNS1914" s="56">
        <v>17.5</v>
      </c>
      <c r="FNT1914" s="62">
        <v>13.28</v>
      </c>
      <c r="FNU1914" s="115">
        <v>19.489999999999998</v>
      </c>
      <c r="FNV1914" s="56">
        <v>18.98</v>
      </c>
      <c r="FNW1914" s="56">
        <v>17.5</v>
      </c>
      <c r="FNX1914" s="62">
        <v>13.28</v>
      </c>
      <c r="FNY1914" s="115">
        <v>19.489999999999998</v>
      </c>
      <c r="FNZ1914" s="56">
        <v>18.98</v>
      </c>
      <c r="FOA1914" s="56">
        <v>17.5</v>
      </c>
      <c r="FOB1914" s="62">
        <v>13.28</v>
      </c>
      <c r="FOC1914" s="115">
        <v>19.489999999999998</v>
      </c>
      <c r="FOD1914" s="56">
        <v>18.98</v>
      </c>
      <c r="FOE1914" s="56">
        <v>17.5</v>
      </c>
      <c r="FOF1914" s="62">
        <v>13.28</v>
      </c>
      <c r="FOG1914" s="115">
        <v>19.489999999999998</v>
      </c>
      <c r="FOH1914" s="56">
        <v>18.98</v>
      </c>
      <c r="FOI1914" s="56">
        <v>17.5</v>
      </c>
      <c r="FOJ1914" s="62">
        <v>13.28</v>
      </c>
      <c r="FOK1914" s="115">
        <v>19.489999999999998</v>
      </c>
      <c r="FOL1914" s="56">
        <v>18.98</v>
      </c>
      <c r="FOM1914" s="56">
        <v>17.5</v>
      </c>
      <c r="FON1914" s="62">
        <v>13.28</v>
      </c>
      <c r="FOO1914" s="115">
        <v>19.489999999999998</v>
      </c>
      <c r="FOP1914" s="56">
        <v>18.98</v>
      </c>
      <c r="FOQ1914" s="56">
        <v>17.5</v>
      </c>
      <c r="FOR1914" s="62">
        <v>13.28</v>
      </c>
      <c r="FOS1914" s="115">
        <v>19.489999999999998</v>
      </c>
      <c r="FOT1914" s="56">
        <v>18.98</v>
      </c>
      <c r="FOU1914" s="56">
        <v>17.5</v>
      </c>
      <c r="FOV1914" s="62">
        <v>13.28</v>
      </c>
      <c r="FOW1914" s="115">
        <v>19.489999999999998</v>
      </c>
      <c r="FOX1914" s="56">
        <v>18.98</v>
      </c>
      <c r="FOY1914" s="56">
        <v>17.5</v>
      </c>
      <c r="FOZ1914" s="62">
        <v>13.28</v>
      </c>
      <c r="FPA1914" s="115">
        <v>19.489999999999998</v>
      </c>
      <c r="FPB1914" s="56">
        <v>18.98</v>
      </c>
      <c r="FPC1914" s="56">
        <v>17.5</v>
      </c>
      <c r="FPD1914" s="62">
        <v>13.28</v>
      </c>
      <c r="FPE1914" s="115">
        <v>19.489999999999998</v>
      </c>
      <c r="FPF1914" s="56">
        <v>18.98</v>
      </c>
      <c r="FPG1914" s="56">
        <v>17.5</v>
      </c>
      <c r="FPH1914" s="62">
        <v>13.28</v>
      </c>
      <c r="FPI1914" s="115">
        <v>19.489999999999998</v>
      </c>
      <c r="FPJ1914" s="56">
        <v>18.98</v>
      </c>
      <c r="FPK1914" s="56">
        <v>17.5</v>
      </c>
      <c r="FPL1914" s="62">
        <v>13.28</v>
      </c>
      <c r="FPM1914" s="115">
        <v>19.489999999999998</v>
      </c>
      <c r="FPN1914" s="56">
        <v>18.98</v>
      </c>
      <c r="FPO1914" s="56">
        <v>17.5</v>
      </c>
      <c r="FPP1914" s="62">
        <v>13.28</v>
      </c>
      <c r="FPQ1914" s="115">
        <v>19.489999999999998</v>
      </c>
      <c r="FPR1914" s="56">
        <v>18.98</v>
      </c>
      <c r="FPS1914" s="56">
        <v>17.5</v>
      </c>
      <c r="FPT1914" s="62">
        <v>13.28</v>
      </c>
      <c r="FPU1914" s="115">
        <v>19.489999999999998</v>
      </c>
      <c r="FPV1914" s="56">
        <v>18.98</v>
      </c>
      <c r="FPW1914" s="56">
        <v>17.5</v>
      </c>
      <c r="FPX1914" s="62">
        <v>13.28</v>
      </c>
      <c r="FPY1914" s="115">
        <v>19.489999999999998</v>
      </c>
      <c r="FPZ1914" s="56">
        <v>18.98</v>
      </c>
      <c r="FQA1914" s="56">
        <v>17.5</v>
      </c>
      <c r="FQB1914" s="62">
        <v>13.28</v>
      </c>
      <c r="FQC1914" s="115">
        <v>19.489999999999998</v>
      </c>
      <c r="FQD1914" s="56">
        <v>18.98</v>
      </c>
      <c r="FQE1914" s="56">
        <v>17.5</v>
      </c>
      <c r="FQF1914" s="62">
        <v>13.28</v>
      </c>
      <c r="FQG1914" s="115">
        <v>19.489999999999998</v>
      </c>
      <c r="FQH1914" s="56">
        <v>18.98</v>
      </c>
      <c r="FQI1914" s="56">
        <v>17.5</v>
      </c>
      <c r="FQJ1914" s="62">
        <v>13.28</v>
      </c>
      <c r="FQK1914" s="115">
        <v>19.489999999999998</v>
      </c>
      <c r="FQL1914" s="56">
        <v>18.98</v>
      </c>
      <c r="FQM1914" s="56">
        <v>17.5</v>
      </c>
      <c r="FQN1914" s="62">
        <v>13.28</v>
      </c>
      <c r="FQO1914" s="115">
        <v>19.489999999999998</v>
      </c>
      <c r="FQP1914" s="56">
        <v>18.98</v>
      </c>
      <c r="FQQ1914" s="56">
        <v>17.5</v>
      </c>
      <c r="FQR1914" s="62">
        <v>13.28</v>
      </c>
      <c r="FQS1914" s="115">
        <v>19.489999999999998</v>
      </c>
      <c r="FQT1914" s="56">
        <v>18.98</v>
      </c>
      <c r="FQU1914" s="56">
        <v>17.5</v>
      </c>
      <c r="FQV1914" s="62">
        <v>13.28</v>
      </c>
      <c r="FQW1914" s="115">
        <v>19.489999999999998</v>
      </c>
      <c r="FQX1914" s="56">
        <v>18.98</v>
      </c>
      <c r="FQY1914" s="56">
        <v>17.5</v>
      </c>
      <c r="FQZ1914" s="62">
        <v>13.28</v>
      </c>
      <c r="FRA1914" s="115">
        <v>19.489999999999998</v>
      </c>
      <c r="FRB1914" s="56">
        <v>18.98</v>
      </c>
      <c r="FRC1914" s="56">
        <v>17.5</v>
      </c>
      <c r="FRD1914" s="62">
        <v>13.28</v>
      </c>
      <c r="FRE1914" s="115">
        <v>19.489999999999998</v>
      </c>
      <c r="FRF1914" s="56">
        <v>18.98</v>
      </c>
      <c r="FRG1914" s="56">
        <v>17.5</v>
      </c>
      <c r="FRH1914" s="62">
        <v>13.28</v>
      </c>
      <c r="FRI1914" s="115">
        <v>19.489999999999998</v>
      </c>
      <c r="FRJ1914" s="56">
        <v>18.98</v>
      </c>
      <c r="FRK1914" s="56">
        <v>17.5</v>
      </c>
      <c r="FRL1914" s="62">
        <v>13.28</v>
      </c>
      <c r="FRM1914" s="115">
        <v>19.489999999999998</v>
      </c>
      <c r="FRN1914" s="56">
        <v>18.98</v>
      </c>
      <c r="FRO1914" s="56">
        <v>17.5</v>
      </c>
      <c r="FRP1914" s="62">
        <v>13.28</v>
      </c>
      <c r="FRQ1914" s="115">
        <v>19.489999999999998</v>
      </c>
      <c r="FRR1914" s="56">
        <v>18.98</v>
      </c>
      <c r="FRS1914" s="56">
        <v>17.5</v>
      </c>
      <c r="FRT1914" s="62">
        <v>13.28</v>
      </c>
      <c r="FRU1914" s="115">
        <v>19.489999999999998</v>
      </c>
      <c r="FRV1914" s="56">
        <v>18.98</v>
      </c>
      <c r="FRW1914" s="56">
        <v>17.5</v>
      </c>
      <c r="FRX1914" s="62">
        <v>13.28</v>
      </c>
      <c r="FRY1914" s="115">
        <v>19.489999999999998</v>
      </c>
      <c r="FRZ1914" s="56">
        <v>18.98</v>
      </c>
      <c r="FSA1914" s="56">
        <v>17.5</v>
      </c>
      <c r="FSB1914" s="62">
        <v>13.28</v>
      </c>
      <c r="FSC1914" s="115">
        <v>19.489999999999998</v>
      </c>
      <c r="FSD1914" s="56">
        <v>18.98</v>
      </c>
      <c r="FSE1914" s="56">
        <v>17.5</v>
      </c>
      <c r="FSF1914" s="62">
        <v>13.28</v>
      </c>
      <c r="FSG1914" s="115">
        <v>19.489999999999998</v>
      </c>
      <c r="FSH1914" s="56">
        <v>18.98</v>
      </c>
      <c r="FSI1914" s="56">
        <v>17.5</v>
      </c>
      <c r="FSJ1914" s="62">
        <v>13.28</v>
      </c>
      <c r="FSK1914" s="115">
        <v>19.489999999999998</v>
      </c>
      <c r="FSL1914" s="56">
        <v>18.98</v>
      </c>
      <c r="FSM1914" s="56">
        <v>17.5</v>
      </c>
      <c r="FSN1914" s="62">
        <v>13.28</v>
      </c>
      <c r="FSO1914" s="115">
        <v>19.489999999999998</v>
      </c>
      <c r="FSP1914" s="56">
        <v>18.98</v>
      </c>
      <c r="FSQ1914" s="56">
        <v>17.5</v>
      </c>
      <c r="FSR1914" s="62">
        <v>13.28</v>
      </c>
      <c r="FSS1914" s="115">
        <v>19.489999999999998</v>
      </c>
      <c r="FST1914" s="56">
        <v>18.98</v>
      </c>
      <c r="FSU1914" s="56">
        <v>17.5</v>
      </c>
      <c r="FSV1914" s="62">
        <v>13.28</v>
      </c>
      <c r="FSW1914" s="115">
        <v>19.489999999999998</v>
      </c>
      <c r="FSX1914" s="56">
        <v>18.98</v>
      </c>
      <c r="FSY1914" s="56">
        <v>17.5</v>
      </c>
      <c r="FSZ1914" s="62">
        <v>13.28</v>
      </c>
      <c r="FTA1914" s="115">
        <v>19.489999999999998</v>
      </c>
      <c r="FTB1914" s="56">
        <v>18.98</v>
      </c>
      <c r="FTC1914" s="56">
        <v>17.5</v>
      </c>
      <c r="FTD1914" s="62">
        <v>13.28</v>
      </c>
      <c r="FTE1914" s="115">
        <v>19.489999999999998</v>
      </c>
      <c r="FTF1914" s="56">
        <v>18.98</v>
      </c>
      <c r="FTG1914" s="56">
        <v>17.5</v>
      </c>
      <c r="FTH1914" s="62">
        <v>13.28</v>
      </c>
      <c r="FTI1914" s="115">
        <v>19.489999999999998</v>
      </c>
      <c r="FTJ1914" s="56">
        <v>18.98</v>
      </c>
      <c r="FTK1914" s="56">
        <v>17.5</v>
      </c>
      <c r="FTL1914" s="62">
        <v>13.28</v>
      </c>
      <c r="FTM1914" s="115">
        <v>19.489999999999998</v>
      </c>
      <c r="FTN1914" s="56">
        <v>18.98</v>
      </c>
      <c r="FTO1914" s="56">
        <v>17.5</v>
      </c>
      <c r="FTP1914" s="62">
        <v>13.28</v>
      </c>
      <c r="FTQ1914" s="115">
        <v>19.489999999999998</v>
      </c>
      <c r="FTR1914" s="56">
        <v>18.98</v>
      </c>
      <c r="FTS1914" s="56">
        <v>17.5</v>
      </c>
      <c r="FTT1914" s="62">
        <v>13.28</v>
      </c>
      <c r="FTU1914" s="115">
        <v>19.489999999999998</v>
      </c>
      <c r="FTV1914" s="56">
        <v>18.98</v>
      </c>
      <c r="FTW1914" s="56">
        <v>17.5</v>
      </c>
      <c r="FTX1914" s="62">
        <v>13.28</v>
      </c>
      <c r="FTY1914" s="115">
        <v>19.489999999999998</v>
      </c>
      <c r="FTZ1914" s="56">
        <v>18.98</v>
      </c>
      <c r="FUA1914" s="56">
        <v>17.5</v>
      </c>
      <c r="FUB1914" s="62">
        <v>13.28</v>
      </c>
      <c r="FUC1914" s="115">
        <v>19.489999999999998</v>
      </c>
      <c r="FUD1914" s="56">
        <v>18.98</v>
      </c>
      <c r="FUE1914" s="56">
        <v>17.5</v>
      </c>
      <c r="FUF1914" s="62">
        <v>13.28</v>
      </c>
      <c r="FUG1914" s="115">
        <v>19.489999999999998</v>
      </c>
      <c r="FUH1914" s="56">
        <v>18.98</v>
      </c>
      <c r="FUI1914" s="56">
        <v>17.5</v>
      </c>
      <c r="FUJ1914" s="62">
        <v>13.28</v>
      </c>
      <c r="FUK1914" s="115">
        <v>19.489999999999998</v>
      </c>
      <c r="FUL1914" s="56">
        <v>18.98</v>
      </c>
      <c r="FUM1914" s="56">
        <v>17.5</v>
      </c>
      <c r="FUN1914" s="62">
        <v>13.28</v>
      </c>
      <c r="FUO1914" s="115">
        <v>19.489999999999998</v>
      </c>
      <c r="FUP1914" s="56">
        <v>18.98</v>
      </c>
      <c r="FUQ1914" s="56">
        <v>17.5</v>
      </c>
      <c r="FUR1914" s="62">
        <v>13.28</v>
      </c>
      <c r="FUS1914" s="115">
        <v>19.489999999999998</v>
      </c>
      <c r="FUT1914" s="56">
        <v>18.98</v>
      </c>
      <c r="FUU1914" s="56">
        <v>17.5</v>
      </c>
      <c r="FUV1914" s="62">
        <v>13.28</v>
      </c>
      <c r="FUW1914" s="115">
        <v>19.489999999999998</v>
      </c>
      <c r="FUX1914" s="56">
        <v>18.98</v>
      </c>
      <c r="FUY1914" s="56">
        <v>17.5</v>
      </c>
      <c r="FUZ1914" s="62">
        <v>13.28</v>
      </c>
      <c r="FVA1914" s="115">
        <v>19.489999999999998</v>
      </c>
      <c r="FVB1914" s="56">
        <v>18.98</v>
      </c>
      <c r="FVC1914" s="56">
        <v>17.5</v>
      </c>
      <c r="FVD1914" s="62">
        <v>13.28</v>
      </c>
      <c r="FVE1914" s="115">
        <v>19.489999999999998</v>
      </c>
      <c r="FVF1914" s="56">
        <v>18.98</v>
      </c>
      <c r="FVG1914" s="56">
        <v>17.5</v>
      </c>
      <c r="FVH1914" s="62">
        <v>13.28</v>
      </c>
      <c r="FVI1914" s="115">
        <v>19.489999999999998</v>
      </c>
      <c r="FVJ1914" s="56">
        <v>18.98</v>
      </c>
      <c r="FVK1914" s="56">
        <v>17.5</v>
      </c>
      <c r="FVL1914" s="62">
        <v>13.28</v>
      </c>
      <c r="FVM1914" s="115">
        <v>19.489999999999998</v>
      </c>
      <c r="FVN1914" s="56">
        <v>18.98</v>
      </c>
      <c r="FVO1914" s="56">
        <v>17.5</v>
      </c>
      <c r="FVP1914" s="62">
        <v>13.28</v>
      </c>
      <c r="FVQ1914" s="115">
        <v>19.489999999999998</v>
      </c>
      <c r="FVR1914" s="56">
        <v>18.98</v>
      </c>
      <c r="FVS1914" s="56">
        <v>17.5</v>
      </c>
      <c r="FVT1914" s="62">
        <v>13.28</v>
      </c>
      <c r="FVU1914" s="115">
        <v>19.489999999999998</v>
      </c>
      <c r="FVV1914" s="56">
        <v>18.98</v>
      </c>
      <c r="FVW1914" s="56">
        <v>17.5</v>
      </c>
      <c r="FVX1914" s="62">
        <v>13.28</v>
      </c>
      <c r="FVY1914" s="115">
        <v>19.489999999999998</v>
      </c>
      <c r="FVZ1914" s="56">
        <v>18.98</v>
      </c>
      <c r="FWA1914" s="56">
        <v>17.5</v>
      </c>
      <c r="FWB1914" s="62">
        <v>13.28</v>
      </c>
      <c r="FWC1914" s="115">
        <v>19.489999999999998</v>
      </c>
      <c r="FWD1914" s="56">
        <v>18.98</v>
      </c>
      <c r="FWE1914" s="56">
        <v>17.5</v>
      </c>
      <c r="FWF1914" s="62">
        <v>13.28</v>
      </c>
      <c r="FWG1914" s="115">
        <v>19.489999999999998</v>
      </c>
      <c r="FWH1914" s="56">
        <v>18.98</v>
      </c>
      <c r="FWI1914" s="56">
        <v>17.5</v>
      </c>
      <c r="FWJ1914" s="62">
        <v>13.28</v>
      </c>
      <c r="FWK1914" s="115">
        <v>19.489999999999998</v>
      </c>
      <c r="FWL1914" s="56">
        <v>18.98</v>
      </c>
      <c r="FWM1914" s="56">
        <v>17.5</v>
      </c>
      <c r="FWN1914" s="62">
        <v>13.28</v>
      </c>
      <c r="FWO1914" s="115">
        <v>19.489999999999998</v>
      </c>
      <c r="FWP1914" s="56">
        <v>18.98</v>
      </c>
      <c r="FWQ1914" s="56">
        <v>17.5</v>
      </c>
      <c r="FWR1914" s="62">
        <v>13.28</v>
      </c>
      <c r="FWS1914" s="115">
        <v>19.489999999999998</v>
      </c>
      <c r="FWT1914" s="56">
        <v>18.98</v>
      </c>
      <c r="FWU1914" s="56">
        <v>17.5</v>
      </c>
      <c r="FWV1914" s="62">
        <v>13.28</v>
      </c>
      <c r="FWW1914" s="115">
        <v>19.489999999999998</v>
      </c>
      <c r="FWX1914" s="56">
        <v>18.98</v>
      </c>
      <c r="FWY1914" s="56">
        <v>17.5</v>
      </c>
      <c r="FWZ1914" s="62">
        <v>13.28</v>
      </c>
      <c r="FXA1914" s="115">
        <v>19.489999999999998</v>
      </c>
      <c r="FXB1914" s="56">
        <v>18.98</v>
      </c>
      <c r="FXC1914" s="56">
        <v>17.5</v>
      </c>
      <c r="FXD1914" s="62">
        <v>13.28</v>
      </c>
      <c r="FXE1914" s="115">
        <v>19.489999999999998</v>
      </c>
      <c r="FXF1914" s="56">
        <v>18.98</v>
      </c>
      <c r="FXG1914" s="56">
        <v>17.5</v>
      </c>
      <c r="FXH1914" s="62">
        <v>13.28</v>
      </c>
      <c r="FXI1914" s="115">
        <v>19.489999999999998</v>
      </c>
      <c r="FXJ1914" s="56">
        <v>18.98</v>
      </c>
      <c r="FXK1914" s="56">
        <v>17.5</v>
      </c>
      <c r="FXL1914" s="62">
        <v>13.28</v>
      </c>
      <c r="FXM1914" s="115">
        <v>19.489999999999998</v>
      </c>
      <c r="FXN1914" s="56">
        <v>18.98</v>
      </c>
      <c r="FXO1914" s="56">
        <v>17.5</v>
      </c>
      <c r="FXP1914" s="62">
        <v>13.28</v>
      </c>
      <c r="FXQ1914" s="115">
        <v>19.489999999999998</v>
      </c>
      <c r="FXR1914" s="56">
        <v>18.98</v>
      </c>
      <c r="FXS1914" s="56">
        <v>17.5</v>
      </c>
      <c r="FXT1914" s="62">
        <v>13.28</v>
      </c>
      <c r="FXU1914" s="115">
        <v>19.489999999999998</v>
      </c>
      <c r="FXV1914" s="56">
        <v>18.98</v>
      </c>
      <c r="FXW1914" s="56">
        <v>17.5</v>
      </c>
      <c r="FXX1914" s="62">
        <v>13.28</v>
      </c>
      <c r="FXY1914" s="115">
        <v>19.489999999999998</v>
      </c>
      <c r="FXZ1914" s="56">
        <v>18.98</v>
      </c>
      <c r="FYA1914" s="56">
        <v>17.5</v>
      </c>
      <c r="FYB1914" s="62">
        <v>13.28</v>
      </c>
      <c r="FYC1914" s="115">
        <v>19.489999999999998</v>
      </c>
      <c r="FYD1914" s="56">
        <v>18.98</v>
      </c>
      <c r="FYE1914" s="56">
        <v>17.5</v>
      </c>
      <c r="FYF1914" s="62">
        <v>13.28</v>
      </c>
      <c r="FYG1914" s="115">
        <v>19.489999999999998</v>
      </c>
      <c r="FYH1914" s="56">
        <v>18.98</v>
      </c>
      <c r="FYI1914" s="56">
        <v>17.5</v>
      </c>
      <c r="FYJ1914" s="62">
        <v>13.28</v>
      </c>
      <c r="FYK1914" s="115">
        <v>19.489999999999998</v>
      </c>
      <c r="FYL1914" s="56">
        <v>18.98</v>
      </c>
      <c r="FYM1914" s="56">
        <v>17.5</v>
      </c>
      <c r="FYN1914" s="62">
        <v>13.28</v>
      </c>
      <c r="FYO1914" s="115">
        <v>19.489999999999998</v>
      </c>
      <c r="FYP1914" s="56">
        <v>18.98</v>
      </c>
      <c r="FYQ1914" s="56">
        <v>17.5</v>
      </c>
      <c r="FYR1914" s="62">
        <v>13.28</v>
      </c>
      <c r="FYS1914" s="115">
        <v>19.489999999999998</v>
      </c>
      <c r="FYT1914" s="56">
        <v>18.98</v>
      </c>
      <c r="FYU1914" s="56">
        <v>17.5</v>
      </c>
      <c r="FYV1914" s="62">
        <v>13.28</v>
      </c>
      <c r="FYW1914" s="115">
        <v>19.489999999999998</v>
      </c>
      <c r="FYX1914" s="56">
        <v>18.98</v>
      </c>
      <c r="FYY1914" s="56">
        <v>17.5</v>
      </c>
      <c r="FYZ1914" s="62">
        <v>13.28</v>
      </c>
      <c r="FZA1914" s="115">
        <v>19.489999999999998</v>
      </c>
      <c r="FZB1914" s="56">
        <v>18.98</v>
      </c>
      <c r="FZC1914" s="56">
        <v>17.5</v>
      </c>
      <c r="FZD1914" s="62">
        <v>13.28</v>
      </c>
      <c r="FZE1914" s="115">
        <v>19.489999999999998</v>
      </c>
      <c r="FZF1914" s="56">
        <v>18.98</v>
      </c>
      <c r="FZG1914" s="56">
        <v>17.5</v>
      </c>
      <c r="FZH1914" s="62">
        <v>13.28</v>
      </c>
      <c r="FZI1914" s="115">
        <v>19.489999999999998</v>
      </c>
      <c r="FZJ1914" s="56">
        <v>18.98</v>
      </c>
      <c r="FZK1914" s="56">
        <v>17.5</v>
      </c>
      <c r="FZL1914" s="62">
        <v>13.28</v>
      </c>
      <c r="FZM1914" s="115">
        <v>19.489999999999998</v>
      </c>
      <c r="FZN1914" s="56">
        <v>18.98</v>
      </c>
      <c r="FZO1914" s="56">
        <v>17.5</v>
      </c>
      <c r="FZP1914" s="62">
        <v>13.28</v>
      </c>
      <c r="FZQ1914" s="115">
        <v>19.489999999999998</v>
      </c>
      <c r="FZR1914" s="56">
        <v>18.98</v>
      </c>
      <c r="FZS1914" s="56">
        <v>17.5</v>
      </c>
      <c r="FZT1914" s="62">
        <v>13.28</v>
      </c>
      <c r="FZU1914" s="115">
        <v>19.489999999999998</v>
      </c>
      <c r="FZV1914" s="56">
        <v>18.98</v>
      </c>
      <c r="FZW1914" s="56">
        <v>17.5</v>
      </c>
      <c r="FZX1914" s="62">
        <v>13.28</v>
      </c>
      <c r="FZY1914" s="115">
        <v>19.489999999999998</v>
      </c>
      <c r="FZZ1914" s="56">
        <v>18.98</v>
      </c>
      <c r="GAA1914" s="56">
        <v>17.5</v>
      </c>
      <c r="GAB1914" s="62">
        <v>13.28</v>
      </c>
      <c r="GAC1914" s="115">
        <v>19.489999999999998</v>
      </c>
      <c r="GAD1914" s="56">
        <v>18.98</v>
      </c>
      <c r="GAE1914" s="56">
        <v>17.5</v>
      </c>
      <c r="GAF1914" s="62">
        <v>13.28</v>
      </c>
      <c r="GAG1914" s="115">
        <v>19.489999999999998</v>
      </c>
      <c r="GAH1914" s="56">
        <v>18.98</v>
      </c>
      <c r="GAI1914" s="56">
        <v>17.5</v>
      </c>
      <c r="GAJ1914" s="62">
        <v>13.28</v>
      </c>
      <c r="GAK1914" s="115">
        <v>19.489999999999998</v>
      </c>
      <c r="GAL1914" s="56">
        <v>18.98</v>
      </c>
      <c r="GAM1914" s="56">
        <v>17.5</v>
      </c>
      <c r="GAN1914" s="62">
        <v>13.28</v>
      </c>
      <c r="GAO1914" s="115">
        <v>19.489999999999998</v>
      </c>
      <c r="GAP1914" s="56">
        <v>18.98</v>
      </c>
      <c r="GAQ1914" s="56">
        <v>17.5</v>
      </c>
      <c r="GAR1914" s="62">
        <v>13.28</v>
      </c>
      <c r="GAS1914" s="115">
        <v>19.489999999999998</v>
      </c>
      <c r="GAT1914" s="56">
        <v>18.98</v>
      </c>
      <c r="GAU1914" s="56">
        <v>17.5</v>
      </c>
      <c r="GAV1914" s="62">
        <v>13.28</v>
      </c>
      <c r="GAW1914" s="115">
        <v>19.489999999999998</v>
      </c>
      <c r="GAX1914" s="56">
        <v>18.98</v>
      </c>
      <c r="GAY1914" s="56">
        <v>17.5</v>
      </c>
      <c r="GAZ1914" s="62">
        <v>13.28</v>
      </c>
      <c r="GBA1914" s="115">
        <v>19.489999999999998</v>
      </c>
      <c r="GBB1914" s="56">
        <v>18.98</v>
      </c>
      <c r="GBC1914" s="56">
        <v>17.5</v>
      </c>
      <c r="GBD1914" s="62">
        <v>13.28</v>
      </c>
      <c r="GBE1914" s="115">
        <v>19.489999999999998</v>
      </c>
      <c r="GBF1914" s="56">
        <v>18.98</v>
      </c>
      <c r="GBG1914" s="56">
        <v>17.5</v>
      </c>
      <c r="GBH1914" s="62">
        <v>13.28</v>
      </c>
      <c r="GBI1914" s="115">
        <v>19.489999999999998</v>
      </c>
      <c r="GBJ1914" s="56">
        <v>18.98</v>
      </c>
      <c r="GBK1914" s="56">
        <v>17.5</v>
      </c>
      <c r="GBL1914" s="62">
        <v>13.28</v>
      </c>
      <c r="GBM1914" s="115">
        <v>19.489999999999998</v>
      </c>
      <c r="GBN1914" s="56">
        <v>18.98</v>
      </c>
      <c r="GBO1914" s="56">
        <v>17.5</v>
      </c>
      <c r="GBP1914" s="62">
        <v>13.28</v>
      </c>
      <c r="GBQ1914" s="115">
        <v>19.489999999999998</v>
      </c>
      <c r="GBR1914" s="56">
        <v>18.98</v>
      </c>
      <c r="GBS1914" s="56">
        <v>17.5</v>
      </c>
      <c r="GBT1914" s="62">
        <v>13.28</v>
      </c>
      <c r="GBU1914" s="115">
        <v>19.489999999999998</v>
      </c>
      <c r="GBV1914" s="56">
        <v>18.98</v>
      </c>
      <c r="GBW1914" s="56">
        <v>17.5</v>
      </c>
      <c r="GBX1914" s="62">
        <v>13.28</v>
      </c>
      <c r="GBY1914" s="115">
        <v>19.489999999999998</v>
      </c>
      <c r="GBZ1914" s="56">
        <v>18.98</v>
      </c>
      <c r="GCA1914" s="56">
        <v>17.5</v>
      </c>
      <c r="GCB1914" s="62">
        <v>13.28</v>
      </c>
      <c r="GCC1914" s="115">
        <v>19.489999999999998</v>
      </c>
      <c r="GCD1914" s="56">
        <v>18.98</v>
      </c>
      <c r="GCE1914" s="56">
        <v>17.5</v>
      </c>
      <c r="GCF1914" s="62">
        <v>13.28</v>
      </c>
      <c r="GCG1914" s="115">
        <v>19.489999999999998</v>
      </c>
      <c r="GCH1914" s="56">
        <v>18.98</v>
      </c>
      <c r="GCI1914" s="56">
        <v>17.5</v>
      </c>
      <c r="GCJ1914" s="62">
        <v>13.28</v>
      </c>
      <c r="GCK1914" s="115">
        <v>19.489999999999998</v>
      </c>
      <c r="GCL1914" s="56">
        <v>18.98</v>
      </c>
      <c r="GCM1914" s="56">
        <v>17.5</v>
      </c>
      <c r="GCN1914" s="62">
        <v>13.28</v>
      </c>
      <c r="GCO1914" s="115">
        <v>19.489999999999998</v>
      </c>
      <c r="GCP1914" s="56">
        <v>18.98</v>
      </c>
      <c r="GCQ1914" s="56">
        <v>17.5</v>
      </c>
      <c r="GCR1914" s="62">
        <v>13.28</v>
      </c>
      <c r="GCS1914" s="115">
        <v>19.489999999999998</v>
      </c>
      <c r="GCT1914" s="56">
        <v>18.98</v>
      </c>
      <c r="GCU1914" s="56">
        <v>17.5</v>
      </c>
      <c r="GCV1914" s="62">
        <v>13.28</v>
      </c>
      <c r="GCW1914" s="115">
        <v>19.489999999999998</v>
      </c>
      <c r="GCX1914" s="56">
        <v>18.98</v>
      </c>
      <c r="GCY1914" s="56">
        <v>17.5</v>
      </c>
      <c r="GCZ1914" s="62">
        <v>13.28</v>
      </c>
      <c r="GDA1914" s="115">
        <v>19.489999999999998</v>
      </c>
      <c r="GDB1914" s="56">
        <v>18.98</v>
      </c>
      <c r="GDC1914" s="56">
        <v>17.5</v>
      </c>
      <c r="GDD1914" s="62">
        <v>13.28</v>
      </c>
      <c r="GDE1914" s="115">
        <v>19.489999999999998</v>
      </c>
      <c r="GDF1914" s="56">
        <v>18.98</v>
      </c>
      <c r="GDG1914" s="56">
        <v>17.5</v>
      </c>
      <c r="GDH1914" s="62">
        <v>13.28</v>
      </c>
      <c r="GDI1914" s="115">
        <v>19.489999999999998</v>
      </c>
      <c r="GDJ1914" s="56">
        <v>18.98</v>
      </c>
      <c r="GDK1914" s="56">
        <v>17.5</v>
      </c>
      <c r="GDL1914" s="62">
        <v>13.28</v>
      </c>
      <c r="GDM1914" s="115">
        <v>19.489999999999998</v>
      </c>
      <c r="GDN1914" s="56">
        <v>18.98</v>
      </c>
      <c r="GDO1914" s="56">
        <v>17.5</v>
      </c>
      <c r="GDP1914" s="62">
        <v>13.28</v>
      </c>
      <c r="GDQ1914" s="115">
        <v>19.489999999999998</v>
      </c>
      <c r="GDR1914" s="56">
        <v>18.98</v>
      </c>
      <c r="GDS1914" s="56">
        <v>17.5</v>
      </c>
      <c r="GDT1914" s="62">
        <v>13.28</v>
      </c>
      <c r="GDU1914" s="115">
        <v>19.489999999999998</v>
      </c>
      <c r="GDV1914" s="56">
        <v>18.98</v>
      </c>
      <c r="GDW1914" s="56">
        <v>17.5</v>
      </c>
      <c r="GDX1914" s="62">
        <v>13.28</v>
      </c>
      <c r="GDY1914" s="115">
        <v>19.489999999999998</v>
      </c>
      <c r="GDZ1914" s="56">
        <v>18.98</v>
      </c>
      <c r="GEA1914" s="56">
        <v>17.5</v>
      </c>
      <c r="GEB1914" s="62">
        <v>13.28</v>
      </c>
      <c r="GEC1914" s="115">
        <v>19.489999999999998</v>
      </c>
      <c r="GED1914" s="56">
        <v>18.98</v>
      </c>
      <c r="GEE1914" s="56">
        <v>17.5</v>
      </c>
      <c r="GEF1914" s="62">
        <v>13.28</v>
      </c>
      <c r="GEG1914" s="115">
        <v>19.489999999999998</v>
      </c>
      <c r="GEH1914" s="56">
        <v>18.98</v>
      </c>
      <c r="GEI1914" s="56">
        <v>17.5</v>
      </c>
      <c r="GEJ1914" s="62">
        <v>13.28</v>
      </c>
      <c r="GEK1914" s="115">
        <v>19.489999999999998</v>
      </c>
      <c r="GEL1914" s="56">
        <v>18.98</v>
      </c>
      <c r="GEM1914" s="56">
        <v>17.5</v>
      </c>
      <c r="GEN1914" s="62">
        <v>13.28</v>
      </c>
      <c r="GEO1914" s="115">
        <v>19.489999999999998</v>
      </c>
      <c r="GEP1914" s="56">
        <v>18.98</v>
      </c>
      <c r="GEQ1914" s="56">
        <v>17.5</v>
      </c>
      <c r="GER1914" s="62">
        <v>13.28</v>
      </c>
      <c r="GES1914" s="115">
        <v>19.489999999999998</v>
      </c>
      <c r="GET1914" s="56">
        <v>18.98</v>
      </c>
      <c r="GEU1914" s="56">
        <v>17.5</v>
      </c>
      <c r="GEV1914" s="62">
        <v>13.28</v>
      </c>
      <c r="GEW1914" s="115">
        <v>19.489999999999998</v>
      </c>
      <c r="GEX1914" s="56">
        <v>18.98</v>
      </c>
      <c r="GEY1914" s="56">
        <v>17.5</v>
      </c>
      <c r="GEZ1914" s="62">
        <v>13.28</v>
      </c>
      <c r="GFA1914" s="115">
        <v>19.489999999999998</v>
      </c>
      <c r="GFB1914" s="56">
        <v>18.98</v>
      </c>
      <c r="GFC1914" s="56">
        <v>17.5</v>
      </c>
      <c r="GFD1914" s="62">
        <v>13.28</v>
      </c>
      <c r="GFE1914" s="115">
        <v>19.489999999999998</v>
      </c>
      <c r="GFF1914" s="56">
        <v>18.98</v>
      </c>
      <c r="GFG1914" s="56">
        <v>17.5</v>
      </c>
      <c r="GFH1914" s="62">
        <v>13.28</v>
      </c>
      <c r="GFI1914" s="115">
        <v>19.489999999999998</v>
      </c>
      <c r="GFJ1914" s="56">
        <v>18.98</v>
      </c>
      <c r="GFK1914" s="56">
        <v>17.5</v>
      </c>
      <c r="GFL1914" s="62">
        <v>13.28</v>
      </c>
      <c r="GFM1914" s="115">
        <v>19.489999999999998</v>
      </c>
      <c r="GFN1914" s="56">
        <v>18.98</v>
      </c>
      <c r="GFO1914" s="56">
        <v>17.5</v>
      </c>
      <c r="GFP1914" s="62">
        <v>13.28</v>
      </c>
      <c r="GFQ1914" s="115">
        <v>19.489999999999998</v>
      </c>
      <c r="GFR1914" s="56">
        <v>18.98</v>
      </c>
      <c r="GFS1914" s="56">
        <v>17.5</v>
      </c>
      <c r="GFT1914" s="62">
        <v>13.28</v>
      </c>
      <c r="GFU1914" s="115">
        <v>19.489999999999998</v>
      </c>
      <c r="GFV1914" s="56">
        <v>18.98</v>
      </c>
      <c r="GFW1914" s="56">
        <v>17.5</v>
      </c>
      <c r="GFX1914" s="62">
        <v>13.28</v>
      </c>
      <c r="GFY1914" s="115">
        <v>19.489999999999998</v>
      </c>
      <c r="GFZ1914" s="56">
        <v>18.98</v>
      </c>
      <c r="GGA1914" s="56">
        <v>17.5</v>
      </c>
      <c r="GGB1914" s="62">
        <v>13.28</v>
      </c>
      <c r="GGC1914" s="115">
        <v>19.489999999999998</v>
      </c>
      <c r="GGD1914" s="56">
        <v>18.98</v>
      </c>
      <c r="GGE1914" s="56">
        <v>17.5</v>
      </c>
      <c r="GGF1914" s="62">
        <v>13.28</v>
      </c>
      <c r="GGG1914" s="115">
        <v>19.489999999999998</v>
      </c>
      <c r="GGH1914" s="56">
        <v>18.98</v>
      </c>
      <c r="GGI1914" s="56">
        <v>17.5</v>
      </c>
      <c r="GGJ1914" s="62">
        <v>13.28</v>
      </c>
      <c r="GGK1914" s="115">
        <v>19.489999999999998</v>
      </c>
      <c r="GGL1914" s="56">
        <v>18.98</v>
      </c>
      <c r="GGM1914" s="56">
        <v>17.5</v>
      </c>
      <c r="GGN1914" s="62">
        <v>13.28</v>
      </c>
      <c r="GGO1914" s="115">
        <v>19.489999999999998</v>
      </c>
      <c r="GGP1914" s="56">
        <v>18.98</v>
      </c>
      <c r="GGQ1914" s="56">
        <v>17.5</v>
      </c>
      <c r="GGR1914" s="62">
        <v>13.28</v>
      </c>
      <c r="GGS1914" s="115">
        <v>19.489999999999998</v>
      </c>
      <c r="GGT1914" s="56">
        <v>18.98</v>
      </c>
      <c r="GGU1914" s="56">
        <v>17.5</v>
      </c>
      <c r="GGV1914" s="62">
        <v>13.28</v>
      </c>
      <c r="GGW1914" s="115">
        <v>19.489999999999998</v>
      </c>
      <c r="GGX1914" s="56">
        <v>18.98</v>
      </c>
      <c r="GGY1914" s="56">
        <v>17.5</v>
      </c>
      <c r="GGZ1914" s="62">
        <v>13.28</v>
      </c>
      <c r="GHA1914" s="115">
        <v>19.489999999999998</v>
      </c>
      <c r="GHB1914" s="56">
        <v>18.98</v>
      </c>
      <c r="GHC1914" s="56">
        <v>17.5</v>
      </c>
      <c r="GHD1914" s="62">
        <v>13.28</v>
      </c>
      <c r="GHE1914" s="115">
        <v>19.489999999999998</v>
      </c>
      <c r="GHF1914" s="56">
        <v>18.98</v>
      </c>
      <c r="GHG1914" s="56">
        <v>17.5</v>
      </c>
      <c r="GHH1914" s="62">
        <v>13.28</v>
      </c>
      <c r="GHI1914" s="115">
        <v>19.489999999999998</v>
      </c>
      <c r="GHJ1914" s="56">
        <v>18.98</v>
      </c>
      <c r="GHK1914" s="56">
        <v>17.5</v>
      </c>
      <c r="GHL1914" s="62">
        <v>13.28</v>
      </c>
      <c r="GHM1914" s="115">
        <v>19.489999999999998</v>
      </c>
      <c r="GHN1914" s="56">
        <v>18.98</v>
      </c>
      <c r="GHO1914" s="56">
        <v>17.5</v>
      </c>
      <c r="GHP1914" s="62">
        <v>13.28</v>
      </c>
      <c r="GHQ1914" s="115">
        <v>19.489999999999998</v>
      </c>
      <c r="GHR1914" s="56">
        <v>18.98</v>
      </c>
      <c r="GHS1914" s="56">
        <v>17.5</v>
      </c>
      <c r="GHT1914" s="62">
        <v>13.28</v>
      </c>
      <c r="GHU1914" s="115">
        <v>19.489999999999998</v>
      </c>
      <c r="GHV1914" s="56">
        <v>18.98</v>
      </c>
      <c r="GHW1914" s="56">
        <v>17.5</v>
      </c>
      <c r="GHX1914" s="62">
        <v>13.28</v>
      </c>
      <c r="GHY1914" s="115">
        <v>19.489999999999998</v>
      </c>
      <c r="GHZ1914" s="56">
        <v>18.98</v>
      </c>
      <c r="GIA1914" s="56">
        <v>17.5</v>
      </c>
      <c r="GIB1914" s="62">
        <v>13.28</v>
      </c>
      <c r="GIC1914" s="115">
        <v>19.489999999999998</v>
      </c>
      <c r="GID1914" s="56">
        <v>18.98</v>
      </c>
      <c r="GIE1914" s="56">
        <v>17.5</v>
      </c>
      <c r="GIF1914" s="62">
        <v>13.28</v>
      </c>
      <c r="GIG1914" s="115">
        <v>19.489999999999998</v>
      </c>
      <c r="GIH1914" s="56">
        <v>18.98</v>
      </c>
      <c r="GII1914" s="56">
        <v>17.5</v>
      </c>
      <c r="GIJ1914" s="62">
        <v>13.28</v>
      </c>
      <c r="GIK1914" s="115">
        <v>19.489999999999998</v>
      </c>
      <c r="GIL1914" s="56">
        <v>18.98</v>
      </c>
      <c r="GIM1914" s="56">
        <v>17.5</v>
      </c>
      <c r="GIN1914" s="62">
        <v>13.28</v>
      </c>
      <c r="GIO1914" s="115">
        <v>19.489999999999998</v>
      </c>
      <c r="GIP1914" s="56">
        <v>18.98</v>
      </c>
      <c r="GIQ1914" s="56">
        <v>17.5</v>
      </c>
      <c r="GIR1914" s="62">
        <v>13.28</v>
      </c>
      <c r="GIS1914" s="115">
        <v>19.489999999999998</v>
      </c>
      <c r="GIT1914" s="56">
        <v>18.98</v>
      </c>
      <c r="GIU1914" s="56">
        <v>17.5</v>
      </c>
      <c r="GIV1914" s="62">
        <v>13.28</v>
      </c>
      <c r="GIW1914" s="115">
        <v>19.489999999999998</v>
      </c>
      <c r="GIX1914" s="56">
        <v>18.98</v>
      </c>
      <c r="GIY1914" s="56">
        <v>17.5</v>
      </c>
      <c r="GIZ1914" s="62">
        <v>13.28</v>
      </c>
      <c r="GJA1914" s="115">
        <v>19.489999999999998</v>
      </c>
      <c r="GJB1914" s="56">
        <v>18.98</v>
      </c>
      <c r="GJC1914" s="56">
        <v>17.5</v>
      </c>
      <c r="GJD1914" s="62">
        <v>13.28</v>
      </c>
      <c r="GJE1914" s="115">
        <v>19.489999999999998</v>
      </c>
      <c r="GJF1914" s="56">
        <v>18.98</v>
      </c>
      <c r="GJG1914" s="56">
        <v>17.5</v>
      </c>
      <c r="GJH1914" s="62">
        <v>13.28</v>
      </c>
      <c r="GJI1914" s="115">
        <v>19.489999999999998</v>
      </c>
      <c r="GJJ1914" s="56">
        <v>18.98</v>
      </c>
      <c r="GJK1914" s="56">
        <v>17.5</v>
      </c>
      <c r="GJL1914" s="62">
        <v>13.28</v>
      </c>
      <c r="GJM1914" s="115">
        <v>19.489999999999998</v>
      </c>
      <c r="GJN1914" s="56">
        <v>18.98</v>
      </c>
      <c r="GJO1914" s="56">
        <v>17.5</v>
      </c>
      <c r="GJP1914" s="62">
        <v>13.28</v>
      </c>
      <c r="GJQ1914" s="115">
        <v>19.489999999999998</v>
      </c>
      <c r="GJR1914" s="56">
        <v>18.98</v>
      </c>
      <c r="GJS1914" s="56">
        <v>17.5</v>
      </c>
      <c r="GJT1914" s="62">
        <v>13.28</v>
      </c>
      <c r="GJU1914" s="115">
        <v>19.489999999999998</v>
      </c>
      <c r="GJV1914" s="56">
        <v>18.98</v>
      </c>
      <c r="GJW1914" s="56">
        <v>17.5</v>
      </c>
      <c r="GJX1914" s="62">
        <v>13.28</v>
      </c>
      <c r="GJY1914" s="115">
        <v>19.489999999999998</v>
      </c>
      <c r="GJZ1914" s="56">
        <v>18.98</v>
      </c>
      <c r="GKA1914" s="56">
        <v>17.5</v>
      </c>
      <c r="GKB1914" s="62">
        <v>13.28</v>
      </c>
      <c r="GKC1914" s="115">
        <v>19.489999999999998</v>
      </c>
      <c r="GKD1914" s="56">
        <v>18.98</v>
      </c>
      <c r="GKE1914" s="56">
        <v>17.5</v>
      </c>
      <c r="GKF1914" s="62">
        <v>13.28</v>
      </c>
      <c r="GKG1914" s="115">
        <v>19.489999999999998</v>
      </c>
      <c r="GKH1914" s="56">
        <v>18.98</v>
      </c>
      <c r="GKI1914" s="56">
        <v>17.5</v>
      </c>
      <c r="GKJ1914" s="62">
        <v>13.28</v>
      </c>
      <c r="GKK1914" s="115">
        <v>19.489999999999998</v>
      </c>
      <c r="GKL1914" s="56">
        <v>18.98</v>
      </c>
      <c r="GKM1914" s="56">
        <v>17.5</v>
      </c>
      <c r="GKN1914" s="62">
        <v>13.28</v>
      </c>
      <c r="GKO1914" s="115">
        <v>19.489999999999998</v>
      </c>
      <c r="GKP1914" s="56">
        <v>18.98</v>
      </c>
      <c r="GKQ1914" s="56">
        <v>17.5</v>
      </c>
      <c r="GKR1914" s="62">
        <v>13.28</v>
      </c>
      <c r="GKS1914" s="115">
        <v>19.489999999999998</v>
      </c>
      <c r="GKT1914" s="56">
        <v>18.98</v>
      </c>
      <c r="GKU1914" s="56">
        <v>17.5</v>
      </c>
      <c r="GKV1914" s="62">
        <v>13.28</v>
      </c>
      <c r="GKW1914" s="115">
        <v>19.489999999999998</v>
      </c>
      <c r="GKX1914" s="56">
        <v>18.98</v>
      </c>
      <c r="GKY1914" s="56">
        <v>17.5</v>
      </c>
      <c r="GKZ1914" s="62">
        <v>13.28</v>
      </c>
      <c r="GLA1914" s="115">
        <v>19.489999999999998</v>
      </c>
      <c r="GLB1914" s="56">
        <v>18.98</v>
      </c>
      <c r="GLC1914" s="56">
        <v>17.5</v>
      </c>
      <c r="GLD1914" s="62">
        <v>13.28</v>
      </c>
      <c r="GLE1914" s="115">
        <v>19.489999999999998</v>
      </c>
      <c r="GLF1914" s="56">
        <v>18.98</v>
      </c>
      <c r="GLG1914" s="56">
        <v>17.5</v>
      </c>
      <c r="GLH1914" s="62">
        <v>13.28</v>
      </c>
      <c r="GLI1914" s="115">
        <v>19.489999999999998</v>
      </c>
      <c r="GLJ1914" s="56">
        <v>18.98</v>
      </c>
      <c r="GLK1914" s="56">
        <v>17.5</v>
      </c>
      <c r="GLL1914" s="62">
        <v>13.28</v>
      </c>
      <c r="GLM1914" s="115">
        <v>19.489999999999998</v>
      </c>
      <c r="GLN1914" s="56">
        <v>18.98</v>
      </c>
      <c r="GLO1914" s="56">
        <v>17.5</v>
      </c>
      <c r="GLP1914" s="62">
        <v>13.28</v>
      </c>
      <c r="GLQ1914" s="115">
        <v>19.489999999999998</v>
      </c>
      <c r="GLR1914" s="56">
        <v>18.98</v>
      </c>
      <c r="GLS1914" s="56">
        <v>17.5</v>
      </c>
      <c r="GLT1914" s="62">
        <v>13.28</v>
      </c>
      <c r="GLU1914" s="115">
        <v>19.489999999999998</v>
      </c>
      <c r="GLV1914" s="56">
        <v>18.98</v>
      </c>
      <c r="GLW1914" s="56">
        <v>17.5</v>
      </c>
      <c r="GLX1914" s="62">
        <v>13.28</v>
      </c>
      <c r="GLY1914" s="115">
        <v>19.489999999999998</v>
      </c>
      <c r="GLZ1914" s="56">
        <v>18.98</v>
      </c>
      <c r="GMA1914" s="56">
        <v>17.5</v>
      </c>
      <c r="GMB1914" s="62">
        <v>13.28</v>
      </c>
      <c r="GMC1914" s="115">
        <v>19.489999999999998</v>
      </c>
      <c r="GMD1914" s="56">
        <v>18.98</v>
      </c>
      <c r="GME1914" s="56">
        <v>17.5</v>
      </c>
      <c r="GMF1914" s="62">
        <v>13.28</v>
      </c>
      <c r="GMG1914" s="115">
        <v>19.489999999999998</v>
      </c>
      <c r="GMH1914" s="56">
        <v>18.98</v>
      </c>
      <c r="GMI1914" s="56">
        <v>17.5</v>
      </c>
      <c r="GMJ1914" s="62">
        <v>13.28</v>
      </c>
      <c r="GMK1914" s="115">
        <v>19.489999999999998</v>
      </c>
      <c r="GML1914" s="56">
        <v>18.98</v>
      </c>
      <c r="GMM1914" s="56">
        <v>17.5</v>
      </c>
      <c r="GMN1914" s="62">
        <v>13.28</v>
      </c>
      <c r="GMO1914" s="115">
        <v>19.489999999999998</v>
      </c>
      <c r="GMP1914" s="56">
        <v>18.98</v>
      </c>
      <c r="GMQ1914" s="56">
        <v>17.5</v>
      </c>
      <c r="GMR1914" s="62">
        <v>13.28</v>
      </c>
      <c r="GMS1914" s="115">
        <v>19.489999999999998</v>
      </c>
      <c r="GMT1914" s="56">
        <v>18.98</v>
      </c>
      <c r="GMU1914" s="56">
        <v>17.5</v>
      </c>
      <c r="GMV1914" s="62">
        <v>13.28</v>
      </c>
      <c r="GMW1914" s="115">
        <v>19.489999999999998</v>
      </c>
      <c r="GMX1914" s="56">
        <v>18.98</v>
      </c>
      <c r="GMY1914" s="56">
        <v>17.5</v>
      </c>
      <c r="GMZ1914" s="62">
        <v>13.28</v>
      </c>
      <c r="GNA1914" s="115">
        <v>19.489999999999998</v>
      </c>
      <c r="GNB1914" s="56">
        <v>18.98</v>
      </c>
      <c r="GNC1914" s="56">
        <v>17.5</v>
      </c>
      <c r="GND1914" s="62">
        <v>13.28</v>
      </c>
      <c r="GNE1914" s="115">
        <v>19.489999999999998</v>
      </c>
      <c r="GNF1914" s="56">
        <v>18.98</v>
      </c>
      <c r="GNG1914" s="56">
        <v>17.5</v>
      </c>
      <c r="GNH1914" s="62">
        <v>13.28</v>
      </c>
      <c r="GNI1914" s="115">
        <v>19.489999999999998</v>
      </c>
      <c r="GNJ1914" s="56">
        <v>18.98</v>
      </c>
      <c r="GNK1914" s="56">
        <v>17.5</v>
      </c>
      <c r="GNL1914" s="62">
        <v>13.28</v>
      </c>
      <c r="GNM1914" s="115">
        <v>19.489999999999998</v>
      </c>
      <c r="GNN1914" s="56">
        <v>18.98</v>
      </c>
      <c r="GNO1914" s="56">
        <v>17.5</v>
      </c>
      <c r="GNP1914" s="62">
        <v>13.28</v>
      </c>
      <c r="GNQ1914" s="115">
        <v>19.489999999999998</v>
      </c>
      <c r="GNR1914" s="56">
        <v>18.98</v>
      </c>
      <c r="GNS1914" s="56">
        <v>17.5</v>
      </c>
      <c r="GNT1914" s="62">
        <v>13.28</v>
      </c>
      <c r="GNU1914" s="115">
        <v>19.489999999999998</v>
      </c>
      <c r="GNV1914" s="56">
        <v>18.98</v>
      </c>
      <c r="GNW1914" s="56">
        <v>17.5</v>
      </c>
      <c r="GNX1914" s="62">
        <v>13.28</v>
      </c>
      <c r="GNY1914" s="115">
        <v>19.489999999999998</v>
      </c>
      <c r="GNZ1914" s="56">
        <v>18.98</v>
      </c>
      <c r="GOA1914" s="56">
        <v>17.5</v>
      </c>
      <c r="GOB1914" s="62">
        <v>13.28</v>
      </c>
      <c r="GOC1914" s="115">
        <v>19.489999999999998</v>
      </c>
      <c r="GOD1914" s="56">
        <v>18.98</v>
      </c>
      <c r="GOE1914" s="56">
        <v>17.5</v>
      </c>
      <c r="GOF1914" s="62">
        <v>13.28</v>
      </c>
      <c r="GOG1914" s="115">
        <v>19.489999999999998</v>
      </c>
      <c r="GOH1914" s="56">
        <v>18.98</v>
      </c>
      <c r="GOI1914" s="56">
        <v>17.5</v>
      </c>
      <c r="GOJ1914" s="62">
        <v>13.28</v>
      </c>
      <c r="GOK1914" s="115">
        <v>19.489999999999998</v>
      </c>
      <c r="GOL1914" s="56">
        <v>18.98</v>
      </c>
      <c r="GOM1914" s="56">
        <v>17.5</v>
      </c>
      <c r="GON1914" s="62">
        <v>13.28</v>
      </c>
      <c r="GOO1914" s="115">
        <v>19.489999999999998</v>
      </c>
      <c r="GOP1914" s="56">
        <v>18.98</v>
      </c>
      <c r="GOQ1914" s="56">
        <v>17.5</v>
      </c>
      <c r="GOR1914" s="62">
        <v>13.28</v>
      </c>
      <c r="GOS1914" s="115">
        <v>19.489999999999998</v>
      </c>
      <c r="GOT1914" s="56">
        <v>18.98</v>
      </c>
      <c r="GOU1914" s="56">
        <v>17.5</v>
      </c>
      <c r="GOV1914" s="62">
        <v>13.28</v>
      </c>
      <c r="GOW1914" s="115">
        <v>19.489999999999998</v>
      </c>
      <c r="GOX1914" s="56">
        <v>18.98</v>
      </c>
      <c r="GOY1914" s="56">
        <v>17.5</v>
      </c>
      <c r="GOZ1914" s="62">
        <v>13.28</v>
      </c>
      <c r="GPA1914" s="115">
        <v>19.489999999999998</v>
      </c>
      <c r="GPB1914" s="56">
        <v>18.98</v>
      </c>
      <c r="GPC1914" s="56">
        <v>17.5</v>
      </c>
      <c r="GPD1914" s="62">
        <v>13.28</v>
      </c>
      <c r="GPE1914" s="115">
        <v>19.489999999999998</v>
      </c>
      <c r="GPF1914" s="56">
        <v>18.98</v>
      </c>
      <c r="GPG1914" s="56">
        <v>17.5</v>
      </c>
      <c r="GPH1914" s="62">
        <v>13.28</v>
      </c>
      <c r="GPI1914" s="115">
        <v>19.489999999999998</v>
      </c>
      <c r="GPJ1914" s="56">
        <v>18.98</v>
      </c>
      <c r="GPK1914" s="56">
        <v>17.5</v>
      </c>
      <c r="GPL1914" s="62">
        <v>13.28</v>
      </c>
      <c r="GPM1914" s="115">
        <v>19.489999999999998</v>
      </c>
      <c r="GPN1914" s="56">
        <v>18.98</v>
      </c>
      <c r="GPO1914" s="56">
        <v>17.5</v>
      </c>
      <c r="GPP1914" s="62">
        <v>13.28</v>
      </c>
      <c r="GPQ1914" s="115">
        <v>19.489999999999998</v>
      </c>
      <c r="GPR1914" s="56">
        <v>18.98</v>
      </c>
      <c r="GPS1914" s="56">
        <v>17.5</v>
      </c>
      <c r="GPT1914" s="62">
        <v>13.28</v>
      </c>
      <c r="GPU1914" s="115">
        <v>19.489999999999998</v>
      </c>
      <c r="GPV1914" s="56">
        <v>18.98</v>
      </c>
      <c r="GPW1914" s="56">
        <v>17.5</v>
      </c>
      <c r="GPX1914" s="62">
        <v>13.28</v>
      </c>
      <c r="GPY1914" s="115">
        <v>19.489999999999998</v>
      </c>
      <c r="GPZ1914" s="56">
        <v>18.98</v>
      </c>
      <c r="GQA1914" s="56">
        <v>17.5</v>
      </c>
      <c r="GQB1914" s="62">
        <v>13.28</v>
      </c>
      <c r="GQC1914" s="115">
        <v>19.489999999999998</v>
      </c>
      <c r="GQD1914" s="56">
        <v>18.98</v>
      </c>
      <c r="GQE1914" s="56">
        <v>17.5</v>
      </c>
      <c r="GQF1914" s="62">
        <v>13.28</v>
      </c>
      <c r="GQG1914" s="115">
        <v>19.489999999999998</v>
      </c>
      <c r="GQH1914" s="56">
        <v>18.98</v>
      </c>
      <c r="GQI1914" s="56">
        <v>17.5</v>
      </c>
      <c r="GQJ1914" s="62">
        <v>13.28</v>
      </c>
      <c r="GQK1914" s="115">
        <v>19.489999999999998</v>
      </c>
      <c r="GQL1914" s="56">
        <v>18.98</v>
      </c>
      <c r="GQM1914" s="56">
        <v>17.5</v>
      </c>
      <c r="GQN1914" s="62">
        <v>13.28</v>
      </c>
      <c r="GQO1914" s="115">
        <v>19.489999999999998</v>
      </c>
      <c r="GQP1914" s="56">
        <v>18.98</v>
      </c>
      <c r="GQQ1914" s="56">
        <v>17.5</v>
      </c>
      <c r="GQR1914" s="62">
        <v>13.28</v>
      </c>
      <c r="GQS1914" s="115">
        <v>19.489999999999998</v>
      </c>
      <c r="GQT1914" s="56">
        <v>18.98</v>
      </c>
      <c r="GQU1914" s="56">
        <v>17.5</v>
      </c>
      <c r="GQV1914" s="62">
        <v>13.28</v>
      </c>
      <c r="GQW1914" s="115">
        <v>19.489999999999998</v>
      </c>
      <c r="GQX1914" s="56">
        <v>18.98</v>
      </c>
      <c r="GQY1914" s="56">
        <v>17.5</v>
      </c>
      <c r="GQZ1914" s="62">
        <v>13.28</v>
      </c>
      <c r="GRA1914" s="115">
        <v>19.489999999999998</v>
      </c>
      <c r="GRB1914" s="56">
        <v>18.98</v>
      </c>
      <c r="GRC1914" s="56">
        <v>17.5</v>
      </c>
      <c r="GRD1914" s="62">
        <v>13.28</v>
      </c>
      <c r="GRE1914" s="115">
        <v>19.489999999999998</v>
      </c>
      <c r="GRF1914" s="56">
        <v>18.98</v>
      </c>
      <c r="GRG1914" s="56">
        <v>17.5</v>
      </c>
      <c r="GRH1914" s="62">
        <v>13.28</v>
      </c>
      <c r="GRI1914" s="115">
        <v>19.489999999999998</v>
      </c>
      <c r="GRJ1914" s="56">
        <v>18.98</v>
      </c>
      <c r="GRK1914" s="56">
        <v>17.5</v>
      </c>
      <c r="GRL1914" s="62">
        <v>13.28</v>
      </c>
      <c r="GRM1914" s="115">
        <v>19.489999999999998</v>
      </c>
      <c r="GRN1914" s="56">
        <v>18.98</v>
      </c>
      <c r="GRO1914" s="56">
        <v>17.5</v>
      </c>
      <c r="GRP1914" s="62">
        <v>13.28</v>
      </c>
      <c r="GRQ1914" s="115">
        <v>19.489999999999998</v>
      </c>
      <c r="GRR1914" s="56">
        <v>18.98</v>
      </c>
      <c r="GRS1914" s="56">
        <v>17.5</v>
      </c>
      <c r="GRT1914" s="62">
        <v>13.28</v>
      </c>
      <c r="GRU1914" s="115">
        <v>19.489999999999998</v>
      </c>
      <c r="GRV1914" s="56">
        <v>18.98</v>
      </c>
      <c r="GRW1914" s="56">
        <v>17.5</v>
      </c>
      <c r="GRX1914" s="62">
        <v>13.28</v>
      </c>
      <c r="GRY1914" s="115">
        <v>19.489999999999998</v>
      </c>
      <c r="GRZ1914" s="56">
        <v>18.98</v>
      </c>
      <c r="GSA1914" s="56">
        <v>17.5</v>
      </c>
      <c r="GSB1914" s="62">
        <v>13.28</v>
      </c>
      <c r="GSC1914" s="115">
        <v>19.489999999999998</v>
      </c>
      <c r="GSD1914" s="56">
        <v>18.98</v>
      </c>
      <c r="GSE1914" s="56">
        <v>17.5</v>
      </c>
      <c r="GSF1914" s="62">
        <v>13.28</v>
      </c>
      <c r="GSG1914" s="115">
        <v>19.489999999999998</v>
      </c>
      <c r="GSH1914" s="56">
        <v>18.98</v>
      </c>
      <c r="GSI1914" s="56">
        <v>17.5</v>
      </c>
      <c r="GSJ1914" s="62">
        <v>13.28</v>
      </c>
      <c r="GSK1914" s="115">
        <v>19.489999999999998</v>
      </c>
      <c r="GSL1914" s="56">
        <v>18.98</v>
      </c>
      <c r="GSM1914" s="56">
        <v>17.5</v>
      </c>
      <c r="GSN1914" s="62">
        <v>13.28</v>
      </c>
      <c r="GSO1914" s="115">
        <v>19.489999999999998</v>
      </c>
      <c r="GSP1914" s="56">
        <v>18.98</v>
      </c>
      <c r="GSQ1914" s="56">
        <v>17.5</v>
      </c>
      <c r="GSR1914" s="62">
        <v>13.28</v>
      </c>
      <c r="GSS1914" s="115">
        <v>19.489999999999998</v>
      </c>
      <c r="GST1914" s="56">
        <v>18.98</v>
      </c>
      <c r="GSU1914" s="56">
        <v>17.5</v>
      </c>
      <c r="GSV1914" s="62">
        <v>13.28</v>
      </c>
      <c r="GSW1914" s="115">
        <v>19.489999999999998</v>
      </c>
      <c r="GSX1914" s="56">
        <v>18.98</v>
      </c>
      <c r="GSY1914" s="56">
        <v>17.5</v>
      </c>
      <c r="GSZ1914" s="62">
        <v>13.28</v>
      </c>
      <c r="GTA1914" s="115">
        <v>19.489999999999998</v>
      </c>
      <c r="GTB1914" s="56">
        <v>18.98</v>
      </c>
      <c r="GTC1914" s="56">
        <v>17.5</v>
      </c>
      <c r="GTD1914" s="62">
        <v>13.28</v>
      </c>
      <c r="GTE1914" s="115">
        <v>19.489999999999998</v>
      </c>
      <c r="GTF1914" s="56">
        <v>18.98</v>
      </c>
      <c r="GTG1914" s="56">
        <v>17.5</v>
      </c>
      <c r="GTH1914" s="62">
        <v>13.28</v>
      </c>
      <c r="GTI1914" s="115">
        <v>19.489999999999998</v>
      </c>
      <c r="GTJ1914" s="56">
        <v>18.98</v>
      </c>
      <c r="GTK1914" s="56">
        <v>17.5</v>
      </c>
      <c r="GTL1914" s="62">
        <v>13.28</v>
      </c>
      <c r="GTM1914" s="115">
        <v>19.489999999999998</v>
      </c>
      <c r="GTN1914" s="56">
        <v>18.98</v>
      </c>
      <c r="GTO1914" s="56">
        <v>17.5</v>
      </c>
      <c r="GTP1914" s="62">
        <v>13.28</v>
      </c>
      <c r="GTQ1914" s="115">
        <v>19.489999999999998</v>
      </c>
      <c r="GTR1914" s="56">
        <v>18.98</v>
      </c>
      <c r="GTS1914" s="56">
        <v>17.5</v>
      </c>
      <c r="GTT1914" s="62">
        <v>13.28</v>
      </c>
      <c r="GTU1914" s="115">
        <v>19.489999999999998</v>
      </c>
      <c r="GTV1914" s="56">
        <v>18.98</v>
      </c>
      <c r="GTW1914" s="56">
        <v>17.5</v>
      </c>
      <c r="GTX1914" s="62">
        <v>13.28</v>
      </c>
      <c r="GTY1914" s="115">
        <v>19.489999999999998</v>
      </c>
      <c r="GTZ1914" s="56">
        <v>18.98</v>
      </c>
      <c r="GUA1914" s="56">
        <v>17.5</v>
      </c>
      <c r="GUB1914" s="62">
        <v>13.28</v>
      </c>
      <c r="GUC1914" s="115">
        <v>19.489999999999998</v>
      </c>
      <c r="GUD1914" s="56">
        <v>18.98</v>
      </c>
      <c r="GUE1914" s="56">
        <v>17.5</v>
      </c>
      <c r="GUF1914" s="62">
        <v>13.28</v>
      </c>
      <c r="GUG1914" s="115">
        <v>19.489999999999998</v>
      </c>
      <c r="GUH1914" s="56">
        <v>18.98</v>
      </c>
      <c r="GUI1914" s="56">
        <v>17.5</v>
      </c>
      <c r="GUJ1914" s="62">
        <v>13.28</v>
      </c>
      <c r="GUK1914" s="115">
        <v>19.489999999999998</v>
      </c>
      <c r="GUL1914" s="56">
        <v>18.98</v>
      </c>
      <c r="GUM1914" s="56">
        <v>17.5</v>
      </c>
      <c r="GUN1914" s="62">
        <v>13.28</v>
      </c>
      <c r="GUO1914" s="115">
        <v>19.489999999999998</v>
      </c>
      <c r="GUP1914" s="56">
        <v>18.98</v>
      </c>
      <c r="GUQ1914" s="56">
        <v>17.5</v>
      </c>
      <c r="GUR1914" s="62">
        <v>13.28</v>
      </c>
      <c r="GUS1914" s="115">
        <v>19.489999999999998</v>
      </c>
      <c r="GUT1914" s="56">
        <v>18.98</v>
      </c>
      <c r="GUU1914" s="56">
        <v>17.5</v>
      </c>
      <c r="GUV1914" s="62">
        <v>13.28</v>
      </c>
      <c r="GUW1914" s="115">
        <v>19.489999999999998</v>
      </c>
      <c r="GUX1914" s="56">
        <v>18.98</v>
      </c>
      <c r="GUY1914" s="56">
        <v>17.5</v>
      </c>
      <c r="GUZ1914" s="62">
        <v>13.28</v>
      </c>
      <c r="GVA1914" s="115">
        <v>19.489999999999998</v>
      </c>
      <c r="GVB1914" s="56">
        <v>18.98</v>
      </c>
      <c r="GVC1914" s="56">
        <v>17.5</v>
      </c>
      <c r="GVD1914" s="62">
        <v>13.28</v>
      </c>
      <c r="GVE1914" s="115">
        <v>19.489999999999998</v>
      </c>
      <c r="GVF1914" s="56">
        <v>18.98</v>
      </c>
      <c r="GVG1914" s="56">
        <v>17.5</v>
      </c>
      <c r="GVH1914" s="62">
        <v>13.28</v>
      </c>
      <c r="GVI1914" s="115">
        <v>19.489999999999998</v>
      </c>
      <c r="GVJ1914" s="56">
        <v>18.98</v>
      </c>
      <c r="GVK1914" s="56">
        <v>17.5</v>
      </c>
      <c r="GVL1914" s="62">
        <v>13.28</v>
      </c>
      <c r="GVM1914" s="115">
        <v>19.489999999999998</v>
      </c>
      <c r="GVN1914" s="56">
        <v>18.98</v>
      </c>
      <c r="GVO1914" s="56">
        <v>17.5</v>
      </c>
      <c r="GVP1914" s="62">
        <v>13.28</v>
      </c>
      <c r="GVQ1914" s="115">
        <v>19.489999999999998</v>
      </c>
      <c r="GVR1914" s="56">
        <v>18.98</v>
      </c>
      <c r="GVS1914" s="56">
        <v>17.5</v>
      </c>
      <c r="GVT1914" s="62">
        <v>13.28</v>
      </c>
      <c r="GVU1914" s="115">
        <v>19.489999999999998</v>
      </c>
      <c r="GVV1914" s="56">
        <v>18.98</v>
      </c>
      <c r="GVW1914" s="56">
        <v>17.5</v>
      </c>
      <c r="GVX1914" s="62">
        <v>13.28</v>
      </c>
      <c r="GVY1914" s="115">
        <v>19.489999999999998</v>
      </c>
      <c r="GVZ1914" s="56">
        <v>18.98</v>
      </c>
      <c r="GWA1914" s="56">
        <v>17.5</v>
      </c>
      <c r="GWB1914" s="62">
        <v>13.28</v>
      </c>
      <c r="GWC1914" s="115">
        <v>19.489999999999998</v>
      </c>
      <c r="GWD1914" s="56">
        <v>18.98</v>
      </c>
      <c r="GWE1914" s="56">
        <v>17.5</v>
      </c>
      <c r="GWF1914" s="62">
        <v>13.28</v>
      </c>
      <c r="GWG1914" s="115">
        <v>19.489999999999998</v>
      </c>
      <c r="GWH1914" s="56">
        <v>18.98</v>
      </c>
      <c r="GWI1914" s="56">
        <v>17.5</v>
      </c>
      <c r="GWJ1914" s="62">
        <v>13.28</v>
      </c>
      <c r="GWK1914" s="115">
        <v>19.489999999999998</v>
      </c>
      <c r="GWL1914" s="56">
        <v>18.98</v>
      </c>
      <c r="GWM1914" s="56">
        <v>17.5</v>
      </c>
      <c r="GWN1914" s="62">
        <v>13.28</v>
      </c>
      <c r="GWO1914" s="115">
        <v>19.489999999999998</v>
      </c>
      <c r="GWP1914" s="56">
        <v>18.98</v>
      </c>
      <c r="GWQ1914" s="56">
        <v>17.5</v>
      </c>
      <c r="GWR1914" s="62">
        <v>13.28</v>
      </c>
      <c r="GWS1914" s="115">
        <v>19.489999999999998</v>
      </c>
      <c r="GWT1914" s="56">
        <v>18.98</v>
      </c>
      <c r="GWU1914" s="56">
        <v>17.5</v>
      </c>
      <c r="GWV1914" s="62">
        <v>13.28</v>
      </c>
      <c r="GWW1914" s="115">
        <v>19.489999999999998</v>
      </c>
      <c r="GWX1914" s="56">
        <v>18.98</v>
      </c>
      <c r="GWY1914" s="56">
        <v>17.5</v>
      </c>
      <c r="GWZ1914" s="62">
        <v>13.28</v>
      </c>
      <c r="GXA1914" s="115">
        <v>19.489999999999998</v>
      </c>
      <c r="GXB1914" s="56">
        <v>18.98</v>
      </c>
      <c r="GXC1914" s="56">
        <v>17.5</v>
      </c>
      <c r="GXD1914" s="62">
        <v>13.28</v>
      </c>
      <c r="GXE1914" s="115">
        <v>19.489999999999998</v>
      </c>
      <c r="GXF1914" s="56">
        <v>18.98</v>
      </c>
      <c r="GXG1914" s="56">
        <v>17.5</v>
      </c>
      <c r="GXH1914" s="62">
        <v>13.28</v>
      </c>
      <c r="GXI1914" s="115">
        <v>19.489999999999998</v>
      </c>
      <c r="GXJ1914" s="56">
        <v>18.98</v>
      </c>
      <c r="GXK1914" s="56">
        <v>17.5</v>
      </c>
      <c r="GXL1914" s="62">
        <v>13.28</v>
      </c>
      <c r="GXM1914" s="115">
        <v>19.489999999999998</v>
      </c>
      <c r="GXN1914" s="56">
        <v>18.98</v>
      </c>
      <c r="GXO1914" s="56">
        <v>17.5</v>
      </c>
      <c r="GXP1914" s="62">
        <v>13.28</v>
      </c>
      <c r="GXQ1914" s="115">
        <v>19.489999999999998</v>
      </c>
      <c r="GXR1914" s="56">
        <v>18.98</v>
      </c>
      <c r="GXS1914" s="56">
        <v>17.5</v>
      </c>
      <c r="GXT1914" s="62">
        <v>13.28</v>
      </c>
      <c r="GXU1914" s="115">
        <v>19.489999999999998</v>
      </c>
      <c r="GXV1914" s="56">
        <v>18.98</v>
      </c>
      <c r="GXW1914" s="56">
        <v>17.5</v>
      </c>
      <c r="GXX1914" s="62">
        <v>13.28</v>
      </c>
      <c r="GXY1914" s="115">
        <v>19.489999999999998</v>
      </c>
      <c r="GXZ1914" s="56">
        <v>18.98</v>
      </c>
      <c r="GYA1914" s="56">
        <v>17.5</v>
      </c>
      <c r="GYB1914" s="62">
        <v>13.28</v>
      </c>
      <c r="GYC1914" s="115">
        <v>19.489999999999998</v>
      </c>
      <c r="GYD1914" s="56">
        <v>18.98</v>
      </c>
      <c r="GYE1914" s="56">
        <v>17.5</v>
      </c>
      <c r="GYF1914" s="62">
        <v>13.28</v>
      </c>
      <c r="GYG1914" s="115">
        <v>19.489999999999998</v>
      </c>
      <c r="GYH1914" s="56">
        <v>18.98</v>
      </c>
      <c r="GYI1914" s="56">
        <v>17.5</v>
      </c>
      <c r="GYJ1914" s="62">
        <v>13.28</v>
      </c>
      <c r="GYK1914" s="115">
        <v>19.489999999999998</v>
      </c>
      <c r="GYL1914" s="56">
        <v>18.98</v>
      </c>
      <c r="GYM1914" s="56">
        <v>17.5</v>
      </c>
      <c r="GYN1914" s="62">
        <v>13.28</v>
      </c>
      <c r="GYO1914" s="115">
        <v>19.489999999999998</v>
      </c>
      <c r="GYP1914" s="56">
        <v>18.98</v>
      </c>
      <c r="GYQ1914" s="56">
        <v>17.5</v>
      </c>
      <c r="GYR1914" s="62">
        <v>13.28</v>
      </c>
      <c r="GYS1914" s="115">
        <v>19.489999999999998</v>
      </c>
      <c r="GYT1914" s="56">
        <v>18.98</v>
      </c>
      <c r="GYU1914" s="56">
        <v>17.5</v>
      </c>
      <c r="GYV1914" s="62">
        <v>13.28</v>
      </c>
      <c r="GYW1914" s="115">
        <v>19.489999999999998</v>
      </c>
      <c r="GYX1914" s="56">
        <v>18.98</v>
      </c>
      <c r="GYY1914" s="56">
        <v>17.5</v>
      </c>
      <c r="GYZ1914" s="62">
        <v>13.28</v>
      </c>
      <c r="GZA1914" s="115">
        <v>19.489999999999998</v>
      </c>
      <c r="GZB1914" s="56">
        <v>18.98</v>
      </c>
      <c r="GZC1914" s="56">
        <v>17.5</v>
      </c>
      <c r="GZD1914" s="62">
        <v>13.28</v>
      </c>
      <c r="GZE1914" s="115">
        <v>19.489999999999998</v>
      </c>
      <c r="GZF1914" s="56">
        <v>18.98</v>
      </c>
      <c r="GZG1914" s="56">
        <v>17.5</v>
      </c>
      <c r="GZH1914" s="62">
        <v>13.28</v>
      </c>
      <c r="GZI1914" s="115">
        <v>19.489999999999998</v>
      </c>
      <c r="GZJ1914" s="56">
        <v>18.98</v>
      </c>
      <c r="GZK1914" s="56">
        <v>17.5</v>
      </c>
      <c r="GZL1914" s="62">
        <v>13.28</v>
      </c>
      <c r="GZM1914" s="115">
        <v>19.489999999999998</v>
      </c>
      <c r="GZN1914" s="56">
        <v>18.98</v>
      </c>
      <c r="GZO1914" s="56">
        <v>17.5</v>
      </c>
      <c r="GZP1914" s="62">
        <v>13.28</v>
      </c>
      <c r="GZQ1914" s="115">
        <v>19.489999999999998</v>
      </c>
      <c r="GZR1914" s="56">
        <v>18.98</v>
      </c>
      <c r="GZS1914" s="56">
        <v>17.5</v>
      </c>
      <c r="GZT1914" s="62">
        <v>13.28</v>
      </c>
      <c r="GZU1914" s="115">
        <v>19.489999999999998</v>
      </c>
      <c r="GZV1914" s="56">
        <v>18.98</v>
      </c>
      <c r="GZW1914" s="56">
        <v>17.5</v>
      </c>
      <c r="GZX1914" s="62">
        <v>13.28</v>
      </c>
      <c r="GZY1914" s="115">
        <v>19.489999999999998</v>
      </c>
      <c r="GZZ1914" s="56">
        <v>18.98</v>
      </c>
      <c r="HAA1914" s="56">
        <v>17.5</v>
      </c>
      <c r="HAB1914" s="62">
        <v>13.28</v>
      </c>
      <c r="HAC1914" s="115">
        <v>19.489999999999998</v>
      </c>
      <c r="HAD1914" s="56">
        <v>18.98</v>
      </c>
      <c r="HAE1914" s="56">
        <v>17.5</v>
      </c>
      <c r="HAF1914" s="62">
        <v>13.28</v>
      </c>
      <c r="HAG1914" s="115">
        <v>19.489999999999998</v>
      </c>
      <c r="HAH1914" s="56">
        <v>18.98</v>
      </c>
      <c r="HAI1914" s="56">
        <v>17.5</v>
      </c>
      <c r="HAJ1914" s="62">
        <v>13.28</v>
      </c>
      <c r="HAK1914" s="115">
        <v>19.489999999999998</v>
      </c>
      <c r="HAL1914" s="56">
        <v>18.98</v>
      </c>
      <c r="HAM1914" s="56">
        <v>17.5</v>
      </c>
      <c r="HAN1914" s="62">
        <v>13.28</v>
      </c>
      <c r="HAO1914" s="115">
        <v>19.489999999999998</v>
      </c>
      <c r="HAP1914" s="56">
        <v>18.98</v>
      </c>
      <c r="HAQ1914" s="56">
        <v>17.5</v>
      </c>
      <c r="HAR1914" s="62">
        <v>13.28</v>
      </c>
      <c r="HAS1914" s="115">
        <v>19.489999999999998</v>
      </c>
      <c r="HAT1914" s="56">
        <v>18.98</v>
      </c>
      <c r="HAU1914" s="56">
        <v>17.5</v>
      </c>
      <c r="HAV1914" s="62">
        <v>13.28</v>
      </c>
      <c r="HAW1914" s="115">
        <v>19.489999999999998</v>
      </c>
      <c r="HAX1914" s="56">
        <v>18.98</v>
      </c>
      <c r="HAY1914" s="56">
        <v>17.5</v>
      </c>
      <c r="HAZ1914" s="62">
        <v>13.28</v>
      </c>
      <c r="HBA1914" s="115">
        <v>19.489999999999998</v>
      </c>
      <c r="HBB1914" s="56">
        <v>18.98</v>
      </c>
      <c r="HBC1914" s="56">
        <v>17.5</v>
      </c>
      <c r="HBD1914" s="62">
        <v>13.28</v>
      </c>
      <c r="HBE1914" s="115">
        <v>19.489999999999998</v>
      </c>
      <c r="HBF1914" s="56">
        <v>18.98</v>
      </c>
      <c r="HBG1914" s="56">
        <v>17.5</v>
      </c>
      <c r="HBH1914" s="62">
        <v>13.28</v>
      </c>
      <c r="HBI1914" s="115">
        <v>19.489999999999998</v>
      </c>
      <c r="HBJ1914" s="56">
        <v>18.98</v>
      </c>
      <c r="HBK1914" s="56">
        <v>17.5</v>
      </c>
      <c r="HBL1914" s="62">
        <v>13.28</v>
      </c>
      <c r="HBM1914" s="115">
        <v>19.489999999999998</v>
      </c>
      <c r="HBN1914" s="56">
        <v>18.98</v>
      </c>
      <c r="HBO1914" s="56">
        <v>17.5</v>
      </c>
      <c r="HBP1914" s="62">
        <v>13.28</v>
      </c>
      <c r="HBQ1914" s="115">
        <v>19.489999999999998</v>
      </c>
      <c r="HBR1914" s="56">
        <v>18.98</v>
      </c>
      <c r="HBS1914" s="56">
        <v>17.5</v>
      </c>
      <c r="HBT1914" s="62">
        <v>13.28</v>
      </c>
      <c r="HBU1914" s="115">
        <v>19.489999999999998</v>
      </c>
      <c r="HBV1914" s="56">
        <v>18.98</v>
      </c>
      <c r="HBW1914" s="56">
        <v>17.5</v>
      </c>
      <c r="HBX1914" s="62">
        <v>13.28</v>
      </c>
      <c r="HBY1914" s="115">
        <v>19.489999999999998</v>
      </c>
      <c r="HBZ1914" s="56">
        <v>18.98</v>
      </c>
      <c r="HCA1914" s="56">
        <v>17.5</v>
      </c>
      <c r="HCB1914" s="62">
        <v>13.28</v>
      </c>
      <c r="HCC1914" s="115">
        <v>19.489999999999998</v>
      </c>
      <c r="HCD1914" s="56">
        <v>18.98</v>
      </c>
      <c r="HCE1914" s="56">
        <v>17.5</v>
      </c>
      <c r="HCF1914" s="62">
        <v>13.28</v>
      </c>
      <c r="HCG1914" s="115">
        <v>19.489999999999998</v>
      </c>
      <c r="HCH1914" s="56">
        <v>18.98</v>
      </c>
      <c r="HCI1914" s="56">
        <v>17.5</v>
      </c>
      <c r="HCJ1914" s="62">
        <v>13.28</v>
      </c>
      <c r="HCK1914" s="115">
        <v>19.489999999999998</v>
      </c>
      <c r="HCL1914" s="56">
        <v>18.98</v>
      </c>
      <c r="HCM1914" s="56">
        <v>17.5</v>
      </c>
      <c r="HCN1914" s="62">
        <v>13.28</v>
      </c>
      <c r="HCO1914" s="115">
        <v>19.489999999999998</v>
      </c>
      <c r="HCP1914" s="56">
        <v>18.98</v>
      </c>
      <c r="HCQ1914" s="56">
        <v>17.5</v>
      </c>
      <c r="HCR1914" s="62">
        <v>13.28</v>
      </c>
      <c r="HCS1914" s="115">
        <v>19.489999999999998</v>
      </c>
      <c r="HCT1914" s="56">
        <v>18.98</v>
      </c>
      <c r="HCU1914" s="56">
        <v>17.5</v>
      </c>
      <c r="HCV1914" s="62">
        <v>13.28</v>
      </c>
      <c r="HCW1914" s="115">
        <v>19.489999999999998</v>
      </c>
      <c r="HCX1914" s="56">
        <v>18.98</v>
      </c>
      <c r="HCY1914" s="56">
        <v>17.5</v>
      </c>
      <c r="HCZ1914" s="62">
        <v>13.28</v>
      </c>
      <c r="HDA1914" s="115">
        <v>19.489999999999998</v>
      </c>
      <c r="HDB1914" s="56">
        <v>18.98</v>
      </c>
      <c r="HDC1914" s="56">
        <v>17.5</v>
      </c>
      <c r="HDD1914" s="62">
        <v>13.28</v>
      </c>
      <c r="HDE1914" s="115">
        <v>19.489999999999998</v>
      </c>
      <c r="HDF1914" s="56">
        <v>18.98</v>
      </c>
      <c r="HDG1914" s="56">
        <v>17.5</v>
      </c>
      <c r="HDH1914" s="62">
        <v>13.28</v>
      </c>
      <c r="HDI1914" s="115">
        <v>19.489999999999998</v>
      </c>
      <c r="HDJ1914" s="56">
        <v>18.98</v>
      </c>
      <c r="HDK1914" s="56">
        <v>17.5</v>
      </c>
      <c r="HDL1914" s="62">
        <v>13.28</v>
      </c>
      <c r="HDM1914" s="115">
        <v>19.489999999999998</v>
      </c>
      <c r="HDN1914" s="56">
        <v>18.98</v>
      </c>
      <c r="HDO1914" s="56">
        <v>17.5</v>
      </c>
      <c r="HDP1914" s="62">
        <v>13.28</v>
      </c>
      <c r="HDQ1914" s="115">
        <v>19.489999999999998</v>
      </c>
      <c r="HDR1914" s="56">
        <v>18.98</v>
      </c>
      <c r="HDS1914" s="56">
        <v>17.5</v>
      </c>
      <c r="HDT1914" s="62">
        <v>13.28</v>
      </c>
      <c r="HDU1914" s="115">
        <v>19.489999999999998</v>
      </c>
      <c r="HDV1914" s="56">
        <v>18.98</v>
      </c>
      <c r="HDW1914" s="56">
        <v>17.5</v>
      </c>
      <c r="HDX1914" s="62">
        <v>13.28</v>
      </c>
      <c r="HDY1914" s="115">
        <v>19.489999999999998</v>
      </c>
      <c r="HDZ1914" s="56">
        <v>18.98</v>
      </c>
      <c r="HEA1914" s="56">
        <v>17.5</v>
      </c>
      <c r="HEB1914" s="62">
        <v>13.28</v>
      </c>
      <c r="HEC1914" s="115">
        <v>19.489999999999998</v>
      </c>
      <c r="HED1914" s="56">
        <v>18.98</v>
      </c>
      <c r="HEE1914" s="56">
        <v>17.5</v>
      </c>
      <c r="HEF1914" s="62">
        <v>13.28</v>
      </c>
      <c r="HEG1914" s="115">
        <v>19.489999999999998</v>
      </c>
      <c r="HEH1914" s="56">
        <v>18.98</v>
      </c>
      <c r="HEI1914" s="56">
        <v>17.5</v>
      </c>
      <c r="HEJ1914" s="62">
        <v>13.28</v>
      </c>
      <c r="HEK1914" s="115">
        <v>19.489999999999998</v>
      </c>
      <c r="HEL1914" s="56">
        <v>18.98</v>
      </c>
      <c r="HEM1914" s="56">
        <v>17.5</v>
      </c>
      <c r="HEN1914" s="62">
        <v>13.28</v>
      </c>
      <c r="HEO1914" s="115">
        <v>19.489999999999998</v>
      </c>
      <c r="HEP1914" s="56">
        <v>18.98</v>
      </c>
      <c r="HEQ1914" s="56">
        <v>17.5</v>
      </c>
      <c r="HER1914" s="62">
        <v>13.28</v>
      </c>
      <c r="HES1914" s="115">
        <v>19.489999999999998</v>
      </c>
      <c r="HET1914" s="56">
        <v>18.98</v>
      </c>
      <c r="HEU1914" s="56">
        <v>17.5</v>
      </c>
      <c r="HEV1914" s="62">
        <v>13.28</v>
      </c>
      <c r="HEW1914" s="115">
        <v>19.489999999999998</v>
      </c>
      <c r="HEX1914" s="56">
        <v>18.98</v>
      </c>
      <c r="HEY1914" s="56">
        <v>17.5</v>
      </c>
      <c r="HEZ1914" s="62">
        <v>13.28</v>
      </c>
      <c r="HFA1914" s="115">
        <v>19.489999999999998</v>
      </c>
      <c r="HFB1914" s="56">
        <v>18.98</v>
      </c>
      <c r="HFC1914" s="56">
        <v>17.5</v>
      </c>
      <c r="HFD1914" s="62">
        <v>13.28</v>
      </c>
      <c r="HFE1914" s="115">
        <v>19.489999999999998</v>
      </c>
      <c r="HFF1914" s="56">
        <v>18.98</v>
      </c>
      <c r="HFG1914" s="56">
        <v>17.5</v>
      </c>
      <c r="HFH1914" s="62">
        <v>13.28</v>
      </c>
      <c r="HFI1914" s="115">
        <v>19.489999999999998</v>
      </c>
      <c r="HFJ1914" s="56">
        <v>18.98</v>
      </c>
      <c r="HFK1914" s="56">
        <v>17.5</v>
      </c>
      <c r="HFL1914" s="62">
        <v>13.28</v>
      </c>
      <c r="HFM1914" s="115">
        <v>19.489999999999998</v>
      </c>
      <c r="HFN1914" s="56">
        <v>18.98</v>
      </c>
      <c r="HFO1914" s="56">
        <v>17.5</v>
      </c>
      <c r="HFP1914" s="62">
        <v>13.28</v>
      </c>
      <c r="HFQ1914" s="115">
        <v>19.489999999999998</v>
      </c>
      <c r="HFR1914" s="56">
        <v>18.98</v>
      </c>
      <c r="HFS1914" s="56">
        <v>17.5</v>
      </c>
      <c r="HFT1914" s="62">
        <v>13.28</v>
      </c>
      <c r="HFU1914" s="115">
        <v>19.489999999999998</v>
      </c>
      <c r="HFV1914" s="56">
        <v>18.98</v>
      </c>
      <c r="HFW1914" s="56">
        <v>17.5</v>
      </c>
      <c r="HFX1914" s="62">
        <v>13.28</v>
      </c>
      <c r="HFY1914" s="115">
        <v>19.489999999999998</v>
      </c>
      <c r="HFZ1914" s="56">
        <v>18.98</v>
      </c>
      <c r="HGA1914" s="56">
        <v>17.5</v>
      </c>
      <c r="HGB1914" s="62">
        <v>13.28</v>
      </c>
      <c r="HGC1914" s="115">
        <v>19.489999999999998</v>
      </c>
      <c r="HGD1914" s="56">
        <v>18.98</v>
      </c>
      <c r="HGE1914" s="56">
        <v>17.5</v>
      </c>
      <c r="HGF1914" s="62">
        <v>13.28</v>
      </c>
      <c r="HGG1914" s="115">
        <v>19.489999999999998</v>
      </c>
      <c r="HGH1914" s="56">
        <v>18.98</v>
      </c>
      <c r="HGI1914" s="56">
        <v>17.5</v>
      </c>
      <c r="HGJ1914" s="62">
        <v>13.28</v>
      </c>
      <c r="HGK1914" s="115">
        <v>19.489999999999998</v>
      </c>
      <c r="HGL1914" s="56">
        <v>18.98</v>
      </c>
      <c r="HGM1914" s="56">
        <v>17.5</v>
      </c>
      <c r="HGN1914" s="62">
        <v>13.28</v>
      </c>
      <c r="HGO1914" s="115">
        <v>19.489999999999998</v>
      </c>
      <c r="HGP1914" s="56">
        <v>18.98</v>
      </c>
      <c r="HGQ1914" s="56">
        <v>17.5</v>
      </c>
      <c r="HGR1914" s="62">
        <v>13.28</v>
      </c>
      <c r="HGS1914" s="115">
        <v>19.489999999999998</v>
      </c>
      <c r="HGT1914" s="56">
        <v>18.98</v>
      </c>
      <c r="HGU1914" s="56">
        <v>17.5</v>
      </c>
      <c r="HGV1914" s="62">
        <v>13.28</v>
      </c>
      <c r="HGW1914" s="115">
        <v>19.489999999999998</v>
      </c>
      <c r="HGX1914" s="56">
        <v>18.98</v>
      </c>
      <c r="HGY1914" s="56">
        <v>17.5</v>
      </c>
      <c r="HGZ1914" s="62">
        <v>13.28</v>
      </c>
      <c r="HHA1914" s="115">
        <v>19.489999999999998</v>
      </c>
      <c r="HHB1914" s="56">
        <v>18.98</v>
      </c>
      <c r="HHC1914" s="56">
        <v>17.5</v>
      </c>
      <c r="HHD1914" s="62">
        <v>13.28</v>
      </c>
      <c r="HHE1914" s="115">
        <v>19.489999999999998</v>
      </c>
      <c r="HHF1914" s="56">
        <v>18.98</v>
      </c>
      <c r="HHG1914" s="56">
        <v>17.5</v>
      </c>
      <c r="HHH1914" s="62">
        <v>13.28</v>
      </c>
      <c r="HHI1914" s="115">
        <v>19.489999999999998</v>
      </c>
      <c r="HHJ1914" s="56">
        <v>18.98</v>
      </c>
      <c r="HHK1914" s="56">
        <v>17.5</v>
      </c>
      <c r="HHL1914" s="62">
        <v>13.28</v>
      </c>
      <c r="HHM1914" s="115">
        <v>19.489999999999998</v>
      </c>
      <c r="HHN1914" s="56">
        <v>18.98</v>
      </c>
      <c r="HHO1914" s="56">
        <v>17.5</v>
      </c>
      <c r="HHP1914" s="62">
        <v>13.28</v>
      </c>
      <c r="HHQ1914" s="115">
        <v>19.489999999999998</v>
      </c>
      <c r="HHR1914" s="56">
        <v>18.98</v>
      </c>
      <c r="HHS1914" s="56">
        <v>17.5</v>
      </c>
      <c r="HHT1914" s="62">
        <v>13.28</v>
      </c>
      <c r="HHU1914" s="115">
        <v>19.489999999999998</v>
      </c>
      <c r="HHV1914" s="56">
        <v>18.98</v>
      </c>
      <c r="HHW1914" s="56">
        <v>17.5</v>
      </c>
      <c r="HHX1914" s="62">
        <v>13.28</v>
      </c>
      <c r="HHY1914" s="115">
        <v>19.489999999999998</v>
      </c>
      <c r="HHZ1914" s="56">
        <v>18.98</v>
      </c>
      <c r="HIA1914" s="56">
        <v>17.5</v>
      </c>
      <c r="HIB1914" s="62">
        <v>13.28</v>
      </c>
      <c r="HIC1914" s="115">
        <v>19.489999999999998</v>
      </c>
      <c r="HID1914" s="56">
        <v>18.98</v>
      </c>
      <c r="HIE1914" s="56">
        <v>17.5</v>
      </c>
      <c r="HIF1914" s="62">
        <v>13.28</v>
      </c>
      <c r="HIG1914" s="115">
        <v>19.489999999999998</v>
      </c>
      <c r="HIH1914" s="56">
        <v>18.98</v>
      </c>
      <c r="HII1914" s="56">
        <v>17.5</v>
      </c>
      <c r="HIJ1914" s="62">
        <v>13.28</v>
      </c>
      <c r="HIK1914" s="115">
        <v>19.489999999999998</v>
      </c>
      <c r="HIL1914" s="56">
        <v>18.98</v>
      </c>
      <c r="HIM1914" s="56">
        <v>17.5</v>
      </c>
      <c r="HIN1914" s="62">
        <v>13.28</v>
      </c>
      <c r="HIO1914" s="115">
        <v>19.489999999999998</v>
      </c>
      <c r="HIP1914" s="56">
        <v>18.98</v>
      </c>
      <c r="HIQ1914" s="56">
        <v>17.5</v>
      </c>
      <c r="HIR1914" s="62">
        <v>13.28</v>
      </c>
      <c r="HIS1914" s="115">
        <v>19.489999999999998</v>
      </c>
      <c r="HIT1914" s="56">
        <v>18.98</v>
      </c>
      <c r="HIU1914" s="56">
        <v>17.5</v>
      </c>
      <c r="HIV1914" s="62">
        <v>13.28</v>
      </c>
      <c r="HIW1914" s="115">
        <v>19.489999999999998</v>
      </c>
      <c r="HIX1914" s="56">
        <v>18.98</v>
      </c>
      <c r="HIY1914" s="56">
        <v>17.5</v>
      </c>
      <c r="HIZ1914" s="62">
        <v>13.28</v>
      </c>
      <c r="HJA1914" s="115">
        <v>19.489999999999998</v>
      </c>
      <c r="HJB1914" s="56">
        <v>18.98</v>
      </c>
      <c r="HJC1914" s="56">
        <v>17.5</v>
      </c>
      <c r="HJD1914" s="62">
        <v>13.28</v>
      </c>
      <c r="HJE1914" s="115">
        <v>19.489999999999998</v>
      </c>
      <c r="HJF1914" s="56">
        <v>18.98</v>
      </c>
      <c r="HJG1914" s="56">
        <v>17.5</v>
      </c>
      <c r="HJH1914" s="62">
        <v>13.28</v>
      </c>
      <c r="HJI1914" s="115">
        <v>19.489999999999998</v>
      </c>
      <c r="HJJ1914" s="56">
        <v>18.98</v>
      </c>
      <c r="HJK1914" s="56">
        <v>17.5</v>
      </c>
      <c r="HJL1914" s="62">
        <v>13.28</v>
      </c>
      <c r="HJM1914" s="115">
        <v>19.489999999999998</v>
      </c>
      <c r="HJN1914" s="56">
        <v>18.98</v>
      </c>
      <c r="HJO1914" s="56">
        <v>17.5</v>
      </c>
      <c r="HJP1914" s="62">
        <v>13.28</v>
      </c>
      <c r="HJQ1914" s="115">
        <v>19.489999999999998</v>
      </c>
      <c r="HJR1914" s="56">
        <v>18.98</v>
      </c>
      <c r="HJS1914" s="56">
        <v>17.5</v>
      </c>
      <c r="HJT1914" s="62">
        <v>13.28</v>
      </c>
      <c r="HJU1914" s="115">
        <v>19.489999999999998</v>
      </c>
      <c r="HJV1914" s="56">
        <v>18.98</v>
      </c>
      <c r="HJW1914" s="56">
        <v>17.5</v>
      </c>
      <c r="HJX1914" s="62">
        <v>13.28</v>
      </c>
      <c r="HJY1914" s="115">
        <v>19.489999999999998</v>
      </c>
      <c r="HJZ1914" s="56">
        <v>18.98</v>
      </c>
      <c r="HKA1914" s="56">
        <v>17.5</v>
      </c>
      <c r="HKB1914" s="62">
        <v>13.28</v>
      </c>
      <c r="HKC1914" s="115">
        <v>19.489999999999998</v>
      </c>
      <c r="HKD1914" s="56">
        <v>18.98</v>
      </c>
      <c r="HKE1914" s="56">
        <v>17.5</v>
      </c>
      <c r="HKF1914" s="62">
        <v>13.28</v>
      </c>
      <c r="HKG1914" s="115">
        <v>19.489999999999998</v>
      </c>
      <c r="HKH1914" s="56">
        <v>18.98</v>
      </c>
      <c r="HKI1914" s="56">
        <v>17.5</v>
      </c>
      <c r="HKJ1914" s="62">
        <v>13.28</v>
      </c>
      <c r="HKK1914" s="115">
        <v>19.489999999999998</v>
      </c>
      <c r="HKL1914" s="56">
        <v>18.98</v>
      </c>
      <c r="HKM1914" s="56">
        <v>17.5</v>
      </c>
      <c r="HKN1914" s="62">
        <v>13.28</v>
      </c>
      <c r="HKO1914" s="115">
        <v>19.489999999999998</v>
      </c>
      <c r="HKP1914" s="56">
        <v>18.98</v>
      </c>
      <c r="HKQ1914" s="56">
        <v>17.5</v>
      </c>
      <c r="HKR1914" s="62">
        <v>13.28</v>
      </c>
      <c r="HKS1914" s="115">
        <v>19.489999999999998</v>
      </c>
      <c r="HKT1914" s="56">
        <v>18.98</v>
      </c>
      <c r="HKU1914" s="56">
        <v>17.5</v>
      </c>
      <c r="HKV1914" s="62">
        <v>13.28</v>
      </c>
      <c r="HKW1914" s="115">
        <v>19.489999999999998</v>
      </c>
      <c r="HKX1914" s="56">
        <v>18.98</v>
      </c>
      <c r="HKY1914" s="56">
        <v>17.5</v>
      </c>
      <c r="HKZ1914" s="62">
        <v>13.28</v>
      </c>
      <c r="HLA1914" s="115">
        <v>19.489999999999998</v>
      </c>
      <c r="HLB1914" s="56">
        <v>18.98</v>
      </c>
      <c r="HLC1914" s="56">
        <v>17.5</v>
      </c>
      <c r="HLD1914" s="62">
        <v>13.28</v>
      </c>
      <c r="HLE1914" s="115">
        <v>19.489999999999998</v>
      </c>
      <c r="HLF1914" s="56">
        <v>18.98</v>
      </c>
      <c r="HLG1914" s="56">
        <v>17.5</v>
      </c>
      <c r="HLH1914" s="62">
        <v>13.28</v>
      </c>
      <c r="HLI1914" s="115">
        <v>19.489999999999998</v>
      </c>
      <c r="HLJ1914" s="56">
        <v>18.98</v>
      </c>
      <c r="HLK1914" s="56">
        <v>17.5</v>
      </c>
      <c r="HLL1914" s="62">
        <v>13.28</v>
      </c>
      <c r="HLM1914" s="115">
        <v>19.489999999999998</v>
      </c>
      <c r="HLN1914" s="56">
        <v>18.98</v>
      </c>
      <c r="HLO1914" s="56">
        <v>17.5</v>
      </c>
      <c r="HLP1914" s="62">
        <v>13.28</v>
      </c>
      <c r="HLQ1914" s="115">
        <v>19.489999999999998</v>
      </c>
      <c r="HLR1914" s="56">
        <v>18.98</v>
      </c>
      <c r="HLS1914" s="56">
        <v>17.5</v>
      </c>
      <c r="HLT1914" s="62">
        <v>13.28</v>
      </c>
      <c r="HLU1914" s="115">
        <v>19.489999999999998</v>
      </c>
      <c r="HLV1914" s="56">
        <v>18.98</v>
      </c>
      <c r="HLW1914" s="56">
        <v>17.5</v>
      </c>
      <c r="HLX1914" s="62">
        <v>13.28</v>
      </c>
      <c r="HLY1914" s="115">
        <v>19.489999999999998</v>
      </c>
      <c r="HLZ1914" s="56">
        <v>18.98</v>
      </c>
      <c r="HMA1914" s="56">
        <v>17.5</v>
      </c>
      <c r="HMB1914" s="62">
        <v>13.28</v>
      </c>
      <c r="HMC1914" s="115">
        <v>19.489999999999998</v>
      </c>
      <c r="HMD1914" s="56">
        <v>18.98</v>
      </c>
      <c r="HME1914" s="56">
        <v>17.5</v>
      </c>
      <c r="HMF1914" s="62">
        <v>13.28</v>
      </c>
      <c r="HMG1914" s="115">
        <v>19.489999999999998</v>
      </c>
      <c r="HMH1914" s="56">
        <v>18.98</v>
      </c>
      <c r="HMI1914" s="56">
        <v>17.5</v>
      </c>
      <c r="HMJ1914" s="62">
        <v>13.28</v>
      </c>
      <c r="HMK1914" s="115">
        <v>19.489999999999998</v>
      </c>
      <c r="HML1914" s="56">
        <v>18.98</v>
      </c>
      <c r="HMM1914" s="56">
        <v>17.5</v>
      </c>
      <c r="HMN1914" s="62">
        <v>13.28</v>
      </c>
      <c r="HMO1914" s="115">
        <v>19.489999999999998</v>
      </c>
      <c r="HMP1914" s="56">
        <v>18.98</v>
      </c>
      <c r="HMQ1914" s="56">
        <v>17.5</v>
      </c>
      <c r="HMR1914" s="62">
        <v>13.28</v>
      </c>
      <c r="HMS1914" s="115">
        <v>19.489999999999998</v>
      </c>
      <c r="HMT1914" s="56">
        <v>18.98</v>
      </c>
      <c r="HMU1914" s="56">
        <v>17.5</v>
      </c>
      <c r="HMV1914" s="62">
        <v>13.28</v>
      </c>
      <c r="HMW1914" s="115">
        <v>19.489999999999998</v>
      </c>
      <c r="HMX1914" s="56">
        <v>18.98</v>
      </c>
      <c r="HMY1914" s="56">
        <v>17.5</v>
      </c>
      <c r="HMZ1914" s="62">
        <v>13.28</v>
      </c>
      <c r="HNA1914" s="115">
        <v>19.489999999999998</v>
      </c>
      <c r="HNB1914" s="56">
        <v>18.98</v>
      </c>
      <c r="HNC1914" s="56">
        <v>17.5</v>
      </c>
      <c r="HND1914" s="62">
        <v>13.28</v>
      </c>
      <c r="HNE1914" s="115">
        <v>19.489999999999998</v>
      </c>
      <c r="HNF1914" s="56">
        <v>18.98</v>
      </c>
      <c r="HNG1914" s="56">
        <v>17.5</v>
      </c>
      <c r="HNH1914" s="62">
        <v>13.28</v>
      </c>
      <c r="HNI1914" s="115">
        <v>19.489999999999998</v>
      </c>
      <c r="HNJ1914" s="56">
        <v>18.98</v>
      </c>
      <c r="HNK1914" s="56">
        <v>17.5</v>
      </c>
      <c r="HNL1914" s="62">
        <v>13.28</v>
      </c>
      <c r="HNM1914" s="115">
        <v>19.489999999999998</v>
      </c>
      <c r="HNN1914" s="56">
        <v>18.98</v>
      </c>
      <c r="HNO1914" s="56">
        <v>17.5</v>
      </c>
      <c r="HNP1914" s="62">
        <v>13.28</v>
      </c>
      <c r="HNQ1914" s="115">
        <v>19.489999999999998</v>
      </c>
      <c r="HNR1914" s="56">
        <v>18.98</v>
      </c>
      <c r="HNS1914" s="56">
        <v>17.5</v>
      </c>
      <c r="HNT1914" s="62">
        <v>13.28</v>
      </c>
      <c r="HNU1914" s="115">
        <v>19.489999999999998</v>
      </c>
      <c r="HNV1914" s="56">
        <v>18.98</v>
      </c>
      <c r="HNW1914" s="56">
        <v>17.5</v>
      </c>
      <c r="HNX1914" s="62">
        <v>13.28</v>
      </c>
      <c r="HNY1914" s="115">
        <v>19.489999999999998</v>
      </c>
      <c r="HNZ1914" s="56">
        <v>18.98</v>
      </c>
      <c r="HOA1914" s="56">
        <v>17.5</v>
      </c>
      <c r="HOB1914" s="62">
        <v>13.28</v>
      </c>
      <c r="HOC1914" s="115">
        <v>19.489999999999998</v>
      </c>
      <c r="HOD1914" s="56">
        <v>18.98</v>
      </c>
      <c r="HOE1914" s="56">
        <v>17.5</v>
      </c>
      <c r="HOF1914" s="62">
        <v>13.28</v>
      </c>
      <c r="HOG1914" s="115">
        <v>19.489999999999998</v>
      </c>
      <c r="HOH1914" s="56">
        <v>18.98</v>
      </c>
      <c r="HOI1914" s="56">
        <v>17.5</v>
      </c>
      <c r="HOJ1914" s="62">
        <v>13.28</v>
      </c>
      <c r="HOK1914" s="115">
        <v>19.489999999999998</v>
      </c>
      <c r="HOL1914" s="56">
        <v>18.98</v>
      </c>
      <c r="HOM1914" s="56">
        <v>17.5</v>
      </c>
      <c r="HON1914" s="62">
        <v>13.28</v>
      </c>
      <c r="HOO1914" s="115">
        <v>19.489999999999998</v>
      </c>
      <c r="HOP1914" s="56">
        <v>18.98</v>
      </c>
      <c r="HOQ1914" s="56">
        <v>17.5</v>
      </c>
      <c r="HOR1914" s="62">
        <v>13.28</v>
      </c>
      <c r="HOS1914" s="115">
        <v>19.489999999999998</v>
      </c>
      <c r="HOT1914" s="56">
        <v>18.98</v>
      </c>
      <c r="HOU1914" s="56">
        <v>17.5</v>
      </c>
      <c r="HOV1914" s="62">
        <v>13.28</v>
      </c>
      <c r="HOW1914" s="115">
        <v>19.489999999999998</v>
      </c>
      <c r="HOX1914" s="56">
        <v>18.98</v>
      </c>
      <c r="HOY1914" s="56">
        <v>17.5</v>
      </c>
      <c r="HOZ1914" s="62">
        <v>13.28</v>
      </c>
      <c r="HPA1914" s="115">
        <v>19.489999999999998</v>
      </c>
      <c r="HPB1914" s="56">
        <v>18.98</v>
      </c>
      <c r="HPC1914" s="56">
        <v>17.5</v>
      </c>
      <c r="HPD1914" s="62">
        <v>13.28</v>
      </c>
      <c r="HPE1914" s="115">
        <v>19.489999999999998</v>
      </c>
      <c r="HPF1914" s="56">
        <v>18.98</v>
      </c>
      <c r="HPG1914" s="56">
        <v>17.5</v>
      </c>
      <c r="HPH1914" s="62">
        <v>13.28</v>
      </c>
      <c r="HPI1914" s="115">
        <v>19.489999999999998</v>
      </c>
      <c r="HPJ1914" s="56">
        <v>18.98</v>
      </c>
      <c r="HPK1914" s="56">
        <v>17.5</v>
      </c>
      <c r="HPL1914" s="62">
        <v>13.28</v>
      </c>
      <c r="HPM1914" s="115">
        <v>19.489999999999998</v>
      </c>
      <c r="HPN1914" s="56">
        <v>18.98</v>
      </c>
      <c r="HPO1914" s="56">
        <v>17.5</v>
      </c>
      <c r="HPP1914" s="62">
        <v>13.28</v>
      </c>
      <c r="HPQ1914" s="115">
        <v>19.489999999999998</v>
      </c>
      <c r="HPR1914" s="56">
        <v>18.98</v>
      </c>
      <c r="HPS1914" s="56">
        <v>17.5</v>
      </c>
      <c r="HPT1914" s="62">
        <v>13.28</v>
      </c>
      <c r="HPU1914" s="115">
        <v>19.489999999999998</v>
      </c>
      <c r="HPV1914" s="56">
        <v>18.98</v>
      </c>
      <c r="HPW1914" s="56">
        <v>17.5</v>
      </c>
      <c r="HPX1914" s="62">
        <v>13.28</v>
      </c>
      <c r="HPY1914" s="115">
        <v>19.489999999999998</v>
      </c>
      <c r="HPZ1914" s="56">
        <v>18.98</v>
      </c>
      <c r="HQA1914" s="56">
        <v>17.5</v>
      </c>
      <c r="HQB1914" s="62">
        <v>13.28</v>
      </c>
      <c r="HQC1914" s="115">
        <v>19.489999999999998</v>
      </c>
      <c r="HQD1914" s="56">
        <v>18.98</v>
      </c>
      <c r="HQE1914" s="56">
        <v>17.5</v>
      </c>
      <c r="HQF1914" s="62">
        <v>13.28</v>
      </c>
      <c r="HQG1914" s="115">
        <v>19.489999999999998</v>
      </c>
      <c r="HQH1914" s="56">
        <v>18.98</v>
      </c>
      <c r="HQI1914" s="56">
        <v>17.5</v>
      </c>
      <c r="HQJ1914" s="62">
        <v>13.28</v>
      </c>
      <c r="HQK1914" s="115">
        <v>19.489999999999998</v>
      </c>
      <c r="HQL1914" s="56">
        <v>18.98</v>
      </c>
      <c r="HQM1914" s="56">
        <v>17.5</v>
      </c>
      <c r="HQN1914" s="62">
        <v>13.28</v>
      </c>
      <c r="HQO1914" s="115">
        <v>19.489999999999998</v>
      </c>
      <c r="HQP1914" s="56">
        <v>18.98</v>
      </c>
      <c r="HQQ1914" s="56">
        <v>17.5</v>
      </c>
      <c r="HQR1914" s="62">
        <v>13.28</v>
      </c>
      <c r="HQS1914" s="115">
        <v>19.489999999999998</v>
      </c>
      <c r="HQT1914" s="56">
        <v>18.98</v>
      </c>
      <c r="HQU1914" s="56">
        <v>17.5</v>
      </c>
      <c r="HQV1914" s="62">
        <v>13.28</v>
      </c>
      <c r="HQW1914" s="115">
        <v>19.489999999999998</v>
      </c>
      <c r="HQX1914" s="56">
        <v>18.98</v>
      </c>
      <c r="HQY1914" s="56">
        <v>17.5</v>
      </c>
      <c r="HQZ1914" s="62">
        <v>13.28</v>
      </c>
      <c r="HRA1914" s="115">
        <v>19.489999999999998</v>
      </c>
      <c r="HRB1914" s="56">
        <v>18.98</v>
      </c>
      <c r="HRC1914" s="56">
        <v>17.5</v>
      </c>
      <c r="HRD1914" s="62">
        <v>13.28</v>
      </c>
      <c r="HRE1914" s="115">
        <v>19.489999999999998</v>
      </c>
      <c r="HRF1914" s="56">
        <v>18.98</v>
      </c>
      <c r="HRG1914" s="56">
        <v>17.5</v>
      </c>
      <c r="HRH1914" s="62">
        <v>13.28</v>
      </c>
      <c r="HRI1914" s="115">
        <v>19.489999999999998</v>
      </c>
      <c r="HRJ1914" s="56">
        <v>18.98</v>
      </c>
      <c r="HRK1914" s="56">
        <v>17.5</v>
      </c>
      <c r="HRL1914" s="62">
        <v>13.28</v>
      </c>
      <c r="HRM1914" s="115">
        <v>19.489999999999998</v>
      </c>
      <c r="HRN1914" s="56">
        <v>18.98</v>
      </c>
      <c r="HRO1914" s="56">
        <v>17.5</v>
      </c>
      <c r="HRP1914" s="62">
        <v>13.28</v>
      </c>
      <c r="HRQ1914" s="115">
        <v>19.489999999999998</v>
      </c>
      <c r="HRR1914" s="56">
        <v>18.98</v>
      </c>
      <c r="HRS1914" s="56">
        <v>17.5</v>
      </c>
      <c r="HRT1914" s="62">
        <v>13.28</v>
      </c>
      <c r="HRU1914" s="115">
        <v>19.489999999999998</v>
      </c>
      <c r="HRV1914" s="56">
        <v>18.98</v>
      </c>
      <c r="HRW1914" s="56">
        <v>17.5</v>
      </c>
      <c r="HRX1914" s="62">
        <v>13.28</v>
      </c>
      <c r="HRY1914" s="115">
        <v>19.489999999999998</v>
      </c>
      <c r="HRZ1914" s="56">
        <v>18.98</v>
      </c>
      <c r="HSA1914" s="56">
        <v>17.5</v>
      </c>
      <c r="HSB1914" s="62">
        <v>13.28</v>
      </c>
      <c r="HSC1914" s="115">
        <v>19.489999999999998</v>
      </c>
      <c r="HSD1914" s="56">
        <v>18.98</v>
      </c>
      <c r="HSE1914" s="56">
        <v>17.5</v>
      </c>
      <c r="HSF1914" s="62">
        <v>13.28</v>
      </c>
      <c r="HSG1914" s="115">
        <v>19.489999999999998</v>
      </c>
      <c r="HSH1914" s="56">
        <v>18.98</v>
      </c>
      <c r="HSI1914" s="56">
        <v>17.5</v>
      </c>
      <c r="HSJ1914" s="62">
        <v>13.28</v>
      </c>
      <c r="HSK1914" s="115">
        <v>19.489999999999998</v>
      </c>
      <c r="HSL1914" s="56">
        <v>18.98</v>
      </c>
      <c r="HSM1914" s="56">
        <v>17.5</v>
      </c>
      <c r="HSN1914" s="62">
        <v>13.28</v>
      </c>
      <c r="HSO1914" s="115">
        <v>19.489999999999998</v>
      </c>
      <c r="HSP1914" s="56">
        <v>18.98</v>
      </c>
      <c r="HSQ1914" s="56">
        <v>17.5</v>
      </c>
      <c r="HSR1914" s="62">
        <v>13.28</v>
      </c>
      <c r="HSS1914" s="115">
        <v>19.489999999999998</v>
      </c>
      <c r="HST1914" s="56">
        <v>18.98</v>
      </c>
      <c r="HSU1914" s="56">
        <v>17.5</v>
      </c>
      <c r="HSV1914" s="62">
        <v>13.28</v>
      </c>
      <c r="HSW1914" s="115">
        <v>19.489999999999998</v>
      </c>
      <c r="HSX1914" s="56">
        <v>18.98</v>
      </c>
      <c r="HSY1914" s="56">
        <v>17.5</v>
      </c>
      <c r="HSZ1914" s="62">
        <v>13.28</v>
      </c>
      <c r="HTA1914" s="115">
        <v>19.489999999999998</v>
      </c>
      <c r="HTB1914" s="56">
        <v>18.98</v>
      </c>
      <c r="HTC1914" s="56">
        <v>17.5</v>
      </c>
      <c r="HTD1914" s="62">
        <v>13.28</v>
      </c>
      <c r="HTE1914" s="115">
        <v>19.489999999999998</v>
      </c>
      <c r="HTF1914" s="56">
        <v>18.98</v>
      </c>
      <c r="HTG1914" s="56">
        <v>17.5</v>
      </c>
      <c r="HTH1914" s="62">
        <v>13.28</v>
      </c>
      <c r="HTI1914" s="115">
        <v>19.489999999999998</v>
      </c>
      <c r="HTJ1914" s="56">
        <v>18.98</v>
      </c>
      <c r="HTK1914" s="56">
        <v>17.5</v>
      </c>
      <c r="HTL1914" s="62">
        <v>13.28</v>
      </c>
      <c r="HTM1914" s="115">
        <v>19.489999999999998</v>
      </c>
      <c r="HTN1914" s="56">
        <v>18.98</v>
      </c>
      <c r="HTO1914" s="56">
        <v>17.5</v>
      </c>
      <c r="HTP1914" s="62">
        <v>13.28</v>
      </c>
      <c r="HTQ1914" s="115">
        <v>19.489999999999998</v>
      </c>
      <c r="HTR1914" s="56">
        <v>18.98</v>
      </c>
      <c r="HTS1914" s="56">
        <v>17.5</v>
      </c>
      <c r="HTT1914" s="62">
        <v>13.28</v>
      </c>
      <c r="HTU1914" s="115">
        <v>19.489999999999998</v>
      </c>
      <c r="HTV1914" s="56">
        <v>18.98</v>
      </c>
      <c r="HTW1914" s="56">
        <v>17.5</v>
      </c>
      <c r="HTX1914" s="62">
        <v>13.28</v>
      </c>
      <c r="HTY1914" s="115">
        <v>19.489999999999998</v>
      </c>
      <c r="HTZ1914" s="56">
        <v>18.98</v>
      </c>
      <c r="HUA1914" s="56">
        <v>17.5</v>
      </c>
      <c r="HUB1914" s="62">
        <v>13.28</v>
      </c>
      <c r="HUC1914" s="115">
        <v>19.489999999999998</v>
      </c>
      <c r="HUD1914" s="56">
        <v>18.98</v>
      </c>
      <c r="HUE1914" s="56">
        <v>17.5</v>
      </c>
      <c r="HUF1914" s="62">
        <v>13.28</v>
      </c>
      <c r="HUG1914" s="115">
        <v>19.489999999999998</v>
      </c>
      <c r="HUH1914" s="56">
        <v>18.98</v>
      </c>
      <c r="HUI1914" s="56">
        <v>17.5</v>
      </c>
      <c r="HUJ1914" s="62">
        <v>13.28</v>
      </c>
      <c r="HUK1914" s="115">
        <v>19.489999999999998</v>
      </c>
      <c r="HUL1914" s="56">
        <v>18.98</v>
      </c>
      <c r="HUM1914" s="56">
        <v>17.5</v>
      </c>
      <c r="HUN1914" s="62">
        <v>13.28</v>
      </c>
      <c r="HUO1914" s="115">
        <v>19.489999999999998</v>
      </c>
      <c r="HUP1914" s="56">
        <v>18.98</v>
      </c>
      <c r="HUQ1914" s="56">
        <v>17.5</v>
      </c>
      <c r="HUR1914" s="62">
        <v>13.28</v>
      </c>
      <c r="HUS1914" s="115">
        <v>19.489999999999998</v>
      </c>
      <c r="HUT1914" s="56">
        <v>18.98</v>
      </c>
      <c r="HUU1914" s="56">
        <v>17.5</v>
      </c>
      <c r="HUV1914" s="62">
        <v>13.28</v>
      </c>
      <c r="HUW1914" s="115">
        <v>19.489999999999998</v>
      </c>
      <c r="HUX1914" s="56">
        <v>18.98</v>
      </c>
      <c r="HUY1914" s="56">
        <v>17.5</v>
      </c>
      <c r="HUZ1914" s="62">
        <v>13.28</v>
      </c>
      <c r="HVA1914" s="115">
        <v>19.489999999999998</v>
      </c>
      <c r="HVB1914" s="56">
        <v>18.98</v>
      </c>
      <c r="HVC1914" s="56">
        <v>17.5</v>
      </c>
      <c r="HVD1914" s="62">
        <v>13.28</v>
      </c>
      <c r="HVE1914" s="115">
        <v>19.489999999999998</v>
      </c>
      <c r="HVF1914" s="56">
        <v>18.98</v>
      </c>
      <c r="HVG1914" s="56">
        <v>17.5</v>
      </c>
      <c r="HVH1914" s="62">
        <v>13.28</v>
      </c>
      <c r="HVI1914" s="115">
        <v>19.489999999999998</v>
      </c>
      <c r="HVJ1914" s="56">
        <v>18.98</v>
      </c>
      <c r="HVK1914" s="56">
        <v>17.5</v>
      </c>
      <c r="HVL1914" s="62">
        <v>13.28</v>
      </c>
      <c r="HVM1914" s="115">
        <v>19.489999999999998</v>
      </c>
      <c r="HVN1914" s="56">
        <v>18.98</v>
      </c>
      <c r="HVO1914" s="56">
        <v>17.5</v>
      </c>
      <c r="HVP1914" s="62">
        <v>13.28</v>
      </c>
      <c r="HVQ1914" s="115">
        <v>19.489999999999998</v>
      </c>
      <c r="HVR1914" s="56">
        <v>18.98</v>
      </c>
      <c r="HVS1914" s="56">
        <v>17.5</v>
      </c>
      <c r="HVT1914" s="62">
        <v>13.28</v>
      </c>
      <c r="HVU1914" s="115">
        <v>19.489999999999998</v>
      </c>
      <c r="HVV1914" s="56">
        <v>18.98</v>
      </c>
      <c r="HVW1914" s="56">
        <v>17.5</v>
      </c>
      <c r="HVX1914" s="62">
        <v>13.28</v>
      </c>
      <c r="HVY1914" s="115">
        <v>19.489999999999998</v>
      </c>
      <c r="HVZ1914" s="56">
        <v>18.98</v>
      </c>
      <c r="HWA1914" s="56">
        <v>17.5</v>
      </c>
      <c r="HWB1914" s="62">
        <v>13.28</v>
      </c>
      <c r="HWC1914" s="115">
        <v>19.489999999999998</v>
      </c>
      <c r="HWD1914" s="56">
        <v>18.98</v>
      </c>
      <c r="HWE1914" s="56">
        <v>17.5</v>
      </c>
      <c r="HWF1914" s="62">
        <v>13.28</v>
      </c>
      <c r="HWG1914" s="115">
        <v>19.489999999999998</v>
      </c>
      <c r="HWH1914" s="56">
        <v>18.98</v>
      </c>
      <c r="HWI1914" s="56">
        <v>17.5</v>
      </c>
      <c r="HWJ1914" s="62">
        <v>13.28</v>
      </c>
      <c r="HWK1914" s="115">
        <v>19.489999999999998</v>
      </c>
      <c r="HWL1914" s="56">
        <v>18.98</v>
      </c>
      <c r="HWM1914" s="56">
        <v>17.5</v>
      </c>
      <c r="HWN1914" s="62">
        <v>13.28</v>
      </c>
      <c r="HWO1914" s="115">
        <v>19.489999999999998</v>
      </c>
      <c r="HWP1914" s="56">
        <v>18.98</v>
      </c>
      <c r="HWQ1914" s="56">
        <v>17.5</v>
      </c>
      <c r="HWR1914" s="62">
        <v>13.28</v>
      </c>
      <c r="HWS1914" s="115">
        <v>19.489999999999998</v>
      </c>
      <c r="HWT1914" s="56">
        <v>18.98</v>
      </c>
      <c r="HWU1914" s="56">
        <v>17.5</v>
      </c>
      <c r="HWV1914" s="62">
        <v>13.28</v>
      </c>
      <c r="HWW1914" s="115">
        <v>19.489999999999998</v>
      </c>
      <c r="HWX1914" s="56">
        <v>18.98</v>
      </c>
      <c r="HWY1914" s="56">
        <v>17.5</v>
      </c>
      <c r="HWZ1914" s="62">
        <v>13.28</v>
      </c>
      <c r="HXA1914" s="115">
        <v>19.489999999999998</v>
      </c>
      <c r="HXB1914" s="56">
        <v>18.98</v>
      </c>
      <c r="HXC1914" s="56">
        <v>17.5</v>
      </c>
      <c r="HXD1914" s="62">
        <v>13.28</v>
      </c>
      <c r="HXE1914" s="115">
        <v>19.489999999999998</v>
      </c>
      <c r="HXF1914" s="56">
        <v>18.98</v>
      </c>
      <c r="HXG1914" s="56">
        <v>17.5</v>
      </c>
      <c r="HXH1914" s="62">
        <v>13.28</v>
      </c>
      <c r="HXI1914" s="115">
        <v>19.489999999999998</v>
      </c>
      <c r="HXJ1914" s="56">
        <v>18.98</v>
      </c>
      <c r="HXK1914" s="56">
        <v>17.5</v>
      </c>
      <c r="HXL1914" s="62">
        <v>13.28</v>
      </c>
      <c r="HXM1914" s="115">
        <v>19.489999999999998</v>
      </c>
      <c r="HXN1914" s="56">
        <v>18.98</v>
      </c>
      <c r="HXO1914" s="56">
        <v>17.5</v>
      </c>
      <c r="HXP1914" s="62">
        <v>13.28</v>
      </c>
      <c r="HXQ1914" s="115">
        <v>19.489999999999998</v>
      </c>
      <c r="HXR1914" s="56">
        <v>18.98</v>
      </c>
      <c r="HXS1914" s="56">
        <v>17.5</v>
      </c>
      <c r="HXT1914" s="62">
        <v>13.28</v>
      </c>
      <c r="HXU1914" s="115">
        <v>19.489999999999998</v>
      </c>
      <c r="HXV1914" s="56">
        <v>18.98</v>
      </c>
      <c r="HXW1914" s="56">
        <v>17.5</v>
      </c>
      <c r="HXX1914" s="62">
        <v>13.28</v>
      </c>
      <c r="HXY1914" s="115">
        <v>19.489999999999998</v>
      </c>
      <c r="HXZ1914" s="56">
        <v>18.98</v>
      </c>
      <c r="HYA1914" s="56">
        <v>17.5</v>
      </c>
      <c r="HYB1914" s="62">
        <v>13.28</v>
      </c>
      <c r="HYC1914" s="115">
        <v>19.489999999999998</v>
      </c>
      <c r="HYD1914" s="56">
        <v>18.98</v>
      </c>
      <c r="HYE1914" s="56">
        <v>17.5</v>
      </c>
      <c r="HYF1914" s="62">
        <v>13.28</v>
      </c>
      <c r="HYG1914" s="115">
        <v>19.489999999999998</v>
      </c>
      <c r="HYH1914" s="56">
        <v>18.98</v>
      </c>
      <c r="HYI1914" s="56">
        <v>17.5</v>
      </c>
      <c r="HYJ1914" s="62">
        <v>13.28</v>
      </c>
      <c r="HYK1914" s="115">
        <v>19.489999999999998</v>
      </c>
      <c r="HYL1914" s="56">
        <v>18.98</v>
      </c>
      <c r="HYM1914" s="56">
        <v>17.5</v>
      </c>
      <c r="HYN1914" s="62">
        <v>13.28</v>
      </c>
      <c r="HYO1914" s="115">
        <v>19.489999999999998</v>
      </c>
      <c r="HYP1914" s="56">
        <v>18.98</v>
      </c>
      <c r="HYQ1914" s="56">
        <v>17.5</v>
      </c>
      <c r="HYR1914" s="62">
        <v>13.28</v>
      </c>
      <c r="HYS1914" s="115">
        <v>19.489999999999998</v>
      </c>
      <c r="HYT1914" s="56">
        <v>18.98</v>
      </c>
      <c r="HYU1914" s="56">
        <v>17.5</v>
      </c>
      <c r="HYV1914" s="62">
        <v>13.28</v>
      </c>
      <c r="HYW1914" s="115">
        <v>19.489999999999998</v>
      </c>
      <c r="HYX1914" s="56">
        <v>18.98</v>
      </c>
      <c r="HYY1914" s="56">
        <v>17.5</v>
      </c>
      <c r="HYZ1914" s="62">
        <v>13.28</v>
      </c>
      <c r="HZA1914" s="115">
        <v>19.489999999999998</v>
      </c>
      <c r="HZB1914" s="56">
        <v>18.98</v>
      </c>
      <c r="HZC1914" s="56">
        <v>17.5</v>
      </c>
      <c r="HZD1914" s="62">
        <v>13.28</v>
      </c>
      <c r="HZE1914" s="115">
        <v>19.489999999999998</v>
      </c>
      <c r="HZF1914" s="56">
        <v>18.98</v>
      </c>
      <c r="HZG1914" s="56">
        <v>17.5</v>
      </c>
      <c r="HZH1914" s="62">
        <v>13.28</v>
      </c>
      <c r="HZI1914" s="115">
        <v>19.489999999999998</v>
      </c>
      <c r="HZJ1914" s="56">
        <v>18.98</v>
      </c>
      <c r="HZK1914" s="56">
        <v>17.5</v>
      </c>
      <c r="HZL1914" s="62">
        <v>13.28</v>
      </c>
      <c r="HZM1914" s="115">
        <v>19.489999999999998</v>
      </c>
      <c r="HZN1914" s="56">
        <v>18.98</v>
      </c>
      <c r="HZO1914" s="56">
        <v>17.5</v>
      </c>
      <c r="HZP1914" s="62">
        <v>13.28</v>
      </c>
      <c r="HZQ1914" s="115">
        <v>19.489999999999998</v>
      </c>
      <c r="HZR1914" s="56">
        <v>18.98</v>
      </c>
      <c r="HZS1914" s="56">
        <v>17.5</v>
      </c>
      <c r="HZT1914" s="62">
        <v>13.28</v>
      </c>
      <c r="HZU1914" s="115">
        <v>19.489999999999998</v>
      </c>
      <c r="HZV1914" s="56">
        <v>18.98</v>
      </c>
      <c r="HZW1914" s="56">
        <v>17.5</v>
      </c>
      <c r="HZX1914" s="62">
        <v>13.28</v>
      </c>
      <c r="HZY1914" s="115">
        <v>19.489999999999998</v>
      </c>
      <c r="HZZ1914" s="56">
        <v>18.98</v>
      </c>
      <c r="IAA1914" s="56">
        <v>17.5</v>
      </c>
      <c r="IAB1914" s="62">
        <v>13.28</v>
      </c>
      <c r="IAC1914" s="115">
        <v>19.489999999999998</v>
      </c>
      <c r="IAD1914" s="56">
        <v>18.98</v>
      </c>
      <c r="IAE1914" s="56">
        <v>17.5</v>
      </c>
      <c r="IAF1914" s="62">
        <v>13.28</v>
      </c>
      <c r="IAG1914" s="115">
        <v>19.489999999999998</v>
      </c>
      <c r="IAH1914" s="56">
        <v>18.98</v>
      </c>
      <c r="IAI1914" s="56">
        <v>17.5</v>
      </c>
      <c r="IAJ1914" s="62">
        <v>13.28</v>
      </c>
      <c r="IAK1914" s="115">
        <v>19.489999999999998</v>
      </c>
      <c r="IAL1914" s="56">
        <v>18.98</v>
      </c>
      <c r="IAM1914" s="56">
        <v>17.5</v>
      </c>
      <c r="IAN1914" s="62">
        <v>13.28</v>
      </c>
      <c r="IAO1914" s="115">
        <v>19.489999999999998</v>
      </c>
      <c r="IAP1914" s="56">
        <v>18.98</v>
      </c>
      <c r="IAQ1914" s="56">
        <v>17.5</v>
      </c>
      <c r="IAR1914" s="62">
        <v>13.28</v>
      </c>
      <c r="IAS1914" s="115">
        <v>19.489999999999998</v>
      </c>
      <c r="IAT1914" s="56">
        <v>18.98</v>
      </c>
      <c r="IAU1914" s="56">
        <v>17.5</v>
      </c>
      <c r="IAV1914" s="62">
        <v>13.28</v>
      </c>
      <c r="IAW1914" s="115">
        <v>19.489999999999998</v>
      </c>
      <c r="IAX1914" s="56">
        <v>18.98</v>
      </c>
      <c r="IAY1914" s="56">
        <v>17.5</v>
      </c>
      <c r="IAZ1914" s="62">
        <v>13.28</v>
      </c>
      <c r="IBA1914" s="115">
        <v>19.489999999999998</v>
      </c>
      <c r="IBB1914" s="56">
        <v>18.98</v>
      </c>
      <c r="IBC1914" s="56">
        <v>17.5</v>
      </c>
      <c r="IBD1914" s="62">
        <v>13.28</v>
      </c>
      <c r="IBE1914" s="115">
        <v>19.489999999999998</v>
      </c>
      <c r="IBF1914" s="56">
        <v>18.98</v>
      </c>
      <c r="IBG1914" s="56">
        <v>17.5</v>
      </c>
      <c r="IBH1914" s="62">
        <v>13.28</v>
      </c>
      <c r="IBI1914" s="115">
        <v>19.489999999999998</v>
      </c>
      <c r="IBJ1914" s="56">
        <v>18.98</v>
      </c>
      <c r="IBK1914" s="56">
        <v>17.5</v>
      </c>
      <c r="IBL1914" s="62">
        <v>13.28</v>
      </c>
      <c r="IBM1914" s="115">
        <v>19.489999999999998</v>
      </c>
      <c r="IBN1914" s="56">
        <v>18.98</v>
      </c>
      <c r="IBO1914" s="56">
        <v>17.5</v>
      </c>
      <c r="IBP1914" s="62">
        <v>13.28</v>
      </c>
      <c r="IBQ1914" s="115">
        <v>19.489999999999998</v>
      </c>
      <c r="IBR1914" s="56">
        <v>18.98</v>
      </c>
      <c r="IBS1914" s="56">
        <v>17.5</v>
      </c>
      <c r="IBT1914" s="62">
        <v>13.28</v>
      </c>
      <c r="IBU1914" s="115">
        <v>19.489999999999998</v>
      </c>
      <c r="IBV1914" s="56">
        <v>18.98</v>
      </c>
      <c r="IBW1914" s="56">
        <v>17.5</v>
      </c>
      <c r="IBX1914" s="62">
        <v>13.28</v>
      </c>
      <c r="IBY1914" s="115">
        <v>19.489999999999998</v>
      </c>
      <c r="IBZ1914" s="56">
        <v>18.98</v>
      </c>
      <c r="ICA1914" s="56">
        <v>17.5</v>
      </c>
      <c r="ICB1914" s="62">
        <v>13.28</v>
      </c>
      <c r="ICC1914" s="115">
        <v>19.489999999999998</v>
      </c>
      <c r="ICD1914" s="56">
        <v>18.98</v>
      </c>
      <c r="ICE1914" s="56">
        <v>17.5</v>
      </c>
      <c r="ICF1914" s="62">
        <v>13.28</v>
      </c>
      <c r="ICG1914" s="115">
        <v>19.489999999999998</v>
      </c>
      <c r="ICH1914" s="56">
        <v>18.98</v>
      </c>
      <c r="ICI1914" s="56">
        <v>17.5</v>
      </c>
      <c r="ICJ1914" s="62">
        <v>13.28</v>
      </c>
      <c r="ICK1914" s="115">
        <v>19.489999999999998</v>
      </c>
      <c r="ICL1914" s="56">
        <v>18.98</v>
      </c>
      <c r="ICM1914" s="56">
        <v>17.5</v>
      </c>
      <c r="ICN1914" s="62">
        <v>13.28</v>
      </c>
      <c r="ICO1914" s="115">
        <v>19.489999999999998</v>
      </c>
      <c r="ICP1914" s="56">
        <v>18.98</v>
      </c>
      <c r="ICQ1914" s="56">
        <v>17.5</v>
      </c>
      <c r="ICR1914" s="62">
        <v>13.28</v>
      </c>
      <c r="ICS1914" s="115">
        <v>19.489999999999998</v>
      </c>
      <c r="ICT1914" s="56">
        <v>18.98</v>
      </c>
      <c r="ICU1914" s="56">
        <v>17.5</v>
      </c>
      <c r="ICV1914" s="62">
        <v>13.28</v>
      </c>
      <c r="ICW1914" s="115">
        <v>19.489999999999998</v>
      </c>
      <c r="ICX1914" s="56">
        <v>18.98</v>
      </c>
      <c r="ICY1914" s="56">
        <v>17.5</v>
      </c>
      <c r="ICZ1914" s="62">
        <v>13.28</v>
      </c>
      <c r="IDA1914" s="115">
        <v>19.489999999999998</v>
      </c>
      <c r="IDB1914" s="56">
        <v>18.98</v>
      </c>
      <c r="IDC1914" s="56">
        <v>17.5</v>
      </c>
      <c r="IDD1914" s="62">
        <v>13.28</v>
      </c>
      <c r="IDE1914" s="115">
        <v>19.489999999999998</v>
      </c>
      <c r="IDF1914" s="56">
        <v>18.98</v>
      </c>
      <c r="IDG1914" s="56">
        <v>17.5</v>
      </c>
      <c r="IDH1914" s="62">
        <v>13.28</v>
      </c>
      <c r="IDI1914" s="115">
        <v>19.489999999999998</v>
      </c>
      <c r="IDJ1914" s="56">
        <v>18.98</v>
      </c>
      <c r="IDK1914" s="56">
        <v>17.5</v>
      </c>
      <c r="IDL1914" s="62">
        <v>13.28</v>
      </c>
      <c r="IDM1914" s="115">
        <v>19.489999999999998</v>
      </c>
      <c r="IDN1914" s="56">
        <v>18.98</v>
      </c>
      <c r="IDO1914" s="56">
        <v>17.5</v>
      </c>
      <c r="IDP1914" s="62">
        <v>13.28</v>
      </c>
      <c r="IDQ1914" s="115">
        <v>19.489999999999998</v>
      </c>
      <c r="IDR1914" s="56">
        <v>18.98</v>
      </c>
      <c r="IDS1914" s="56">
        <v>17.5</v>
      </c>
      <c r="IDT1914" s="62">
        <v>13.28</v>
      </c>
      <c r="IDU1914" s="115">
        <v>19.489999999999998</v>
      </c>
      <c r="IDV1914" s="56">
        <v>18.98</v>
      </c>
      <c r="IDW1914" s="56">
        <v>17.5</v>
      </c>
      <c r="IDX1914" s="62">
        <v>13.28</v>
      </c>
      <c r="IDY1914" s="115">
        <v>19.489999999999998</v>
      </c>
      <c r="IDZ1914" s="56">
        <v>18.98</v>
      </c>
      <c r="IEA1914" s="56">
        <v>17.5</v>
      </c>
      <c r="IEB1914" s="62">
        <v>13.28</v>
      </c>
      <c r="IEC1914" s="115">
        <v>19.489999999999998</v>
      </c>
      <c r="IED1914" s="56">
        <v>18.98</v>
      </c>
      <c r="IEE1914" s="56">
        <v>17.5</v>
      </c>
      <c r="IEF1914" s="62">
        <v>13.28</v>
      </c>
      <c r="IEG1914" s="115">
        <v>19.489999999999998</v>
      </c>
      <c r="IEH1914" s="56">
        <v>18.98</v>
      </c>
      <c r="IEI1914" s="56">
        <v>17.5</v>
      </c>
      <c r="IEJ1914" s="62">
        <v>13.28</v>
      </c>
      <c r="IEK1914" s="115">
        <v>19.489999999999998</v>
      </c>
      <c r="IEL1914" s="56">
        <v>18.98</v>
      </c>
      <c r="IEM1914" s="56">
        <v>17.5</v>
      </c>
      <c r="IEN1914" s="62">
        <v>13.28</v>
      </c>
      <c r="IEO1914" s="115">
        <v>19.489999999999998</v>
      </c>
      <c r="IEP1914" s="56">
        <v>18.98</v>
      </c>
      <c r="IEQ1914" s="56">
        <v>17.5</v>
      </c>
      <c r="IER1914" s="62">
        <v>13.28</v>
      </c>
      <c r="IES1914" s="115">
        <v>19.489999999999998</v>
      </c>
      <c r="IET1914" s="56">
        <v>18.98</v>
      </c>
      <c r="IEU1914" s="56">
        <v>17.5</v>
      </c>
      <c r="IEV1914" s="62">
        <v>13.28</v>
      </c>
      <c r="IEW1914" s="115">
        <v>19.489999999999998</v>
      </c>
      <c r="IEX1914" s="56">
        <v>18.98</v>
      </c>
      <c r="IEY1914" s="56">
        <v>17.5</v>
      </c>
      <c r="IEZ1914" s="62">
        <v>13.28</v>
      </c>
      <c r="IFA1914" s="115">
        <v>19.489999999999998</v>
      </c>
      <c r="IFB1914" s="56">
        <v>18.98</v>
      </c>
      <c r="IFC1914" s="56">
        <v>17.5</v>
      </c>
      <c r="IFD1914" s="62">
        <v>13.28</v>
      </c>
      <c r="IFE1914" s="115">
        <v>19.489999999999998</v>
      </c>
      <c r="IFF1914" s="56">
        <v>18.98</v>
      </c>
      <c r="IFG1914" s="56">
        <v>17.5</v>
      </c>
      <c r="IFH1914" s="62">
        <v>13.28</v>
      </c>
      <c r="IFI1914" s="115">
        <v>19.489999999999998</v>
      </c>
      <c r="IFJ1914" s="56">
        <v>18.98</v>
      </c>
      <c r="IFK1914" s="56">
        <v>17.5</v>
      </c>
      <c r="IFL1914" s="62">
        <v>13.28</v>
      </c>
      <c r="IFM1914" s="115">
        <v>19.489999999999998</v>
      </c>
      <c r="IFN1914" s="56">
        <v>18.98</v>
      </c>
      <c r="IFO1914" s="56">
        <v>17.5</v>
      </c>
      <c r="IFP1914" s="62">
        <v>13.28</v>
      </c>
      <c r="IFQ1914" s="115">
        <v>19.489999999999998</v>
      </c>
      <c r="IFR1914" s="56">
        <v>18.98</v>
      </c>
      <c r="IFS1914" s="56">
        <v>17.5</v>
      </c>
      <c r="IFT1914" s="62">
        <v>13.28</v>
      </c>
      <c r="IFU1914" s="115">
        <v>19.489999999999998</v>
      </c>
      <c r="IFV1914" s="56">
        <v>18.98</v>
      </c>
      <c r="IFW1914" s="56">
        <v>17.5</v>
      </c>
      <c r="IFX1914" s="62">
        <v>13.28</v>
      </c>
      <c r="IFY1914" s="115">
        <v>19.489999999999998</v>
      </c>
      <c r="IFZ1914" s="56">
        <v>18.98</v>
      </c>
      <c r="IGA1914" s="56">
        <v>17.5</v>
      </c>
      <c r="IGB1914" s="62">
        <v>13.28</v>
      </c>
      <c r="IGC1914" s="115">
        <v>19.489999999999998</v>
      </c>
      <c r="IGD1914" s="56">
        <v>18.98</v>
      </c>
      <c r="IGE1914" s="56">
        <v>17.5</v>
      </c>
      <c r="IGF1914" s="62">
        <v>13.28</v>
      </c>
      <c r="IGG1914" s="115">
        <v>19.489999999999998</v>
      </c>
      <c r="IGH1914" s="56">
        <v>18.98</v>
      </c>
      <c r="IGI1914" s="56">
        <v>17.5</v>
      </c>
      <c r="IGJ1914" s="62">
        <v>13.28</v>
      </c>
      <c r="IGK1914" s="115">
        <v>19.489999999999998</v>
      </c>
      <c r="IGL1914" s="56">
        <v>18.98</v>
      </c>
      <c r="IGM1914" s="56">
        <v>17.5</v>
      </c>
      <c r="IGN1914" s="62">
        <v>13.28</v>
      </c>
      <c r="IGO1914" s="115">
        <v>19.489999999999998</v>
      </c>
      <c r="IGP1914" s="56">
        <v>18.98</v>
      </c>
      <c r="IGQ1914" s="56">
        <v>17.5</v>
      </c>
      <c r="IGR1914" s="62">
        <v>13.28</v>
      </c>
      <c r="IGS1914" s="115">
        <v>19.489999999999998</v>
      </c>
      <c r="IGT1914" s="56">
        <v>18.98</v>
      </c>
      <c r="IGU1914" s="56">
        <v>17.5</v>
      </c>
      <c r="IGV1914" s="62">
        <v>13.28</v>
      </c>
      <c r="IGW1914" s="115">
        <v>19.489999999999998</v>
      </c>
      <c r="IGX1914" s="56">
        <v>18.98</v>
      </c>
      <c r="IGY1914" s="56">
        <v>17.5</v>
      </c>
      <c r="IGZ1914" s="62">
        <v>13.28</v>
      </c>
      <c r="IHA1914" s="115">
        <v>19.489999999999998</v>
      </c>
      <c r="IHB1914" s="56">
        <v>18.98</v>
      </c>
      <c r="IHC1914" s="56">
        <v>17.5</v>
      </c>
      <c r="IHD1914" s="62">
        <v>13.28</v>
      </c>
      <c r="IHE1914" s="115">
        <v>19.489999999999998</v>
      </c>
      <c r="IHF1914" s="56">
        <v>18.98</v>
      </c>
      <c r="IHG1914" s="56">
        <v>17.5</v>
      </c>
      <c r="IHH1914" s="62">
        <v>13.28</v>
      </c>
      <c r="IHI1914" s="115">
        <v>19.489999999999998</v>
      </c>
      <c r="IHJ1914" s="56">
        <v>18.98</v>
      </c>
      <c r="IHK1914" s="56">
        <v>17.5</v>
      </c>
      <c r="IHL1914" s="62">
        <v>13.28</v>
      </c>
      <c r="IHM1914" s="115">
        <v>19.489999999999998</v>
      </c>
      <c r="IHN1914" s="56">
        <v>18.98</v>
      </c>
      <c r="IHO1914" s="56">
        <v>17.5</v>
      </c>
      <c r="IHP1914" s="62">
        <v>13.28</v>
      </c>
      <c r="IHQ1914" s="115">
        <v>19.489999999999998</v>
      </c>
      <c r="IHR1914" s="56">
        <v>18.98</v>
      </c>
      <c r="IHS1914" s="56">
        <v>17.5</v>
      </c>
      <c r="IHT1914" s="62">
        <v>13.28</v>
      </c>
      <c r="IHU1914" s="115">
        <v>19.489999999999998</v>
      </c>
      <c r="IHV1914" s="56">
        <v>18.98</v>
      </c>
      <c r="IHW1914" s="56">
        <v>17.5</v>
      </c>
      <c r="IHX1914" s="62">
        <v>13.28</v>
      </c>
      <c r="IHY1914" s="115">
        <v>19.489999999999998</v>
      </c>
      <c r="IHZ1914" s="56">
        <v>18.98</v>
      </c>
      <c r="IIA1914" s="56">
        <v>17.5</v>
      </c>
      <c r="IIB1914" s="62">
        <v>13.28</v>
      </c>
      <c r="IIC1914" s="115">
        <v>19.489999999999998</v>
      </c>
      <c r="IID1914" s="56">
        <v>18.98</v>
      </c>
      <c r="IIE1914" s="56">
        <v>17.5</v>
      </c>
      <c r="IIF1914" s="62">
        <v>13.28</v>
      </c>
      <c r="IIG1914" s="115">
        <v>19.489999999999998</v>
      </c>
      <c r="IIH1914" s="56">
        <v>18.98</v>
      </c>
      <c r="III1914" s="56">
        <v>17.5</v>
      </c>
      <c r="IIJ1914" s="62">
        <v>13.28</v>
      </c>
      <c r="IIK1914" s="115">
        <v>19.489999999999998</v>
      </c>
      <c r="IIL1914" s="56">
        <v>18.98</v>
      </c>
      <c r="IIM1914" s="56">
        <v>17.5</v>
      </c>
      <c r="IIN1914" s="62">
        <v>13.28</v>
      </c>
      <c r="IIO1914" s="115">
        <v>19.489999999999998</v>
      </c>
      <c r="IIP1914" s="56">
        <v>18.98</v>
      </c>
      <c r="IIQ1914" s="56">
        <v>17.5</v>
      </c>
      <c r="IIR1914" s="62">
        <v>13.28</v>
      </c>
      <c r="IIS1914" s="115">
        <v>19.489999999999998</v>
      </c>
      <c r="IIT1914" s="56">
        <v>18.98</v>
      </c>
      <c r="IIU1914" s="56">
        <v>17.5</v>
      </c>
      <c r="IIV1914" s="62">
        <v>13.28</v>
      </c>
      <c r="IIW1914" s="115">
        <v>19.489999999999998</v>
      </c>
      <c r="IIX1914" s="56">
        <v>18.98</v>
      </c>
      <c r="IIY1914" s="56">
        <v>17.5</v>
      </c>
      <c r="IIZ1914" s="62">
        <v>13.28</v>
      </c>
      <c r="IJA1914" s="115">
        <v>19.489999999999998</v>
      </c>
      <c r="IJB1914" s="56">
        <v>18.98</v>
      </c>
      <c r="IJC1914" s="56">
        <v>17.5</v>
      </c>
      <c r="IJD1914" s="62">
        <v>13.28</v>
      </c>
      <c r="IJE1914" s="115">
        <v>19.489999999999998</v>
      </c>
      <c r="IJF1914" s="56">
        <v>18.98</v>
      </c>
      <c r="IJG1914" s="56">
        <v>17.5</v>
      </c>
      <c r="IJH1914" s="62">
        <v>13.28</v>
      </c>
      <c r="IJI1914" s="115">
        <v>19.489999999999998</v>
      </c>
      <c r="IJJ1914" s="56">
        <v>18.98</v>
      </c>
      <c r="IJK1914" s="56">
        <v>17.5</v>
      </c>
      <c r="IJL1914" s="62">
        <v>13.28</v>
      </c>
      <c r="IJM1914" s="115">
        <v>19.489999999999998</v>
      </c>
      <c r="IJN1914" s="56">
        <v>18.98</v>
      </c>
      <c r="IJO1914" s="56">
        <v>17.5</v>
      </c>
      <c r="IJP1914" s="62">
        <v>13.28</v>
      </c>
      <c r="IJQ1914" s="115">
        <v>19.489999999999998</v>
      </c>
      <c r="IJR1914" s="56">
        <v>18.98</v>
      </c>
      <c r="IJS1914" s="56">
        <v>17.5</v>
      </c>
      <c r="IJT1914" s="62">
        <v>13.28</v>
      </c>
      <c r="IJU1914" s="115">
        <v>19.489999999999998</v>
      </c>
      <c r="IJV1914" s="56">
        <v>18.98</v>
      </c>
      <c r="IJW1914" s="56">
        <v>17.5</v>
      </c>
      <c r="IJX1914" s="62">
        <v>13.28</v>
      </c>
      <c r="IJY1914" s="115">
        <v>19.489999999999998</v>
      </c>
      <c r="IJZ1914" s="56">
        <v>18.98</v>
      </c>
      <c r="IKA1914" s="56">
        <v>17.5</v>
      </c>
      <c r="IKB1914" s="62">
        <v>13.28</v>
      </c>
      <c r="IKC1914" s="115">
        <v>19.489999999999998</v>
      </c>
      <c r="IKD1914" s="56">
        <v>18.98</v>
      </c>
      <c r="IKE1914" s="56">
        <v>17.5</v>
      </c>
      <c r="IKF1914" s="62">
        <v>13.28</v>
      </c>
      <c r="IKG1914" s="115">
        <v>19.489999999999998</v>
      </c>
      <c r="IKH1914" s="56">
        <v>18.98</v>
      </c>
      <c r="IKI1914" s="56">
        <v>17.5</v>
      </c>
      <c r="IKJ1914" s="62">
        <v>13.28</v>
      </c>
      <c r="IKK1914" s="115">
        <v>19.489999999999998</v>
      </c>
      <c r="IKL1914" s="56">
        <v>18.98</v>
      </c>
      <c r="IKM1914" s="56">
        <v>17.5</v>
      </c>
      <c r="IKN1914" s="62">
        <v>13.28</v>
      </c>
      <c r="IKO1914" s="115">
        <v>19.489999999999998</v>
      </c>
      <c r="IKP1914" s="56">
        <v>18.98</v>
      </c>
      <c r="IKQ1914" s="56">
        <v>17.5</v>
      </c>
      <c r="IKR1914" s="62">
        <v>13.28</v>
      </c>
      <c r="IKS1914" s="115">
        <v>19.489999999999998</v>
      </c>
      <c r="IKT1914" s="56">
        <v>18.98</v>
      </c>
      <c r="IKU1914" s="56">
        <v>17.5</v>
      </c>
      <c r="IKV1914" s="62">
        <v>13.28</v>
      </c>
      <c r="IKW1914" s="115">
        <v>19.489999999999998</v>
      </c>
      <c r="IKX1914" s="56">
        <v>18.98</v>
      </c>
      <c r="IKY1914" s="56">
        <v>17.5</v>
      </c>
      <c r="IKZ1914" s="62">
        <v>13.28</v>
      </c>
      <c r="ILA1914" s="115">
        <v>19.489999999999998</v>
      </c>
      <c r="ILB1914" s="56">
        <v>18.98</v>
      </c>
      <c r="ILC1914" s="56">
        <v>17.5</v>
      </c>
      <c r="ILD1914" s="62">
        <v>13.28</v>
      </c>
      <c r="ILE1914" s="115">
        <v>19.489999999999998</v>
      </c>
      <c r="ILF1914" s="56">
        <v>18.98</v>
      </c>
      <c r="ILG1914" s="56">
        <v>17.5</v>
      </c>
      <c r="ILH1914" s="62">
        <v>13.28</v>
      </c>
      <c r="ILI1914" s="115">
        <v>19.489999999999998</v>
      </c>
      <c r="ILJ1914" s="56">
        <v>18.98</v>
      </c>
      <c r="ILK1914" s="56">
        <v>17.5</v>
      </c>
      <c r="ILL1914" s="62">
        <v>13.28</v>
      </c>
      <c r="ILM1914" s="115">
        <v>19.489999999999998</v>
      </c>
      <c r="ILN1914" s="56">
        <v>18.98</v>
      </c>
      <c r="ILO1914" s="56">
        <v>17.5</v>
      </c>
      <c r="ILP1914" s="62">
        <v>13.28</v>
      </c>
      <c r="ILQ1914" s="115">
        <v>19.489999999999998</v>
      </c>
      <c r="ILR1914" s="56">
        <v>18.98</v>
      </c>
      <c r="ILS1914" s="56">
        <v>17.5</v>
      </c>
      <c r="ILT1914" s="62">
        <v>13.28</v>
      </c>
      <c r="ILU1914" s="115">
        <v>19.489999999999998</v>
      </c>
      <c r="ILV1914" s="56">
        <v>18.98</v>
      </c>
      <c r="ILW1914" s="56">
        <v>17.5</v>
      </c>
      <c r="ILX1914" s="62">
        <v>13.28</v>
      </c>
      <c r="ILY1914" s="115">
        <v>19.489999999999998</v>
      </c>
      <c r="ILZ1914" s="56">
        <v>18.98</v>
      </c>
      <c r="IMA1914" s="56">
        <v>17.5</v>
      </c>
      <c r="IMB1914" s="62">
        <v>13.28</v>
      </c>
      <c r="IMC1914" s="115">
        <v>19.489999999999998</v>
      </c>
      <c r="IMD1914" s="56">
        <v>18.98</v>
      </c>
      <c r="IME1914" s="56">
        <v>17.5</v>
      </c>
      <c r="IMF1914" s="62">
        <v>13.28</v>
      </c>
      <c r="IMG1914" s="115">
        <v>19.489999999999998</v>
      </c>
      <c r="IMH1914" s="56">
        <v>18.98</v>
      </c>
      <c r="IMI1914" s="56">
        <v>17.5</v>
      </c>
      <c r="IMJ1914" s="62">
        <v>13.28</v>
      </c>
      <c r="IMK1914" s="115">
        <v>19.489999999999998</v>
      </c>
      <c r="IML1914" s="56">
        <v>18.98</v>
      </c>
      <c r="IMM1914" s="56">
        <v>17.5</v>
      </c>
      <c r="IMN1914" s="62">
        <v>13.28</v>
      </c>
      <c r="IMO1914" s="115">
        <v>19.489999999999998</v>
      </c>
      <c r="IMP1914" s="56">
        <v>18.98</v>
      </c>
      <c r="IMQ1914" s="56">
        <v>17.5</v>
      </c>
      <c r="IMR1914" s="62">
        <v>13.28</v>
      </c>
      <c r="IMS1914" s="115">
        <v>19.489999999999998</v>
      </c>
      <c r="IMT1914" s="56">
        <v>18.98</v>
      </c>
      <c r="IMU1914" s="56">
        <v>17.5</v>
      </c>
      <c r="IMV1914" s="62">
        <v>13.28</v>
      </c>
      <c r="IMW1914" s="115">
        <v>19.489999999999998</v>
      </c>
      <c r="IMX1914" s="56">
        <v>18.98</v>
      </c>
      <c r="IMY1914" s="56">
        <v>17.5</v>
      </c>
      <c r="IMZ1914" s="62">
        <v>13.28</v>
      </c>
      <c r="INA1914" s="115">
        <v>19.489999999999998</v>
      </c>
      <c r="INB1914" s="56">
        <v>18.98</v>
      </c>
      <c r="INC1914" s="56">
        <v>17.5</v>
      </c>
      <c r="IND1914" s="62">
        <v>13.28</v>
      </c>
      <c r="INE1914" s="115">
        <v>19.489999999999998</v>
      </c>
      <c r="INF1914" s="56">
        <v>18.98</v>
      </c>
      <c r="ING1914" s="56">
        <v>17.5</v>
      </c>
      <c r="INH1914" s="62">
        <v>13.28</v>
      </c>
      <c r="INI1914" s="115">
        <v>19.489999999999998</v>
      </c>
      <c r="INJ1914" s="56">
        <v>18.98</v>
      </c>
      <c r="INK1914" s="56">
        <v>17.5</v>
      </c>
      <c r="INL1914" s="62">
        <v>13.28</v>
      </c>
      <c r="INM1914" s="115">
        <v>19.489999999999998</v>
      </c>
      <c r="INN1914" s="56">
        <v>18.98</v>
      </c>
      <c r="INO1914" s="56">
        <v>17.5</v>
      </c>
      <c r="INP1914" s="62">
        <v>13.28</v>
      </c>
      <c r="INQ1914" s="115">
        <v>19.489999999999998</v>
      </c>
      <c r="INR1914" s="56">
        <v>18.98</v>
      </c>
      <c r="INS1914" s="56">
        <v>17.5</v>
      </c>
      <c r="INT1914" s="62">
        <v>13.28</v>
      </c>
      <c r="INU1914" s="115">
        <v>19.489999999999998</v>
      </c>
      <c r="INV1914" s="56">
        <v>18.98</v>
      </c>
      <c r="INW1914" s="56">
        <v>17.5</v>
      </c>
      <c r="INX1914" s="62">
        <v>13.28</v>
      </c>
      <c r="INY1914" s="115">
        <v>19.489999999999998</v>
      </c>
      <c r="INZ1914" s="56">
        <v>18.98</v>
      </c>
      <c r="IOA1914" s="56">
        <v>17.5</v>
      </c>
      <c r="IOB1914" s="62">
        <v>13.28</v>
      </c>
      <c r="IOC1914" s="115">
        <v>19.489999999999998</v>
      </c>
      <c r="IOD1914" s="56">
        <v>18.98</v>
      </c>
      <c r="IOE1914" s="56">
        <v>17.5</v>
      </c>
      <c r="IOF1914" s="62">
        <v>13.28</v>
      </c>
      <c r="IOG1914" s="115">
        <v>19.489999999999998</v>
      </c>
      <c r="IOH1914" s="56">
        <v>18.98</v>
      </c>
      <c r="IOI1914" s="56">
        <v>17.5</v>
      </c>
      <c r="IOJ1914" s="62">
        <v>13.28</v>
      </c>
      <c r="IOK1914" s="115">
        <v>19.489999999999998</v>
      </c>
      <c r="IOL1914" s="56">
        <v>18.98</v>
      </c>
      <c r="IOM1914" s="56">
        <v>17.5</v>
      </c>
      <c r="ION1914" s="62">
        <v>13.28</v>
      </c>
      <c r="IOO1914" s="115">
        <v>19.489999999999998</v>
      </c>
      <c r="IOP1914" s="56">
        <v>18.98</v>
      </c>
      <c r="IOQ1914" s="56">
        <v>17.5</v>
      </c>
      <c r="IOR1914" s="62">
        <v>13.28</v>
      </c>
      <c r="IOS1914" s="115">
        <v>19.489999999999998</v>
      </c>
      <c r="IOT1914" s="56">
        <v>18.98</v>
      </c>
      <c r="IOU1914" s="56">
        <v>17.5</v>
      </c>
      <c r="IOV1914" s="62">
        <v>13.28</v>
      </c>
      <c r="IOW1914" s="115">
        <v>19.489999999999998</v>
      </c>
      <c r="IOX1914" s="56">
        <v>18.98</v>
      </c>
      <c r="IOY1914" s="56">
        <v>17.5</v>
      </c>
      <c r="IOZ1914" s="62">
        <v>13.28</v>
      </c>
      <c r="IPA1914" s="115">
        <v>19.489999999999998</v>
      </c>
      <c r="IPB1914" s="56">
        <v>18.98</v>
      </c>
      <c r="IPC1914" s="56">
        <v>17.5</v>
      </c>
      <c r="IPD1914" s="62">
        <v>13.28</v>
      </c>
      <c r="IPE1914" s="115">
        <v>19.489999999999998</v>
      </c>
      <c r="IPF1914" s="56">
        <v>18.98</v>
      </c>
      <c r="IPG1914" s="56">
        <v>17.5</v>
      </c>
      <c r="IPH1914" s="62">
        <v>13.28</v>
      </c>
      <c r="IPI1914" s="115">
        <v>19.489999999999998</v>
      </c>
      <c r="IPJ1914" s="56">
        <v>18.98</v>
      </c>
      <c r="IPK1914" s="56">
        <v>17.5</v>
      </c>
      <c r="IPL1914" s="62">
        <v>13.28</v>
      </c>
      <c r="IPM1914" s="115">
        <v>19.489999999999998</v>
      </c>
      <c r="IPN1914" s="56">
        <v>18.98</v>
      </c>
      <c r="IPO1914" s="56">
        <v>17.5</v>
      </c>
      <c r="IPP1914" s="62">
        <v>13.28</v>
      </c>
      <c r="IPQ1914" s="115">
        <v>19.489999999999998</v>
      </c>
      <c r="IPR1914" s="56">
        <v>18.98</v>
      </c>
      <c r="IPS1914" s="56">
        <v>17.5</v>
      </c>
      <c r="IPT1914" s="62">
        <v>13.28</v>
      </c>
      <c r="IPU1914" s="115">
        <v>19.489999999999998</v>
      </c>
      <c r="IPV1914" s="56">
        <v>18.98</v>
      </c>
      <c r="IPW1914" s="56">
        <v>17.5</v>
      </c>
      <c r="IPX1914" s="62">
        <v>13.28</v>
      </c>
      <c r="IPY1914" s="115">
        <v>19.489999999999998</v>
      </c>
      <c r="IPZ1914" s="56">
        <v>18.98</v>
      </c>
      <c r="IQA1914" s="56">
        <v>17.5</v>
      </c>
      <c r="IQB1914" s="62">
        <v>13.28</v>
      </c>
      <c r="IQC1914" s="115">
        <v>19.489999999999998</v>
      </c>
      <c r="IQD1914" s="56">
        <v>18.98</v>
      </c>
      <c r="IQE1914" s="56">
        <v>17.5</v>
      </c>
      <c r="IQF1914" s="62">
        <v>13.28</v>
      </c>
      <c r="IQG1914" s="115">
        <v>19.489999999999998</v>
      </c>
      <c r="IQH1914" s="56">
        <v>18.98</v>
      </c>
      <c r="IQI1914" s="56">
        <v>17.5</v>
      </c>
      <c r="IQJ1914" s="62">
        <v>13.28</v>
      </c>
      <c r="IQK1914" s="115">
        <v>19.489999999999998</v>
      </c>
      <c r="IQL1914" s="56">
        <v>18.98</v>
      </c>
      <c r="IQM1914" s="56">
        <v>17.5</v>
      </c>
      <c r="IQN1914" s="62">
        <v>13.28</v>
      </c>
      <c r="IQO1914" s="115">
        <v>19.489999999999998</v>
      </c>
      <c r="IQP1914" s="56">
        <v>18.98</v>
      </c>
      <c r="IQQ1914" s="56">
        <v>17.5</v>
      </c>
      <c r="IQR1914" s="62">
        <v>13.28</v>
      </c>
      <c r="IQS1914" s="115">
        <v>19.489999999999998</v>
      </c>
      <c r="IQT1914" s="56">
        <v>18.98</v>
      </c>
      <c r="IQU1914" s="56">
        <v>17.5</v>
      </c>
      <c r="IQV1914" s="62">
        <v>13.28</v>
      </c>
      <c r="IQW1914" s="115">
        <v>19.489999999999998</v>
      </c>
      <c r="IQX1914" s="56">
        <v>18.98</v>
      </c>
      <c r="IQY1914" s="56">
        <v>17.5</v>
      </c>
      <c r="IQZ1914" s="62">
        <v>13.28</v>
      </c>
      <c r="IRA1914" s="115">
        <v>19.489999999999998</v>
      </c>
      <c r="IRB1914" s="56">
        <v>18.98</v>
      </c>
      <c r="IRC1914" s="56">
        <v>17.5</v>
      </c>
      <c r="IRD1914" s="62">
        <v>13.28</v>
      </c>
      <c r="IRE1914" s="115">
        <v>19.489999999999998</v>
      </c>
      <c r="IRF1914" s="56">
        <v>18.98</v>
      </c>
      <c r="IRG1914" s="56">
        <v>17.5</v>
      </c>
      <c r="IRH1914" s="62">
        <v>13.28</v>
      </c>
      <c r="IRI1914" s="115">
        <v>19.489999999999998</v>
      </c>
      <c r="IRJ1914" s="56">
        <v>18.98</v>
      </c>
      <c r="IRK1914" s="56">
        <v>17.5</v>
      </c>
      <c r="IRL1914" s="62">
        <v>13.28</v>
      </c>
      <c r="IRM1914" s="115">
        <v>19.489999999999998</v>
      </c>
      <c r="IRN1914" s="56">
        <v>18.98</v>
      </c>
      <c r="IRO1914" s="56">
        <v>17.5</v>
      </c>
      <c r="IRP1914" s="62">
        <v>13.28</v>
      </c>
      <c r="IRQ1914" s="115">
        <v>19.489999999999998</v>
      </c>
      <c r="IRR1914" s="56">
        <v>18.98</v>
      </c>
      <c r="IRS1914" s="56">
        <v>17.5</v>
      </c>
      <c r="IRT1914" s="62">
        <v>13.28</v>
      </c>
      <c r="IRU1914" s="115">
        <v>19.489999999999998</v>
      </c>
      <c r="IRV1914" s="56">
        <v>18.98</v>
      </c>
      <c r="IRW1914" s="56">
        <v>17.5</v>
      </c>
      <c r="IRX1914" s="62">
        <v>13.28</v>
      </c>
      <c r="IRY1914" s="115">
        <v>19.489999999999998</v>
      </c>
      <c r="IRZ1914" s="56">
        <v>18.98</v>
      </c>
      <c r="ISA1914" s="56">
        <v>17.5</v>
      </c>
      <c r="ISB1914" s="62">
        <v>13.28</v>
      </c>
      <c r="ISC1914" s="115">
        <v>19.489999999999998</v>
      </c>
      <c r="ISD1914" s="56">
        <v>18.98</v>
      </c>
      <c r="ISE1914" s="56">
        <v>17.5</v>
      </c>
      <c r="ISF1914" s="62">
        <v>13.28</v>
      </c>
      <c r="ISG1914" s="115">
        <v>19.489999999999998</v>
      </c>
      <c r="ISH1914" s="56">
        <v>18.98</v>
      </c>
      <c r="ISI1914" s="56">
        <v>17.5</v>
      </c>
      <c r="ISJ1914" s="62">
        <v>13.28</v>
      </c>
      <c r="ISK1914" s="115">
        <v>19.489999999999998</v>
      </c>
      <c r="ISL1914" s="56">
        <v>18.98</v>
      </c>
      <c r="ISM1914" s="56">
        <v>17.5</v>
      </c>
      <c r="ISN1914" s="62">
        <v>13.28</v>
      </c>
      <c r="ISO1914" s="115">
        <v>19.489999999999998</v>
      </c>
      <c r="ISP1914" s="56">
        <v>18.98</v>
      </c>
      <c r="ISQ1914" s="56">
        <v>17.5</v>
      </c>
      <c r="ISR1914" s="62">
        <v>13.28</v>
      </c>
      <c r="ISS1914" s="115">
        <v>19.489999999999998</v>
      </c>
      <c r="IST1914" s="56">
        <v>18.98</v>
      </c>
      <c r="ISU1914" s="56">
        <v>17.5</v>
      </c>
      <c r="ISV1914" s="62">
        <v>13.28</v>
      </c>
      <c r="ISW1914" s="115">
        <v>19.489999999999998</v>
      </c>
      <c r="ISX1914" s="56">
        <v>18.98</v>
      </c>
      <c r="ISY1914" s="56">
        <v>17.5</v>
      </c>
      <c r="ISZ1914" s="62">
        <v>13.28</v>
      </c>
      <c r="ITA1914" s="115">
        <v>19.489999999999998</v>
      </c>
      <c r="ITB1914" s="56">
        <v>18.98</v>
      </c>
      <c r="ITC1914" s="56">
        <v>17.5</v>
      </c>
      <c r="ITD1914" s="62">
        <v>13.28</v>
      </c>
      <c r="ITE1914" s="115">
        <v>19.489999999999998</v>
      </c>
      <c r="ITF1914" s="56">
        <v>18.98</v>
      </c>
      <c r="ITG1914" s="56">
        <v>17.5</v>
      </c>
      <c r="ITH1914" s="62">
        <v>13.28</v>
      </c>
      <c r="ITI1914" s="115">
        <v>19.489999999999998</v>
      </c>
      <c r="ITJ1914" s="56">
        <v>18.98</v>
      </c>
      <c r="ITK1914" s="56">
        <v>17.5</v>
      </c>
      <c r="ITL1914" s="62">
        <v>13.28</v>
      </c>
      <c r="ITM1914" s="115">
        <v>19.489999999999998</v>
      </c>
      <c r="ITN1914" s="56">
        <v>18.98</v>
      </c>
      <c r="ITO1914" s="56">
        <v>17.5</v>
      </c>
      <c r="ITP1914" s="62">
        <v>13.28</v>
      </c>
      <c r="ITQ1914" s="115">
        <v>19.489999999999998</v>
      </c>
      <c r="ITR1914" s="56">
        <v>18.98</v>
      </c>
      <c r="ITS1914" s="56">
        <v>17.5</v>
      </c>
      <c r="ITT1914" s="62">
        <v>13.28</v>
      </c>
      <c r="ITU1914" s="115">
        <v>19.489999999999998</v>
      </c>
      <c r="ITV1914" s="56">
        <v>18.98</v>
      </c>
      <c r="ITW1914" s="56">
        <v>17.5</v>
      </c>
      <c r="ITX1914" s="62">
        <v>13.28</v>
      </c>
      <c r="ITY1914" s="115">
        <v>19.489999999999998</v>
      </c>
      <c r="ITZ1914" s="56">
        <v>18.98</v>
      </c>
      <c r="IUA1914" s="56">
        <v>17.5</v>
      </c>
      <c r="IUB1914" s="62">
        <v>13.28</v>
      </c>
      <c r="IUC1914" s="115">
        <v>19.489999999999998</v>
      </c>
      <c r="IUD1914" s="56">
        <v>18.98</v>
      </c>
      <c r="IUE1914" s="56">
        <v>17.5</v>
      </c>
      <c r="IUF1914" s="62">
        <v>13.28</v>
      </c>
      <c r="IUG1914" s="115">
        <v>19.489999999999998</v>
      </c>
      <c r="IUH1914" s="56">
        <v>18.98</v>
      </c>
      <c r="IUI1914" s="56">
        <v>17.5</v>
      </c>
      <c r="IUJ1914" s="62">
        <v>13.28</v>
      </c>
      <c r="IUK1914" s="115">
        <v>19.489999999999998</v>
      </c>
      <c r="IUL1914" s="56">
        <v>18.98</v>
      </c>
      <c r="IUM1914" s="56">
        <v>17.5</v>
      </c>
      <c r="IUN1914" s="62">
        <v>13.28</v>
      </c>
      <c r="IUO1914" s="115">
        <v>19.489999999999998</v>
      </c>
      <c r="IUP1914" s="56">
        <v>18.98</v>
      </c>
      <c r="IUQ1914" s="56">
        <v>17.5</v>
      </c>
      <c r="IUR1914" s="62">
        <v>13.28</v>
      </c>
      <c r="IUS1914" s="115">
        <v>19.489999999999998</v>
      </c>
      <c r="IUT1914" s="56">
        <v>18.98</v>
      </c>
      <c r="IUU1914" s="56">
        <v>17.5</v>
      </c>
      <c r="IUV1914" s="62">
        <v>13.28</v>
      </c>
      <c r="IUW1914" s="115">
        <v>19.489999999999998</v>
      </c>
      <c r="IUX1914" s="56">
        <v>18.98</v>
      </c>
      <c r="IUY1914" s="56">
        <v>17.5</v>
      </c>
      <c r="IUZ1914" s="62">
        <v>13.28</v>
      </c>
      <c r="IVA1914" s="115">
        <v>19.489999999999998</v>
      </c>
      <c r="IVB1914" s="56">
        <v>18.98</v>
      </c>
      <c r="IVC1914" s="56">
        <v>17.5</v>
      </c>
      <c r="IVD1914" s="62">
        <v>13.28</v>
      </c>
      <c r="IVE1914" s="115">
        <v>19.489999999999998</v>
      </c>
      <c r="IVF1914" s="56">
        <v>18.98</v>
      </c>
      <c r="IVG1914" s="56">
        <v>17.5</v>
      </c>
      <c r="IVH1914" s="62">
        <v>13.28</v>
      </c>
      <c r="IVI1914" s="115">
        <v>19.489999999999998</v>
      </c>
      <c r="IVJ1914" s="56">
        <v>18.98</v>
      </c>
      <c r="IVK1914" s="56">
        <v>17.5</v>
      </c>
      <c r="IVL1914" s="62">
        <v>13.28</v>
      </c>
      <c r="IVM1914" s="115">
        <v>19.489999999999998</v>
      </c>
      <c r="IVN1914" s="56">
        <v>18.98</v>
      </c>
      <c r="IVO1914" s="56">
        <v>17.5</v>
      </c>
      <c r="IVP1914" s="62">
        <v>13.28</v>
      </c>
      <c r="IVQ1914" s="115">
        <v>19.489999999999998</v>
      </c>
      <c r="IVR1914" s="56">
        <v>18.98</v>
      </c>
      <c r="IVS1914" s="56">
        <v>17.5</v>
      </c>
      <c r="IVT1914" s="62">
        <v>13.28</v>
      </c>
      <c r="IVU1914" s="115">
        <v>19.489999999999998</v>
      </c>
      <c r="IVV1914" s="56">
        <v>18.98</v>
      </c>
      <c r="IVW1914" s="56">
        <v>17.5</v>
      </c>
      <c r="IVX1914" s="62">
        <v>13.28</v>
      </c>
      <c r="IVY1914" s="115">
        <v>19.489999999999998</v>
      </c>
      <c r="IVZ1914" s="56">
        <v>18.98</v>
      </c>
      <c r="IWA1914" s="56">
        <v>17.5</v>
      </c>
      <c r="IWB1914" s="62">
        <v>13.28</v>
      </c>
      <c r="IWC1914" s="115">
        <v>19.489999999999998</v>
      </c>
      <c r="IWD1914" s="56">
        <v>18.98</v>
      </c>
      <c r="IWE1914" s="56">
        <v>17.5</v>
      </c>
      <c r="IWF1914" s="62">
        <v>13.28</v>
      </c>
      <c r="IWG1914" s="115">
        <v>19.489999999999998</v>
      </c>
      <c r="IWH1914" s="56">
        <v>18.98</v>
      </c>
      <c r="IWI1914" s="56">
        <v>17.5</v>
      </c>
      <c r="IWJ1914" s="62">
        <v>13.28</v>
      </c>
      <c r="IWK1914" s="115">
        <v>19.489999999999998</v>
      </c>
      <c r="IWL1914" s="56">
        <v>18.98</v>
      </c>
      <c r="IWM1914" s="56">
        <v>17.5</v>
      </c>
      <c r="IWN1914" s="62">
        <v>13.28</v>
      </c>
      <c r="IWO1914" s="115">
        <v>19.489999999999998</v>
      </c>
      <c r="IWP1914" s="56">
        <v>18.98</v>
      </c>
      <c r="IWQ1914" s="56">
        <v>17.5</v>
      </c>
      <c r="IWR1914" s="62">
        <v>13.28</v>
      </c>
      <c r="IWS1914" s="115">
        <v>19.489999999999998</v>
      </c>
      <c r="IWT1914" s="56">
        <v>18.98</v>
      </c>
      <c r="IWU1914" s="56">
        <v>17.5</v>
      </c>
      <c r="IWV1914" s="62">
        <v>13.28</v>
      </c>
      <c r="IWW1914" s="115">
        <v>19.489999999999998</v>
      </c>
      <c r="IWX1914" s="56">
        <v>18.98</v>
      </c>
      <c r="IWY1914" s="56">
        <v>17.5</v>
      </c>
      <c r="IWZ1914" s="62">
        <v>13.28</v>
      </c>
      <c r="IXA1914" s="115">
        <v>19.489999999999998</v>
      </c>
      <c r="IXB1914" s="56">
        <v>18.98</v>
      </c>
      <c r="IXC1914" s="56">
        <v>17.5</v>
      </c>
      <c r="IXD1914" s="62">
        <v>13.28</v>
      </c>
      <c r="IXE1914" s="115">
        <v>19.489999999999998</v>
      </c>
      <c r="IXF1914" s="56">
        <v>18.98</v>
      </c>
      <c r="IXG1914" s="56">
        <v>17.5</v>
      </c>
      <c r="IXH1914" s="62">
        <v>13.28</v>
      </c>
      <c r="IXI1914" s="115">
        <v>19.489999999999998</v>
      </c>
      <c r="IXJ1914" s="56">
        <v>18.98</v>
      </c>
      <c r="IXK1914" s="56">
        <v>17.5</v>
      </c>
      <c r="IXL1914" s="62">
        <v>13.28</v>
      </c>
      <c r="IXM1914" s="115">
        <v>19.489999999999998</v>
      </c>
      <c r="IXN1914" s="56">
        <v>18.98</v>
      </c>
      <c r="IXO1914" s="56">
        <v>17.5</v>
      </c>
      <c r="IXP1914" s="62">
        <v>13.28</v>
      </c>
      <c r="IXQ1914" s="115">
        <v>19.489999999999998</v>
      </c>
      <c r="IXR1914" s="56">
        <v>18.98</v>
      </c>
      <c r="IXS1914" s="56">
        <v>17.5</v>
      </c>
      <c r="IXT1914" s="62">
        <v>13.28</v>
      </c>
      <c r="IXU1914" s="115">
        <v>19.489999999999998</v>
      </c>
      <c r="IXV1914" s="56">
        <v>18.98</v>
      </c>
      <c r="IXW1914" s="56">
        <v>17.5</v>
      </c>
      <c r="IXX1914" s="62">
        <v>13.28</v>
      </c>
      <c r="IXY1914" s="115">
        <v>19.489999999999998</v>
      </c>
      <c r="IXZ1914" s="56">
        <v>18.98</v>
      </c>
      <c r="IYA1914" s="56">
        <v>17.5</v>
      </c>
      <c r="IYB1914" s="62">
        <v>13.28</v>
      </c>
      <c r="IYC1914" s="115">
        <v>19.489999999999998</v>
      </c>
      <c r="IYD1914" s="56">
        <v>18.98</v>
      </c>
      <c r="IYE1914" s="56">
        <v>17.5</v>
      </c>
      <c r="IYF1914" s="62">
        <v>13.28</v>
      </c>
      <c r="IYG1914" s="115">
        <v>19.489999999999998</v>
      </c>
      <c r="IYH1914" s="56">
        <v>18.98</v>
      </c>
      <c r="IYI1914" s="56">
        <v>17.5</v>
      </c>
      <c r="IYJ1914" s="62">
        <v>13.28</v>
      </c>
      <c r="IYK1914" s="115">
        <v>19.489999999999998</v>
      </c>
      <c r="IYL1914" s="56">
        <v>18.98</v>
      </c>
      <c r="IYM1914" s="56">
        <v>17.5</v>
      </c>
      <c r="IYN1914" s="62">
        <v>13.28</v>
      </c>
      <c r="IYO1914" s="115">
        <v>19.489999999999998</v>
      </c>
      <c r="IYP1914" s="56">
        <v>18.98</v>
      </c>
      <c r="IYQ1914" s="56">
        <v>17.5</v>
      </c>
      <c r="IYR1914" s="62">
        <v>13.28</v>
      </c>
      <c r="IYS1914" s="115">
        <v>19.489999999999998</v>
      </c>
      <c r="IYT1914" s="56">
        <v>18.98</v>
      </c>
      <c r="IYU1914" s="56">
        <v>17.5</v>
      </c>
      <c r="IYV1914" s="62">
        <v>13.28</v>
      </c>
      <c r="IYW1914" s="115">
        <v>19.489999999999998</v>
      </c>
      <c r="IYX1914" s="56">
        <v>18.98</v>
      </c>
      <c r="IYY1914" s="56">
        <v>17.5</v>
      </c>
      <c r="IYZ1914" s="62">
        <v>13.28</v>
      </c>
      <c r="IZA1914" s="115">
        <v>19.489999999999998</v>
      </c>
      <c r="IZB1914" s="56">
        <v>18.98</v>
      </c>
      <c r="IZC1914" s="56">
        <v>17.5</v>
      </c>
      <c r="IZD1914" s="62">
        <v>13.28</v>
      </c>
      <c r="IZE1914" s="115">
        <v>19.489999999999998</v>
      </c>
      <c r="IZF1914" s="56">
        <v>18.98</v>
      </c>
      <c r="IZG1914" s="56">
        <v>17.5</v>
      </c>
      <c r="IZH1914" s="62">
        <v>13.28</v>
      </c>
      <c r="IZI1914" s="115">
        <v>19.489999999999998</v>
      </c>
      <c r="IZJ1914" s="56">
        <v>18.98</v>
      </c>
      <c r="IZK1914" s="56">
        <v>17.5</v>
      </c>
      <c r="IZL1914" s="62">
        <v>13.28</v>
      </c>
      <c r="IZM1914" s="115">
        <v>19.489999999999998</v>
      </c>
      <c r="IZN1914" s="56">
        <v>18.98</v>
      </c>
      <c r="IZO1914" s="56">
        <v>17.5</v>
      </c>
      <c r="IZP1914" s="62">
        <v>13.28</v>
      </c>
      <c r="IZQ1914" s="115">
        <v>19.489999999999998</v>
      </c>
      <c r="IZR1914" s="56">
        <v>18.98</v>
      </c>
      <c r="IZS1914" s="56">
        <v>17.5</v>
      </c>
      <c r="IZT1914" s="62">
        <v>13.28</v>
      </c>
      <c r="IZU1914" s="115">
        <v>19.489999999999998</v>
      </c>
      <c r="IZV1914" s="56">
        <v>18.98</v>
      </c>
      <c r="IZW1914" s="56">
        <v>17.5</v>
      </c>
      <c r="IZX1914" s="62">
        <v>13.28</v>
      </c>
      <c r="IZY1914" s="115">
        <v>19.489999999999998</v>
      </c>
      <c r="IZZ1914" s="56">
        <v>18.98</v>
      </c>
      <c r="JAA1914" s="56">
        <v>17.5</v>
      </c>
      <c r="JAB1914" s="62">
        <v>13.28</v>
      </c>
      <c r="JAC1914" s="115">
        <v>19.489999999999998</v>
      </c>
      <c r="JAD1914" s="56">
        <v>18.98</v>
      </c>
      <c r="JAE1914" s="56">
        <v>17.5</v>
      </c>
      <c r="JAF1914" s="62">
        <v>13.28</v>
      </c>
      <c r="JAG1914" s="115">
        <v>19.489999999999998</v>
      </c>
      <c r="JAH1914" s="56">
        <v>18.98</v>
      </c>
      <c r="JAI1914" s="56">
        <v>17.5</v>
      </c>
      <c r="JAJ1914" s="62">
        <v>13.28</v>
      </c>
      <c r="JAK1914" s="115">
        <v>19.489999999999998</v>
      </c>
      <c r="JAL1914" s="56">
        <v>18.98</v>
      </c>
      <c r="JAM1914" s="56">
        <v>17.5</v>
      </c>
      <c r="JAN1914" s="62">
        <v>13.28</v>
      </c>
      <c r="JAO1914" s="115">
        <v>19.489999999999998</v>
      </c>
      <c r="JAP1914" s="56">
        <v>18.98</v>
      </c>
      <c r="JAQ1914" s="56">
        <v>17.5</v>
      </c>
      <c r="JAR1914" s="62">
        <v>13.28</v>
      </c>
      <c r="JAS1914" s="115">
        <v>19.489999999999998</v>
      </c>
      <c r="JAT1914" s="56">
        <v>18.98</v>
      </c>
      <c r="JAU1914" s="56">
        <v>17.5</v>
      </c>
      <c r="JAV1914" s="62">
        <v>13.28</v>
      </c>
      <c r="JAW1914" s="115">
        <v>19.489999999999998</v>
      </c>
      <c r="JAX1914" s="56">
        <v>18.98</v>
      </c>
      <c r="JAY1914" s="56">
        <v>17.5</v>
      </c>
      <c r="JAZ1914" s="62">
        <v>13.28</v>
      </c>
      <c r="JBA1914" s="115">
        <v>19.489999999999998</v>
      </c>
      <c r="JBB1914" s="56">
        <v>18.98</v>
      </c>
      <c r="JBC1914" s="56">
        <v>17.5</v>
      </c>
      <c r="JBD1914" s="62">
        <v>13.28</v>
      </c>
      <c r="JBE1914" s="115">
        <v>19.489999999999998</v>
      </c>
      <c r="JBF1914" s="56">
        <v>18.98</v>
      </c>
      <c r="JBG1914" s="56">
        <v>17.5</v>
      </c>
      <c r="JBH1914" s="62">
        <v>13.28</v>
      </c>
      <c r="JBI1914" s="115">
        <v>19.489999999999998</v>
      </c>
      <c r="JBJ1914" s="56">
        <v>18.98</v>
      </c>
      <c r="JBK1914" s="56">
        <v>17.5</v>
      </c>
      <c r="JBL1914" s="62">
        <v>13.28</v>
      </c>
      <c r="JBM1914" s="115">
        <v>19.489999999999998</v>
      </c>
      <c r="JBN1914" s="56">
        <v>18.98</v>
      </c>
      <c r="JBO1914" s="56">
        <v>17.5</v>
      </c>
      <c r="JBP1914" s="62">
        <v>13.28</v>
      </c>
      <c r="JBQ1914" s="115">
        <v>19.489999999999998</v>
      </c>
      <c r="JBR1914" s="56">
        <v>18.98</v>
      </c>
      <c r="JBS1914" s="56">
        <v>17.5</v>
      </c>
      <c r="JBT1914" s="62">
        <v>13.28</v>
      </c>
      <c r="JBU1914" s="115">
        <v>19.489999999999998</v>
      </c>
      <c r="JBV1914" s="56">
        <v>18.98</v>
      </c>
      <c r="JBW1914" s="56">
        <v>17.5</v>
      </c>
      <c r="JBX1914" s="62">
        <v>13.28</v>
      </c>
      <c r="JBY1914" s="115">
        <v>19.489999999999998</v>
      </c>
      <c r="JBZ1914" s="56">
        <v>18.98</v>
      </c>
      <c r="JCA1914" s="56">
        <v>17.5</v>
      </c>
      <c r="JCB1914" s="62">
        <v>13.28</v>
      </c>
      <c r="JCC1914" s="115">
        <v>19.489999999999998</v>
      </c>
      <c r="JCD1914" s="56">
        <v>18.98</v>
      </c>
      <c r="JCE1914" s="56">
        <v>17.5</v>
      </c>
      <c r="JCF1914" s="62">
        <v>13.28</v>
      </c>
      <c r="JCG1914" s="115">
        <v>19.489999999999998</v>
      </c>
      <c r="JCH1914" s="56">
        <v>18.98</v>
      </c>
      <c r="JCI1914" s="56">
        <v>17.5</v>
      </c>
      <c r="JCJ1914" s="62">
        <v>13.28</v>
      </c>
      <c r="JCK1914" s="115">
        <v>19.489999999999998</v>
      </c>
      <c r="JCL1914" s="56">
        <v>18.98</v>
      </c>
      <c r="JCM1914" s="56">
        <v>17.5</v>
      </c>
      <c r="JCN1914" s="62">
        <v>13.28</v>
      </c>
      <c r="JCO1914" s="115">
        <v>19.489999999999998</v>
      </c>
      <c r="JCP1914" s="56">
        <v>18.98</v>
      </c>
      <c r="JCQ1914" s="56">
        <v>17.5</v>
      </c>
      <c r="JCR1914" s="62">
        <v>13.28</v>
      </c>
      <c r="JCS1914" s="115">
        <v>19.489999999999998</v>
      </c>
      <c r="JCT1914" s="56">
        <v>18.98</v>
      </c>
      <c r="JCU1914" s="56">
        <v>17.5</v>
      </c>
      <c r="JCV1914" s="62">
        <v>13.28</v>
      </c>
      <c r="JCW1914" s="115">
        <v>19.489999999999998</v>
      </c>
      <c r="JCX1914" s="56">
        <v>18.98</v>
      </c>
      <c r="JCY1914" s="56">
        <v>17.5</v>
      </c>
      <c r="JCZ1914" s="62">
        <v>13.28</v>
      </c>
      <c r="JDA1914" s="115">
        <v>19.489999999999998</v>
      </c>
      <c r="JDB1914" s="56">
        <v>18.98</v>
      </c>
      <c r="JDC1914" s="56">
        <v>17.5</v>
      </c>
      <c r="JDD1914" s="62">
        <v>13.28</v>
      </c>
      <c r="JDE1914" s="115">
        <v>19.489999999999998</v>
      </c>
      <c r="JDF1914" s="56">
        <v>18.98</v>
      </c>
      <c r="JDG1914" s="56">
        <v>17.5</v>
      </c>
      <c r="JDH1914" s="62">
        <v>13.28</v>
      </c>
      <c r="JDI1914" s="115">
        <v>19.489999999999998</v>
      </c>
      <c r="JDJ1914" s="56">
        <v>18.98</v>
      </c>
      <c r="JDK1914" s="56">
        <v>17.5</v>
      </c>
      <c r="JDL1914" s="62">
        <v>13.28</v>
      </c>
      <c r="JDM1914" s="115">
        <v>19.489999999999998</v>
      </c>
      <c r="JDN1914" s="56">
        <v>18.98</v>
      </c>
      <c r="JDO1914" s="56">
        <v>17.5</v>
      </c>
      <c r="JDP1914" s="62">
        <v>13.28</v>
      </c>
      <c r="JDQ1914" s="115">
        <v>19.489999999999998</v>
      </c>
      <c r="JDR1914" s="56">
        <v>18.98</v>
      </c>
      <c r="JDS1914" s="56">
        <v>17.5</v>
      </c>
      <c r="JDT1914" s="62">
        <v>13.28</v>
      </c>
      <c r="JDU1914" s="115">
        <v>19.489999999999998</v>
      </c>
      <c r="JDV1914" s="56">
        <v>18.98</v>
      </c>
      <c r="JDW1914" s="56">
        <v>17.5</v>
      </c>
      <c r="JDX1914" s="62">
        <v>13.28</v>
      </c>
      <c r="JDY1914" s="115">
        <v>19.489999999999998</v>
      </c>
      <c r="JDZ1914" s="56">
        <v>18.98</v>
      </c>
      <c r="JEA1914" s="56">
        <v>17.5</v>
      </c>
      <c r="JEB1914" s="62">
        <v>13.28</v>
      </c>
      <c r="JEC1914" s="115">
        <v>19.489999999999998</v>
      </c>
      <c r="JED1914" s="56">
        <v>18.98</v>
      </c>
      <c r="JEE1914" s="56">
        <v>17.5</v>
      </c>
      <c r="JEF1914" s="62">
        <v>13.28</v>
      </c>
      <c r="JEG1914" s="115">
        <v>19.489999999999998</v>
      </c>
      <c r="JEH1914" s="56">
        <v>18.98</v>
      </c>
      <c r="JEI1914" s="56">
        <v>17.5</v>
      </c>
      <c r="JEJ1914" s="62">
        <v>13.28</v>
      </c>
      <c r="JEK1914" s="115">
        <v>19.489999999999998</v>
      </c>
      <c r="JEL1914" s="56">
        <v>18.98</v>
      </c>
      <c r="JEM1914" s="56">
        <v>17.5</v>
      </c>
      <c r="JEN1914" s="62">
        <v>13.28</v>
      </c>
      <c r="JEO1914" s="115">
        <v>19.489999999999998</v>
      </c>
      <c r="JEP1914" s="56">
        <v>18.98</v>
      </c>
      <c r="JEQ1914" s="56">
        <v>17.5</v>
      </c>
      <c r="JER1914" s="62">
        <v>13.28</v>
      </c>
      <c r="JES1914" s="115">
        <v>19.489999999999998</v>
      </c>
      <c r="JET1914" s="56">
        <v>18.98</v>
      </c>
      <c r="JEU1914" s="56">
        <v>17.5</v>
      </c>
      <c r="JEV1914" s="62">
        <v>13.28</v>
      </c>
      <c r="JEW1914" s="115">
        <v>19.489999999999998</v>
      </c>
      <c r="JEX1914" s="56">
        <v>18.98</v>
      </c>
      <c r="JEY1914" s="56">
        <v>17.5</v>
      </c>
      <c r="JEZ1914" s="62">
        <v>13.28</v>
      </c>
      <c r="JFA1914" s="115">
        <v>19.489999999999998</v>
      </c>
      <c r="JFB1914" s="56">
        <v>18.98</v>
      </c>
      <c r="JFC1914" s="56">
        <v>17.5</v>
      </c>
      <c r="JFD1914" s="62">
        <v>13.28</v>
      </c>
      <c r="JFE1914" s="115">
        <v>19.489999999999998</v>
      </c>
      <c r="JFF1914" s="56">
        <v>18.98</v>
      </c>
      <c r="JFG1914" s="56">
        <v>17.5</v>
      </c>
      <c r="JFH1914" s="62">
        <v>13.28</v>
      </c>
      <c r="JFI1914" s="115">
        <v>19.489999999999998</v>
      </c>
      <c r="JFJ1914" s="56">
        <v>18.98</v>
      </c>
      <c r="JFK1914" s="56">
        <v>17.5</v>
      </c>
      <c r="JFL1914" s="62">
        <v>13.28</v>
      </c>
      <c r="JFM1914" s="115">
        <v>19.489999999999998</v>
      </c>
      <c r="JFN1914" s="56">
        <v>18.98</v>
      </c>
      <c r="JFO1914" s="56">
        <v>17.5</v>
      </c>
      <c r="JFP1914" s="62">
        <v>13.28</v>
      </c>
      <c r="JFQ1914" s="115">
        <v>19.489999999999998</v>
      </c>
      <c r="JFR1914" s="56">
        <v>18.98</v>
      </c>
      <c r="JFS1914" s="56">
        <v>17.5</v>
      </c>
      <c r="JFT1914" s="62">
        <v>13.28</v>
      </c>
      <c r="JFU1914" s="115">
        <v>19.489999999999998</v>
      </c>
      <c r="JFV1914" s="56">
        <v>18.98</v>
      </c>
      <c r="JFW1914" s="56">
        <v>17.5</v>
      </c>
      <c r="JFX1914" s="62">
        <v>13.28</v>
      </c>
      <c r="JFY1914" s="115">
        <v>19.489999999999998</v>
      </c>
      <c r="JFZ1914" s="56">
        <v>18.98</v>
      </c>
      <c r="JGA1914" s="56">
        <v>17.5</v>
      </c>
      <c r="JGB1914" s="62">
        <v>13.28</v>
      </c>
      <c r="JGC1914" s="115">
        <v>19.489999999999998</v>
      </c>
      <c r="JGD1914" s="56">
        <v>18.98</v>
      </c>
      <c r="JGE1914" s="56">
        <v>17.5</v>
      </c>
      <c r="JGF1914" s="62">
        <v>13.28</v>
      </c>
      <c r="JGG1914" s="115">
        <v>19.489999999999998</v>
      </c>
      <c r="JGH1914" s="56">
        <v>18.98</v>
      </c>
      <c r="JGI1914" s="56">
        <v>17.5</v>
      </c>
      <c r="JGJ1914" s="62">
        <v>13.28</v>
      </c>
      <c r="JGK1914" s="115">
        <v>19.489999999999998</v>
      </c>
      <c r="JGL1914" s="56">
        <v>18.98</v>
      </c>
      <c r="JGM1914" s="56">
        <v>17.5</v>
      </c>
      <c r="JGN1914" s="62">
        <v>13.28</v>
      </c>
      <c r="JGO1914" s="115">
        <v>19.489999999999998</v>
      </c>
      <c r="JGP1914" s="56">
        <v>18.98</v>
      </c>
      <c r="JGQ1914" s="56">
        <v>17.5</v>
      </c>
      <c r="JGR1914" s="62">
        <v>13.28</v>
      </c>
      <c r="JGS1914" s="115">
        <v>19.489999999999998</v>
      </c>
      <c r="JGT1914" s="56">
        <v>18.98</v>
      </c>
      <c r="JGU1914" s="56">
        <v>17.5</v>
      </c>
      <c r="JGV1914" s="62">
        <v>13.28</v>
      </c>
      <c r="JGW1914" s="115">
        <v>19.489999999999998</v>
      </c>
      <c r="JGX1914" s="56">
        <v>18.98</v>
      </c>
      <c r="JGY1914" s="56">
        <v>17.5</v>
      </c>
      <c r="JGZ1914" s="62">
        <v>13.28</v>
      </c>
      <c r="JHA1914" s="115">
        <v>19.489999999999998</v>
      </c>
      <c r="JHB1914" s="56">
        <v>18.98</v>
      </c>
      <c r="JHC1914" s="56">
        <v>17.5</v>
      </c>
      <c r="JHD1914" s="62">
        <v>13.28</v>
      </c>
      <c r="JHE1914" s="115">
        <v>19.489999999999998</v>
      </c>
      <c r="JHF1914" s="56">
        <v>18.98</v>
      </c>
      <c r="JHG1914" s="56">
        <v>17.5</v>
      </c>
      <c r="JHH1914" s="62">
        <v>13.28</v>
      </c>
      <c r="JHI1914" s="115">
        <v>19.489999999999998</v>
      </c>
      <c r="JHJ1914" s="56">
        <v>18.98</v>
      </c>
      <c r="JHK1914" s="56">
        <v>17.5</v>
      </c>
      <c r="JHL1914" s="62">
        <v>13.28</v>
      </c>
      <c r="JHM1914" s="115">
        <v>19.489999999999998</v>
      </c>
      <c r="JHN1914" s="56">
        <v>18.98</v>
      </c>
      <c r="JHO1914" s="56">
        <v>17.5</v>
      </c>
      <c r="JHP1914" s="62">
        <v>13.28</v>
      </c>
      <c r="JHQ1914" s="115">
        <v>19.489999999999998</v>
      </c>
      <c r="JHR1914" s="56">
        <v>18.98</v>
      </c>
      <c r="JHS1914" s="56">
        <v>17.5</v>
      </c>
      <c r="JHT1914" s="62">
        <v>13.28</v>
      </c>
      <c r="JHU1914" s="115">
        <v>19.489999999999998</v>
      </c>
      <c r="JHV1914" s="56">
        <v>18.98</v>
      </c>
      <c r="JHW1914" s="56">
        <v>17.5</v>
      </c>
      <c r="JHX1914" s="62">
        <v>13.28</v>
      </c>
      <c r="JHY1914" s="115">
        <v>19.489999999999998</v>
      </c>
      <c r="JHZ1914" s="56">
        <v>18.98</v>
      </c>
      <c r="JIA1914" s="56">
        <v>17.5</v>
      </c>
      <c r="JIB1914" s="62">
        <v>13.28</v>
      </c>
      <c r="JIC1914" s="115">
        <v>19.489999999999998</v>
      </c>
      <c r="JID1914" s="56">
        <v>18.98</v>
      </c>
      <c r="JIE1914" s="56">
        <v>17.5</v>
      </c>
      <c r="JIF1914" s="62">
        <v>13.28</v>
      </c>
      <c r="JIG1914" s="115">
        <v>19.489999999999998</v>
      </c>
      <c r="JIH1914" s="56">
        <v>18.98</v>
      </c>
      <c r="JII1914" s="56">
        <v>17.5</v>
      </c>
      <c r="JIJ1914" s="62">
        <v>13.28</v>
      </c>
      <c r="JIK1914" s="115">
        <v>19.489999999999998</v>
      </c>
      <c r="JIL1914" s="56">
        <v>18.98</v>
      </c>
      <c r="JIM1914" s="56">
        <v>17.5</v>
      </c>
      <c r="JIN1914" s="62">
        <v>13.28</v>
      </c>
      <c r="JIO1914" s="115">
        <v>19.489999999999998</v>
      </c>
      <c r="JIP1914" s="56">
        <v>18.98</v>
      </c>
      <c r="JIQ1914" s="56">
        <v>17.5</v>
      </c>
      <c r="JIR1914" s="62">
        <v>13.28</v>
      </c>
      <c r="JIS1914" s="115">
        <v>19.489999999999998</v>
      </c>
      <c r="JIT1914" s="56">
        <v>18.98</v>
      </c>
      <c r="JIU1914" s="56">
        <v>17.5</v>
      </c>
      <c r="JIV1914" s="62">
        <v>13.28</v>
      </c>
      <c r="JIW1914" s="115">
        <v>19.489999999999998</v>
      </c>
      <c r="JIX1914" s="56">
        <v>18.98</v>
      </c>
      <c r="JIY1914" s="56">
        <v>17.5</v>
      </c>
      <c r="JIZ1914" s="62">
        <v>13.28</v>
      </c>
      <c r="JJA1914" s="115">
        <v>19.489999999999998</v>
      </c>
      <c r="JJB1914" s="56">
        <v>18.98</v>
      </c>
      <c r="JJC1914" s="56">
        <v>17.5</v>
      </c>
      <c r="JJD1914" s="62">
        <v>13.28</v>
      </c>
      <c r="JJE1914" s="115">
        <v>19.489999999999998</v>
      </c>
      <c r="JJF1914" s="56">
        <v>18.98</v>
      </c>
      <c r="JJG1914" s="56">
        <v>17.5</v>
      </c>
      <c r="JJH1914" s="62">
        <v>13.28</v>
      </c>
      <c r="JJI1914" s="115">
        <v>19.489999999999998</v>
      </c>
      <c r="JJJ1914" s="56">
        <v>18.98</v>
      </c>
      <c r="JJK1914" s="56">
        <v>17.5</v>
      </c>
      <c r="JJL1914" s="62">
        <v>13.28</v>
      </c>
      <c r="JJM1914" s="115">
        <v>19.489999999999998</v>
      </c>
      <c r="JJN1914" s="56">
        <v>18.98</v>
      </c>
      <c r="JJO1914" s="56">
        <v>17.5</v>
      </c>
      <c r="JJP1914" s="62">
        <v>13.28</v>
      </c>
      <c r="JJQ1914" s="115">
        <v>19.489999999999998</v>
      </c>
      <c r="JJR1914" s="56">
        <v>18.98</v>
      </c>
      <c r="JJS1914" s="56">
        <v>17.5</v>
      </c>
      <c r="JJT1914" s="62">
        <v>13.28</v>
      </c>
      <c r="JJU1914" s="115">
        <v>19.489999999999998</v>
      </c>
      <c r="JJV1914" s="56">
        <v>18.98</v>
      </c>
      <c r="JJW1914" s="56">
        <v>17.5</v>
      </c>
      <c r="JJX1914" s="62">
        <v>13.28</v>
      </c>
      <c r="JJY1914" s="115">
        <v>19.489999999999998</v>
      </c>
      <c r="JJZ1914" s="56">
        <v>18.98</v>
      </c>
      <c r="JKA1914" s="56">
        <v>17.5</v>
      </c>
      <c r="JKB1914" s="62">
        <v>13.28</v>
      </c>
      <c r="JKC1914" s="115">
        <v>19.489999999999998</v>
      </c>
      <c r="JKD1914" s="56">
        <v>18.98</v>
      </c>
      <c r="JKE1914" s="56">
        <v>17.5</v>
      </c>
      <c r="JKF1914" s="62">
        <v>13.28</v>
      </c>
      <c r="JKG1914" s="115">
        <v>19.489999999999998</v>
      </c>
      <c r="JKH1914" s="56">
        <v>18.98</v>
      </c>
      <c r="JKI1914" s="56">
        <v>17.5</v>
      </c>
      <c r="JKJ1914" s="62">
        <v>13.28</v>
      </c>
      <c r="JKK1914" s="115">
        <v>19.489999999999998</v>
      </c>
      <c r="JKL1914" s="56">
        <v>18.98</v>
      </c>
      <c r="JKM1914" s="56">
        <v>17.5</v>
      </c>
      <c r="JKN1914" s="62">
        <v>13.28</v>
      </c>
      <c r="JKO1914" s="115">
        <v>19.489999999999998</v>
      </c>
      <c r="JKP1914" s="56">
        <v>18.98</v>
      </c>
      <c r="JKQ1914" s="56">
        <v>17.5</v>
      </c>
      <c r="JKR1914" s="62">
        <v>13.28</v>
      </c>
      <c r="JKS1914" s="115">
        <v>19.489999999999998</v>
      </c>
      <c r="JKT1914" s="56">
        <v>18.98</v>
      </c>
      <c r="JKU1914" s="56">
        <v>17.5</v>
      </c>
      <c r="JKV1914" s="62">
        <v>13.28</v>
      </c>
      <c r="JKW1914" s="115">
        <v>19.489999999999998</v>
      </c>
      <c r="JKX1914" s="56">
        <v>18.98</v>
      </c>
      <c r="JKY1914" s="56">
        <v>17.5</v>
      </c>
      <c r="JKZ1914" s="62">
        <v>13.28</v>
      </c>
      <c r="JLA1914" s="115">
        <v>19.489999999999998</v>
      </c>
      <c r="JLB1914" s="56">
        <v>18.98</v>
      </c>
      <c r="JLC1914" s="56">
        <v>17.5</v>
      </c>
      <c r="JLD1914" s="62">
        <v>13.28</v>
      </c>
      <c r="JLE1914" s="115">
        <v>19.489999999999998</v>
      </c>
      <c r="JLF1914" s="56">
        <v>18.98</v>
      </c>
      <c r="JLG1914" s="56">
        <v>17.5</v>
      </c>
      <c r="JLH1914" s="62">
        <v>13.28</v>
      </c>
      <c r="JLI1914" s="115">
        <v>19.489999999999998</v>
      </c>
      <c r="JLJ1914" s="56">
        <v>18.98</v>
      </c>
      <c r="JLK1914" s="56">
        <v>17.5</v>
      </c>
      <c r="JLL1914" s="62">
        <v>13.28</v>
      </c>
      <c r="JLM1914" s="115">
        <v>19.489999999999998</v>
      </c>
      <c r="JLN1914" s="56">
        <v>18.98</v>
      </c>
      <c r="JLO1914" s="56">
        <v>17.5</v>
      </c>
      <c r="JLP1914" s="62">
        <v>13.28</v>
      </c>
      <c r="JLQ1914" s="115">
        <v>19.489999999999998</v>
      </c>
      <c r="JLR1914" s="56">
        <v>18.98</v>
      </c>
      <c r="JLS1914" s="56">
        <v>17.5</v>
      </c>
      <c r="JLT1914" s="62">
        <v>13.28</v>
      </c>
      <c r="JLU1914" s="115">
        <v>19.489999999999998</v>
      </c>
      <c r="JLV1914" s="56">
        <v>18.98</v>
      </c>
      <c r="JLW1914" s="56">
        <v>17.5</v>
      </c>
      <c r="JLX1914" s="62">
        <v>13.28</v>
      </c>
      <c r="JLY1914" s="115">
        <v>19.489999999999998</v>
      </c>
      <c r="JLZ1914" s="56">
        <v>18.98</v>
      </c>
      <c r="JMA1914" s="56">
        <v>17.5</v>
      </c>
      <c r="JMB1914" s="62">
        <v>13.28</v>
      </c>
      <c r="JMC1914" s="115">
        <v>19.489999999999998</v>
      </c>
      <c r="JMD1914" s="56">
        <v>18.98</v>
      </c>
      <c r="JME1914" s="56">
        <v>17.5</v>
      </c>
      <c r="JMF1914" s="62">
        <v>13.28</v>
      </c>
      <c r="JMG1914" s="115">
        <v>19.489999999999998</v>
      </c>
      <c r="JMH1914" s="56">
        <v>18.98</v>
      </c>
      <c r="JMI1914" s="56">
        <v>17.5</v>
      </c>
      <c r="JMJ1914" s="62">
        <v>13.28</v>
      </c>
      <c r="JMK1914" s="115">
        <v>19.489999999999998</v>
      </c>
      <c r="JML1914" s="56">
        <v>18.98</v>
      </c>
      <c r="JMM1914" s="56">
        <v>17.5</v>
      </c>
      <c r="JMN1914" s="62">
        <v>13.28</v>
      </c>
      <c r="JMO1914" s="115">
        <v>19.489999999999998</v>
      </c>
      <c r="JMP1914" s="56">
        <v>18.98</v>
      </c>
      <c r="JMQ1914" s="56">
        <v>17.5</v>
      </c>
      <c r="JMR1914" s="62">
        <v>13.28</v>
      </c>
      <c r="JMS1914" s="115">
        <v>19.489999999999998</v>
      </c>
      <c r="JMT1914" s="56">
        <v>18.98</v>
      </c>
      <c r="JMU1914" s="56">
        <v>17.5</v>
      </c>
      <c r="JMV1914" s="62">
        <v>13.28</v>
      </c>
      <c r="JMW1914" s="115">
        <v>19.489999999999998</v>
      </c>
      <c r="JMX1914" s="56">
        <v>18.98</v>
      </c>
      <c r="JMY1914" s="56">
        <v>17.5</v>
      </c>
      <c r="JMZ1914" s="62">
        <v>13.28</v>
      </c>
      <c r="JNA1914" s="115">
        <v>19.489999999999998</v>
      </c>
      <c r="JNB1914" s="56">
        <v>18.98</v>
      </c>
      <c r="JNC1914" s="56">
        <v>17.5</v>
      </c>
      <c r="JND1914" s="62">
        <v>13.28</v>
      </c>
      <c r="JNE1914" s="115">
        <v>19.489999999999998</v>
      </c>
      <c r="JNF1914" s="56">
        <v>18.98</v>
      </c>
      <c r="JNG1914" s="56">
        <v>17.5</v>
      </c>
      <c r="JNH1914" s="62">
        <v>13.28</v>
      </c>
      <c r="JNI1914" s="115">
        <v>19.489999999999998</v>
      </c>
      <c r="JNJ1914" s="56">
        <v>18.98</v>
      </c>
      <c r="JNK1914" s="56">
        <v>17.5</v>
      </c>
      <c r="JNL1914" s="62">
        <v>13.28</v>
      </c>
      <c r="JNM1914" s="115">
        <v>19.489999999999998</v>
      </c>
      <c r="JNN1914" s="56">
        <v>18.98</v>
      </c>
      <c r="JNO1914" s="56">
        <v>17.5</v>
      </c>
      <c r="JNP1914" s="62">
        <v>13.28</v>
      </c>
      <c r="JNQ1914" s="115">
        <v>19.489999999999998</v>
      </c>
      <c r="JNR1914" s="56">
        <v>18.98</v>
      </c>
      <c r="JNS1914" s="56">
        <v>17.5</v>
      </c>
      <c r="JNT1914" s="62">
        <v>13.28</v>
      </c>
      <c r="JNU1914" s="115">
        <v>19.489999999999998</v>
      </c>
      <c r="JNV1914" s="56">
        <v>18.98</v>
      </c>
      <c r="JNW1914" s="56">
        <v>17.5</v>
      </c>
      <c r="JNX1914" s="62">
        <v>13.28</v>
      </c>
      <c r="JNY1914" s="115">
        <v>19.489999999999998</v>
      </c>
      <c r="JNZ1914" s="56">
        <v>18.98</v>
      </c>
      <c r="JOA1914" s="56">
        <v>17.5</v>
      </c>
      <c r="JOB1914" s="62">
        <v>13.28</v>
      </c>
      <c r="JOC1914" s="115">
        <v>19.489999999999998</v>
      </c>
      <c r="JOD1914" s="56">
        <v>18.98</v>
      </c>
      <c r="JOE1914" s="56">
        <v>17.5</v>
      </c>
      <c r="JOF1914" s="62">
        <v>13.28</v>
      </c>
      <c r="JOG1914" s="115">
        <v>19.489999999999998</v>
      </c>
      <c r="JOH1914" s="56">
        <v>18.98</v>
      </c>
      <c r="JOI1914" s="56">
        <v>17.5</v>
      </c>
      <c r="JOJ1914" s="62">
        <v>13.28</v>
      </c>
      <c r="JOK1914" s="115">
        <v>19.489999999999998</v>
      </c>
      <c r="JOL1914" s="56">
        <v>18.98</v>
      </c>
      <c r="JOM1914" s="56">
        <v>17.5</v>
      </c>
      <c r="JON1914" s="62">
        <v>13.28</v>
      </c>
      <c r="JOO1914" s="115">
        <v>19.489999999999998</v>
      </c>
      <c r="JOP1914" s="56">
        <v>18.98</v>
      </c>
      <c r="JOQ1914" s="56">
        <v>17.5</v>
      </c>
      <c r="JOR1914" s="62">
        <v>13.28</v>
      </c>
      <c r="JOS1914" s="115">
        <v>19.489999999999998</v>
      </c>
      <c r="JOT1914" s="56">
        <v>18.98</v>
      </c>
      <c r="JOU1914" s="56">
        <v>17.5</v>
      </c>
      <c r="JOV1914" s="62">
        <v>13.28</v>
      </c>
      <c r="JOW1914" s="115">
        <v>19.489999999999998</v>
      </c>
      <c r="JOX1914" s="56">
        <v>18.98</v>
      </c>
      <c r="JOY1914" s="56">
        <v>17.5</v>
      </c>
      <c r="JOZ1914" s="62">
        <v>13.28</v>
      </c>
      <c r="JPA1914" s="115">
        <v>19.489999999999998</v>
      </c>
      <c r="JPB1914" s="56">
        <v>18.98</v>
      </c>
      <c r="JPC1914" s="56">
        <v>17.5</v>
      </c>
      <c r="JPD1914" s="62">
        <v>13.28</v>
      </c>
      <c r="JPE1914" s="115">
        <v>19.489999999999998</v>
      </c>
      <c r="JPF1914" s="56">
        <v>18.98</v>
      </c>
      <c r="JPG1914" s="56">
        <v>17.5</v>
      </c>
      <c r="JPH1914" s="62">
        <v>13.28</v>
      </c>
      <c r="JPI1914" s="115">
        <v>19.489999999999998</v>
      </c>
      <c r="JPJ1914" s="56">
        <v>18.98</v>
      </c>
      <c r="JPK1914" s="56">
        <v>17.5</v>
      </c>
      <c r="JPL1914" s="62">
        <v>13.28</v>
      </c>
      <c r="JPM1914" s="115">
        <v>19.489999999999998</v>
      </c>
      <c r="JPN1914" s="56">
        <v>18.98</v>
      </c>
      <c r="JPO1914" s="56">
        <v>17.5</v>
      </c>
      <c r="JPP1914" s="62">
        <v>13.28</v>
      </c>
      <c r="JPQ1914" s="115">
        <v>19.489999999999998</v>
      </c>
      <c r="JPR1914" s="56">
        <v>18.98</v>
      </c>
      <c r="JPS1914" s="56">
        <v>17.5</v>
      </c>
      <c r="JPT1914" s="62">
        <v>13.28</v>
      </c>
      <c r="JPU1914" s="115">
        <v>19.489999999999998</v>
      </c>
      <c r="JPV1914" s="56">
        <v>18.98</v>
      </c>
      <c r="JPW1914" s="56">
        <v>17.5</v>
      </c>
      <c r="JPX1914" s="62">
        <v>13.28</v>
      </c>
      <c r="JPY1914" s="115">
        <v>19.489999999999998</v>
      </c>
      <c r="JPZ1914" s="56">
        <v>18.98</v>
      </c>
      <c r="JQA1914" s="56">
        <v>17.5</v>
      </c>
      <c r="JQB1914" s="62">
        <v>13.28</v>
      </c>
      <c r="JQC1914" s="115">
        <v>19.489999999999998</v>
      </c>
      <c r="JQD1914" s="56">
        <v>18.98</v>
      </c>
      <c r="JQE1914" s="56">
        <v>17.5</v>
      </c>
      <c r="JQF1914" s="62">
        <v>13.28</v>
      </c>
      <c r="JQG1914" s="115">
        <v>19.489999999999998</v>
      </c>
      <c r="JQH1914" s="56">
        <v>18.98</v>
      </c>
      <c r="JQI1914" s="56">
        <v>17.5</v>
      </c>
      <c r="JQJ1914" s="62">
        <v>13.28</v>
      </c>
      <c r="JQK1914" s="115">
        <v>19.489999999999998</v>
      </c>
      <c r="JQL1914" s="56">
        <v>18.98</v>
      </c>
      <c r="JQM1914" s="56">
        <v>17.5</v>
      </c>
      <c r="JQN1914" s="62">
        <v>13.28</v>
      </c>
      <c r="JQO1914" s="115">
        <v>19.489999999999998</v>
      </c>
      <c r="JQP1914" s="56">
        <v>18.98</v>
      </c>
      <c r="JQQ1914" s="56">
        <v>17.5</v>
      </c>
      <c r="JQR1914" s="62">
        <v>13.28</v>
      </c>
      <c r="JQS1914" s="115">
        <v>19.489999999999998</v>
      </c>
      <c r="JQT1914" s="56">
        <v>18.98</v>
      </c>
      <c r="JQU1914" s="56">
        <v>17.5</v>
      </c>
      <c r="JQV1914" s="62">
        <v>13.28</v>
      </c>
      <c r="JQW1914" s="115">
        <v>19.489999999999998</v>
      </c>
      <c r="JQX1914" s="56">
        <v>18.98</v>
      </c>
      <c r="JQY1914" s="56">
        <v>17.5</v>
      </c>
      <c r="JQZ1914" s="62">
        <v>13.28</v>
      </c>
      <c r="JRA1914" s="115">
        <v>19.489999999999998</v>
      </c>
      <c r="JRB1914" s="56">
        <v>18.98</v>
      </c>
      <c r="JRC1914" s="56">
        <v>17.5</v>
      </c>
      <c r="JRD1914" s="62">
        <v>13.28</v>
      </c>
      <c r="JRE1914" s="115">
        <v>19.489999999999998</v>
      </c>
      <c r="JRF1914" s="56">
        <v>18.98</v>
      </c>
      <c r="JRG1914" s="56">
        <v>17.5</v>
      </c>
      <c r="JRH1914" s="62">
        <v>13.28</v>
      </c>
      <c r="JRI1914" s="115">
        <v>19.489999999999998</v>
      </c>
      <c r="JRJ1914" s="56">
        <v>18.98</v>
      </c>
      <c r="JRK1914" s="56">
        <v>17.5</v>
      </c>
      <c r="JRL1914" s="62">
        <v>13.28</v>
      </c>
      <c r="JRM1914" s="115">
        <v>19.489999999999998</v>
      </c>
      <c r="JRN1914" s="56">
        <v>18.98</v>
      </c>
      <c r="JRO1914" s="56">
        <v>17.5</v>
      </c>
      <c r="JRP1914" s="62">
        <v>13.28</v>
      </c>
      <c r="JRQ1914" s="115">
        <v>19.489999999999998</v>
      </c>
      <c r="JRR1914" s="56">
        <v>18.98</v>
      </c>
      <c r="JRS1914" s="56">
        <v>17.5</v>
      </c>
      <c r="JRT1914" s="62">
        <v>13.28</v>
      </c>
      <c r="JRU1914" s="115">
        <v>19.489999999999998</v>
      </c>
      <c r="JRV1914" s="56">
        <v>18.98</v>
      </c>
      <c r="JRW1914" s="56">
        <v>17.5</v>
      </c>
      <c r="JRX1914" s="62">
        <v>13.28</v>
      </c>
      <c r="JRY1914" s="115">
        <v>19.489999999999998</v>
      </c>
      <c r="JRZ1914" s="56">
        <v>18.98</v>
      </c>
      <c r="JSA1914" s="56">
        <v>17.5</v>
      </c>
      <c r="JSB1914" s="62">
        <v>13.28</v>
      </c>
      <c r="JSC1914" s="115">
        <v>19.489999999999998</v>
      </c>
      <c r="JSD1914" s="56">
        <v>18.98</v>
      </c>
      <c r="JSE1914" s="56">
        <v>17.5</v>
      </c>
      <c r="JSF1914" s="62">
        <v>13.28</v>
      </c>
      <c r="JSG1914" s="115">
        <v>19.489999999999998</v>
      </c>
      <c r="JSH1914" s="56">
        <v>18.98</v>
      </c>
      <c r="JSI1914" s="56">
        <v>17.5</v>
      </c>
      <c r="JSJ1914" s="62">
        <v>13.28</v>
      </c>
      <c r="JSK1914" s="115">
        <v>19.489999999999998</v>
      </c>
      <c r="JSL1914" s="56">
        <v>18.98</v>
      </c>
      <c r="JSM1914" s="56">
        <v>17.5</v>
      </c>
      <c r="JSN1914" s="62">
        <v>13.28</v>
      </c>
      <c r="JSO1914" s="115">
        <v>19.489999999999998</v>
      </c>
      <c r="JSP1914" s="56">
        <v>18.98</v>
      </c>
      <c r="JSQ1914" s="56">
        <v>17.5</v>
      </c>
      <c r="JSR1914" s="62">
        <v>13.28</v>
      </c>
      <c r="JSS1914" s="115">
        <v>19.489999999999998</v>
      </c>
      <c r="JST1914" s="56">
        <v>18.98</v>
      </c>
      <c r="JSU1914" s="56">
        <v>17.5</v>
      </c>
      <c r="JSV1914" s="62">
        <v>13.28</v>
      </c>
      <c r="JSW1914" s="115">
        <v>19.489999999999998</v>
      </c>
      <c r="JSX1914" s="56">
        <v>18.98</v>
      </c>
      <c r="JSY1914" s="56">
        <v>17.5</v>
      </c>
      <c r="JSZ1914" s="62">
        <v>13.28</v>
      </c>
      <c r="JTA1914" s="115">
        <v>19.489999999999998</v>
      </c>
      <c r="JTB1914" s="56">
        <v>18.98</v>
      </c>
      <c r="JTC1914" s="56">
        <v>17.5</v>
      </c>
      <c r="JTD1914" s="62">
        <v>13.28</v>
      </c>
      <c r="JTE1914" s="115">
        <v>19.489999999999998</v>
      </c>
      <c r="JTF1914" s="56">
        <v>18.98</v>
      </c>
      <c r="JTG1914" s="56">
        <v>17.5</v>
      </c>
      <c r="JTH1914" s="62">
        <v>13.28</v>
      </c>
      <c r="JTI1914" s="115">
        <v>19.489999999999998</v>
      </c>
      <c r="JTJ1914" s="56">
        <v>18.98</v>
      </c>
      <c r="JTK1914" s="56">
        <v>17.5</v>
      </c>
      <c r="JTL1914" s="62">
        <v>13.28</v>
      </c>
      <c r="JTM1914" s="115">
        <v>19.489999999999998</v>
      </c>
      <c r="JTN1914" s="56">
        <v>18.98</v>
      </c>
      <c r="JTO1914" s="56">
        <v>17.5</v>
      </c>
      <c r="JTP1914" s="62">
        <v>13.28</v>
      </c>
      <c r="JTQ1914" s="115">
        <v>19.489999999999998</v>
      </c>
      <c r="JTR1914" s="56">
        <v>18.98</v>
      </c>
      <c r="JTS1914" s="56">
        <v>17.5</v>
      </c>
      <c r="JTT1914" s="62">
        <v>13.28</v>
      </c>
      <c r="JTU1914" s="115">
        <v>19.489999999999998</v>
      </c>
      <c r="JTV1914" s="56">
        <v>18.98</v>
      </c>
      <c r="JTW1914" s="56">
        <v>17.5</v>
      </c>
      <c r="JTX1914" s="62">
        <v>13.28</v>
      </c>
      <c r="JTY1914" s="115">
        <v>19.489999999999998</v>
      </c>
      <c r="JTZ1914" s="56">
        <v>18.98</v>
      </c>
      <c r="JUA1914" s="56">
        <v>17.5</v>
      </c>
      <c r="JUB1914" s="62">
        <v>13.28</v>
      </c>
      <c r="JUC1914" s="115">
        <v>19.489999999999998</v>
      </c>
      <c r="JUD1914" s="56">
        <v>18.98</v>
      </c>
      <c r="JUE1914" s="56">
        <v>17.5</v>
      </c>
      <c r="JUF1914" s="62">
        <v>13.28</v>
      </c>
      <c r="JUG1914" s="115">
        <v>19.489999999999998</v>
      </c>
      <c r="JUH1914" s="56">
        <v>18.98</v>
      </c>
      <c r="JUI1914" s="56">
        <v>17.5</v>
      </c>
      <c r="JUJ1914" s="62">
        <v>13.28</v>
      </c>
      <c r="JUK1914" s="115">
        <v>19.489999999999998</v>
      </c>
      <c r="JUL1914" s="56">
        <v>18.98</v>
      </c>
      <c r="JUM1914" s="56">
        <v>17.5</v>
      </c>
      <c r="JUN1914" s="62">
        <v>13.28</v>
      </c>
      <c r="JUO1914" s="115">
        <v>19.489999999999998</v>
      </c>
      <c r="JUP1914" s="56">
        <v>18.98</v>
      </c>
      <c r="JUQ1914" s="56">
        <v>17.5</v>
      </c>
      <c r="JUR1914" s="62">
        <v>13.28</v>
      </c>
      <c r="JUS1914" s="115">
        <v>19.489999999999998</v>
      </c>
      <c r="JUT1914" s="56">
        <v>18.98</v>
      </c>
      <c r="JUU1914" s="56">
        <v>17.5</v>
      </c>
      <c r="JUV1914" s="62">
        <v>13.28</v>
      </c>
      <c r="JUW1914" s="115">
        <v>19.489999999999998</v>
      </c>
      <c r="JUX1914" s="56">
        <v>18.98</v>
      </c>
      <c r="JUY1914" s="56">
        <v>17.5</v>
      </c>
      <c r="JUZ1914" s="62">
        <v>13.28</v>
      </c>
      <c r="JVA1914" s="115">
        <v>19.489999999999998</v>
      </c>
      <c r="JVB1914" s="56">
        <v>18.98</v>
      </c>
      <c r="JVC1914" s="56">
        <v>17.5</v>
      </c>
      <c r="JVD1914" s="62">
        <v>13.28</v>
      </c>
      <c r="JVE1914" s="115">
        <v>19.489999999999998</v>
      </c>
      <c r="JVF1914" s="56">
        <v>18.98</v>
      </c>
      <c r="JVG1914" s="56">
        <v>17.5</v>
      </c>
      <c r="JVH1914" s="62">
        <v>13.28</v>
      </c>
      <c r="JVI1914" s="115">
        <v>19.489999999999998</v>
      </c>
      <c r="JVJ1914" s="56">
        <v>18.98</v>
      </c>
      <c r="JVK1914" s="56">
        <v>17.5</v>
      </c>
      <c r="JVL1914" s="62">
        <v>13.28</v>
      </c>
      <c r="JVM1914" s="115">
        <v>19.489999999999998</v>
      </c>
      <c r="JVN1914" s="56">
        <v>18.98</v>
      </c>
      <c r="JVO1914" s="56">
        <v>17.5</v>
      </c>
      <c r="JVP1914" s="62">
        <v>13.28</v>
      </c>
      <c r="JVQ1914" s="115">
        <v>19.489999999999998</v>
      </c>
      <c r="JVR1914" s="56">
        <v>18.98</v>
      </c>
      <c r="JVS1914" s="56">
        <v>17.5</v>
      </c>
      <c r="JVT1914" s="62">
        <v>13.28</v>
      </c>
      <c r="JVU1914" s="115">
        <v>19.489999999999998</v>
      </c>
      <c r="JVV1914" s="56">
        <v>18.98</v>
      </c>
      <c r="JVW1914" s="56">
        <v>17.5</v>
      </c>
      <c r="JVX1914" s="62">
        <v>13.28</v>
      </c>
      <c r="JVY1914" s="115">
        <v>19.489999999999998</v>
      </c>
      <c r="JVZ1914" s="56">
        <v>18.98</v>
      </c>
      <c r="JWA1914" s="56">
        <v>17.5</v>
      </c>
      <c r="JWB1914" s="62">
        <v>13.28</v>
      </c>
      <c r="JWC1914" s="115">
        <v>19.489999999999998</v>
      </c>
      <c r="JWD1914" s="56">
        <v>18.98</v>
      </c>
      <c r="JWE1914" s="56">
        <v>17.5</v>
      </c>
      <c r="JWF1914" s="62">
        <v>13.28</v>
      </c>
      <c r="JWG1914" s="115">
        <v>19.489999999999998</v>
      </c>
      <c r="JWH1914" s="56">
        <v>18.98</v>
      </c>
      <c r="JWI1914" s="56">
        <v>17.5</v>
      </c>
      <c r="JWJ1914" s="62">
        <v>13.28</v>
      </c>
      <c r="JWK1914" s="115">
        <v>19.489999999999998</v>
      </c>
      <c r="JWL1914" s="56">
        <v>18.98</v>
      </c>
      <c r="JWM1914" s="56">
        <v>17.5</v>
      </c>
      <c r="JWN1914" s="62">
        <v>13.28</v>
      </c>
      <c r="JWO1914" s="115">
        <v>19.489999999999998</v>
      </c>
      <c r="JWP1914" s="56">
        <v>18.98</v>
      </c>
      <c r="JWQ1914" s="56">
        <v>17.5</v>
      </c>
      <c r="JWR1914" s="62">
        <v>13.28</v>
      </c>
      <c r="JWS1914" s="115">
        <v>19.489999999999998</v>
      </c>
      <c r="JWT1914" s="56">
        <v>18.98</v>
      </c>
      <c r="JWU1914" s="56">
        <v>17.5</v>
      </c>
      <c r="JWV1914" s="62">
        <v>13.28</v>
      </c>
      <c r="JWW1914" s="115">
        <v>19.489999999999998</v>
      </c>
      <c r="JWX1914" s="56">
        <v>18.98</v>
      </c>
      <c r="JWY1914" s="56">
        <v>17.5</v>
      </c>
      <c r="JWZ1914" s="62">
        <v>13.28</v>
      </c>
      <c r="JXA1914" s="115">
        <v>19.489999999999998</v>
      </c>
      <c r="JXB1914" s="56">
        <v>18.98</v>
      </c>
      <c r="JXC1914" s="56">
        <v>17.5</v>
      </c>
      <c r="JXD1914" s="62">
        <v>13.28</v>
      </c>
      <c r="JXE1914" s="115">
        <v>19.489999999999998</v>
      </c>
      <c r="JXF1914" s="56">
        <v>18.98</v>
      </c>
      <c r="JXG1914" s="56">
        <v>17.5</v>
      </c>
      <c r="JXH1914" s="62">
        <v>13.28</v>
      </c>
      <c r="JXI1914" s="115">
        <v>19.489999999999998</v>
      </c>
      <c r="JXJ1914" s="56">
        <v>18.98</v>
      </c>
      <c r="JXK1914" s="56">
        <v>17.5</v>
      </c>
      <c r="JXL1914" s="62">
        <v>13.28</v>
      </c>
      <c r="JXM1914" s="115">
        <v>19.489999999999998</v>
      </c>
      <c r="JXN1914" s="56">
        <v>18.98</v>
      </c>
      <c r="JXO1914" s="56">
        <v>17.5</v>
      </c>
      <c r="JXP1914" s="62">
        <v>13.28</v>
      </c>
      <c r="JXQ1914" s="115">
        <v>19.489999999999998</v>
      </c>
      <c r="JXR1914" s="56">
        <v>18.98</v>
      </c>
      <c r="JXS1914" s="56">
        <v>17.5</v>
      </c>
      <c r="JXT1914" s="62">
        <v>13.28</v>
      </c>
      <c r="JXU1914" s="115">
        <v>19.489999999999998</v>
      </c>
      <c r="JXV1914" s="56">
        <v>18.98</v>
      </c>
      <c r="JXW1914" s="56">
        <v>17.5</v>
      </c>
      <c r="JXX1914" s="62">
        <v>13.28</v>
      </c>
      <c r="JXY1914" s="115">
        <v>19.489999999999998</v>
      </c>
      <c r="JXZ1914" s="56">
        <v>18.98</v>
      </c>
      <c r="JYA1914" s="56">
        <v>17.5</v>
      </c>
      <c r="JYB1914" s="62">
        <v>13.28</v>
      </c>
      <c r="JYC1914" s="115">
        <v>19.489999999999998</v>
      </c>
      <c r="JYD1914" s="56">
        <v>18.98</v>
      </c>
      <c r="JYE1914" s="56">
        <v>17.5</v>
      </c>
      <c r="JYF1914" s="62">
        <v>13.28</v>
      </c>
      <c r="JYG1914" s="115">
        <v>19.489999999999998</v>
      </c>
      <c r="JYH1914" s="56">
        <v>18.98</v>
      </c>
      <c r="JYI1914" s="56">
        <v>17.5</v>
      </c>
      <c r="JYJ1914" s="62">
        <v>13.28</v>
      </c>
      <c r="JYK1914" s="115">
        <v>19.489999999999998</v>
      </c>
      <c r="JYL1914" s="56">
        <v>18.98</v>
      </c>
      <c r="JYM1914" s="56">
        <v>17.5</v>
      </c>
      <c r="JYN1914" s="62">
        <v>13.28</v>
      </c>
      <c r="JYO1914" s="115">
        <v>19.489999999999998</v>
      </c>
      <c r="JYP1914" s="56">
        <v>18.98</v>
      </c>
      <c r="JYQ1914" s="56">
        <v>17.5</v>
      </c>
      <c r="JYR1914" s="62">
        <v>13.28</v>
      </c>
      <c r="JYS1914" s="115">
        <v>19.489999999999998</v>
      </c>
      <c r="JYT1914" s="56">
        <v>18.98</v>
      </c>
      <c r="JYU1914" s="56">
        <v>17.5</v>
      </c>
      <c r="JYV1914" s="62">
        <v>13.28</v>
      </c>
      <c r="JYW1914" s="115">
        <v>19.489999999999998</v>
      </c>
      <c r="JYX1914" s="56">
        <v>18.98</v>
      </c>
      <c r="JYY1914" s="56">
        <v>17.5</v>
      </c>
      <c r="JYZ1914" s="62">
        <v>13.28</v>
      </c>
      <c r="JZA1914" s="115">
        <v>19.489999999999998</v>
      </c>
      <c r="JZB1914" s="56">
        <v>18.98</v>
      </c>
      <c r="JZC1914" s="56">
        <v>17.5</v>
      </c>
      <c r="JZD1914" s="62">
        <v>13.28</v>
      </c>
      <c r="JZE1914" s="115">
        <v>19.489999999999998</v>
      </c>
      <c r="JZF1914" s="56">
        <v>18.98</v>
      </c>
      <c r="JZG1914" s="56">
        <v>17.5</v>
      </c>
      <c r="JZH1914" s="62">
        <v>13.28</v>
      </c>
      <c r="JZI1914" s="115">
        <v>19.489999999999998</v>
      </c>
      <c r="JZJ1914" s="56">
        <v>18.98</v>
      </c>
      <c r="JZK1914" s="56">
        <v>17.5</v>
      </c>
      <c r="JZL1914" s="62">
        <v>13.28</v>
      </c>
      <c r="JZM1914" s="115">
        <v>19.489999999999998</v>
      </c>
      <c r="JZN1914" s="56">
        <v>18.98</v>
      </c>
      <c r="JZO1914" s="56">
        <v>17.5</v>
      </c>
      <c r="JZP1914" s="62">
        <v>13.28</v>
      </c>
      <c r="JZQ1914" s="115">
        <v>19.489999999999998</v>
      </c>
      <c r="JZR1914" s="56">
        <v>18.98</v>
      </c>
      <c r="JZS1914" s="56">
        <v>17.5</v>
      </c>
      <c r="JZT1914" s="62">
        <v>13.28</v>
      </c>
      <c r="JZU1914" s="115">
        <v>19.489999999999998</v>
      </c>
      <c r="JZV1914" s="56">
        <v>18.98</v>
      </c>
      <c r="JZW1914" s="56">
        <v>17.5</v>
      </c>
      <c r="JZX1914" s="62">
        <v>13.28</v>
      </c>
      <c r="JZY1914" s="115">
        <v>19.489999999999998</v>
      </c>
      <c r="JZZ1914" s="56">
        <v>18.98</v>
      </c>
      <c r="KAA1914" s="56">
        <v>17.5</v>
      </c>
      <c r="KAB1914" s="62">
        <v>13.28</v>
      </c>
      <c r="KAC1914" s="115">
        <v>19.489999999999998</v>
      </c>
      <c r="KAD1914" s="56">
        <v>18.98</v>
      </c>
      <c r="KAE1914" s="56">
        <v>17.5</v>
      </c>
      <c r="KAF1914" s="62">
        <v>13.28</v>
      </c>
      <c r="KAG1914" s="115">
        <v>19.489999999999998</v>
      </c>
      <c r="KAH1914" s="56">
        <v>18.98</v>
      </c>
      <c r="KAI1914" s="56">
        <v>17.5</v>
      </c>
      <c r="KAJ1914" s="62">
        <v>13.28</v>
      </c>
      <c r="KAK1914" s="115">
        <v>19.489999999999998</v>
      </c>
      <c r="KAL1914" s="56">
        <v>18.98</v>
      </c>
      <c r="KAM1914" s="56">
        <v>17.5</v>
      </c>
      <c r="KAN1914" s="62">
        <v>13.28</v>
      </c>
      <c r="KAO1914" s="115">
        <v>19.489999999999998</v>
      </c>
      <c r="KAP1914" s="56">
        <v>18.98</v>
      </c>
      <c r="KAQ1914" s="56">
        <v>17.5</v>
      </c>
      <c r="KAR1914" s="62">
        <v>13.28</v>
      </c>
      <c r="KAS1914" s="115">
        <v>19.489999999999998</v>
      </c>
      <c r="KAT1914" s="56">
        <v>18.98</v>
      </c>
      <c r="KAU1914" s="56">
        <v>17.5</v>
      </c>
      <c r="KAV1914" s="62">
        <v>13.28</v>
      </c>
      <c r="KAW1914" s="115">
        <v>19.489999999999998</v>
      </c>
      <c r="KAX1914" s="56">
        <v>18.98</v>
      </c>
      <c r="KAY1914" s="56">
        <v>17.5</v>
      </c>
      <c r="KAZ1914" s="62">
        <v>13.28</v>
      </c>
      <c r="KBA1914" s="115">
        <v>19.489999999999998</v>
      </c>
      <c r="KBB1914" s="56">
        <v>18.98</v>
      </c>
      <c r="KBC1914" s="56">
        <v>17.5</v>
      </c>
      <c r="KBD1914" s="62">
        <v>13.28</v>
      </c>
      <c r="KBE1914" s="115">
        <v>19.489999999999998</v>
      </c>
      <c r="KBF1914" s="56">
        <v>18.98</v>
      </c>
      <c r="KBG1914" s="56">
        <v>17.5</v>
      </c>
      <c r="KBH1914" s="62">
        <v>13.28</v>
      </c>
      <c r="KBI1914" s="115">
        <v>19.489999999999998</v>
      </c>
      <c r="KBJ1914" s="56">
        <v>18.98</v>
      </c>
      <c r="KBK1914" s="56">
        <v>17.5</v>
      </c>
      <c r="KBL1914" s="62">
        <v>13.28</v>
      </c>
      <c r="KBM1914" s="115">
        <v>19.489999999999998</v>
      </c>
      <c r="KBN1914" s="56">
        <v>18.98</v>
      </c>
      <c r="KBO1914" s="56">
        <v>17.5</v>
      </c>
      <c r="KBP1914" s="62">
        <v>13.28</v>
      </c>
      <c r="KBQ1914" s="115">
        <v>19.489999999999998</v>
      </c>
      <c r="KBR1914" s="56">
        <v>18.98</v>
      </c>
      <c r="KBS1914" s="56">
        <v>17.5</v>
      </c>
      <c r="KBT1914" s="62">
        <v>13.28</v>
      </c>
      <c r="KBU1914" s="115">
        <v>19.489999999999998</v>
      </c>
      <c r="KBV1914" s="56">
        <v>18.98</v>
      </c>
      <c r="KBW1914" s="56">
        <v>17.5</v>
      </c>
      <c r="KBX1914" s="62">
        <v>13.28</v>
      </c>
      <c r="KBY1914" s="115">
        <v>19.489999999999998</v>
      </c>
      <c r="KBZ1914" s="56">
        <v>18.98</v>
      </c>
      <c r="KCA1914" s="56">
        <v>17.5</v>
      </c>
      <c r="KCB1914" s="62">
        <v>13.28</v>
      </c>
      <c r="KCC1914" s="115">
        <v>19.489999999999998</v>
      </c>
      <c r="KCD1914" s="56">
        <v>18.98</v>
      </c>
      <c r="KCE1914" s="56">
        <v>17.5</v>
      </c>
      <c r="KCF1914" s="62">
        <v>13.28</v>
      </c>
      <c r="KCG1914" s="115">
        <v>19.489999999999998</v>
      </c>
      <c r="KCH1914" s="56">
        <v>18.98</v>
      </c>
      <c r="KCI1914" s="56">
        <v>17.5</v>
      </c>
      <c r="KCJ1914" s="62">
        <v>13.28</v>
      </c>
      <c r="KCK1914" s="115">
        <v>19.489999999999998</v>
      </c>
      <c r="KCL1914" s="56">
        <v>18.98</v>
      </c>
      <c r="KCM1914" s="56">
        <v>17.5</v>
      </c>
      <c r="KCN1914" s="62">
        <v>13.28</v>
      </c>
      <c r="KCO1914" s="115">
        <v>19.489999999999998</v>
      </c>
      <c r="KCP1914" s="56">
        <v>18.98</v>
      </c>
      <c r="KCQ1914" s="56">
        <v>17.5</v>
      </c>
      <c r="KCR1914" s="62">
        <v>13.28</v>
      </c>
      <c r="KCS1914" s="115">
        <v>19.489999999999998</v>
      </c>
      <c r="KCT1914" s="56">
        <v>18.98</v>
      </c>
      <c r="KCU1914" s="56">
        <v>17.5</v>
      </c>
      <c r="KCV1914" s="62">
        <v>13.28</v>
      </c>
      <c r="KCW1914" s="115">
        <v>19.489999999999998</v>
      </c>
      <c r="KCX1914" s="56">
        <v>18.98</v>
      </c>
      <c r="KCY1914" s="56">
        <v>17.5</v>
      </c>
      <c r="KCZ1914" s="62">
        <v>13.28</v>
      </c>
      <c r="KDA1914" s="115">
        <v>19.489999999999998</v>
      </c>
      <c r="KDB1914" s="56">
        <v>18.98</v>
      </c>
      <c r="KDC1914" s="56">
        <v>17.5</v>
      </c>
      <c r="KDD1914" s="62">
        <v>13.28</v>
      </c>
      <c r="KDE1914" s="115">
        <v>19.489999999999998</v>
      </c>
      <c r="KDF1914" s="56">
        <v>18.98</v>
      </c>
      <c r="KDG1914" s="56">
        <v>17.5</v>
      </c>
      <c r="KDH1914" s="62">
        <v>13.28</v>
      </c>
      <c r="KDI1914" s="115">
        <v>19.489999999999998</v>
      </c>
      <c r="KDJ1914" s="56">
        <v>18.98</v>
      </c>
      <c r="KDK1914" s="56">
        <v>17.5</v>
      </c>
      <c r="KDL1914" s="62">
        <v>13.28</v>
      </c>
      <c r="KDM1914" s="115">
        <v>19.489999999999998</v>
      </c>
      <c r="KDN1914" s="56">
        <v>18.98</v>
      </c>
      <c r="KDO1914" s="56">
        <v>17.5</v>
      </c>
      <c r="KDP1914" s="62">
        <v>13.28</v>
      </c>
      <c r="KDQ1914" s="115">
        <v>19.489999999999998</v>
      </c>
      <c r="KDR1914" s="56">
        <v>18.98</v>
      </c>
      <c r="KDS1914" s="56">
        <v>17.5</v>
      </c>
      <c r="KDT1914" s="62">
        <v>13.28</v>
      </c>
      <c r="KDU1914" s="115">
        <v>19.489999999999998</v>
      </c>
      <c r="KDV1914" s="56">
        <v>18.98</v>
      </c>
      <c r="KDW1914" s="56">
        <v>17.5</v>
      </c>
      <c r="KDX1914" s="62">
        <v>13.28</v>
      </c>
      <c r="KDY1914" s="115">
        <v>19.489999999999998</v>
      </c>
      <c r="KDZ1914" s="56">
        <v>18.98</v>
      </c>
      <c r="KEA1914" s="56">
        <v>17.5</v>
      </c>
      <c r="KEB1914" s="62">
        <v>13.28</v>
      </c>
      <c r="KEC1914" s="115">
        <v>19.489999999999998</v>
      </c>
      <c r="KED1914" s="56">
        <v>18.98</v>
      </c>
      <c r="KEE1914" s="56">
        <v>17.5</v>
      </c>
      <c r="KEF1914" s="62">
        <v>13.28</v>
      </c>
      <c r="KEG1914" s="115">
        <v>19.489999999999998</v>
      </c>
      <c r="KEH1914" s="56">
        <v>18.98</v>
      </c>
      <c r="KEI1914" s="56">
        <v>17.5</v>
      </c>
      <c r="KEJ1914" s="62">
        <v>13.28</v>
      </c>
      <c r="KEK1914" s="115">
        <v>19.489999999999998</v>
      </c>
      <c r="KEL1914" s="56">
        <v>18.98</v>
      </c>
      <c r="KEM1914" s="56">
        <v>17.5</v>
      </c>
      <c r="KEN1914" s="62">
        <v>13.28</v>
      </c>
      <c r="KEO1914" s="115">
        <v>19.489999999999998</v>
      </c>
      <c r="KEP1914" s="56">
        <v>18.98</v>
      </c>
      <c r="KEQ1914" s="56">
        <v>17.5</v>
      </c>
      <c r="KER1914" s="62">
        <v>13.28</v>
      </c>
      <c r="KES1914" s="115">
        <v>19.489999999999998</v>
      </c>
      <c r="KET1914" s="56">
        <v>18.98</v>
      </c>
      <c r="KEU1914" s="56">
        <v>17.5</v>
      </c>
      <c r="KEV1914" s="62">
        <v>13.28</v>
      </c>
      <c r="KEW1914" s="115">
        <v>19.489999999999998</v>
      </c>
      <c r="KEX1914" s="56">
        <v>18.98</v>
      </c>
      <c r="KEY1914" s="56">
        <v>17.5</v>
      </c>
      <c r="KEZ1914" s="62">
        <v>13.28</v>
      </c>
      <c r="KFA1914" s="115">
        <v>19.489999999999998</v>
      </c>
      <c r="KFB1914" s="56">
        <v>18.98</v>
      </c>
      <c r="KFC1914" s="56">
        <v>17.5</v>
      </c>
      <c r="KFD1914" s="62">
        <v>13.28</v>
      </c>
      <c r="KFE1914" s="115">
        <v>19.489999999999998</v>
      </c>
      <c r="KFF1914" s="56">
        <v>18.98</v>
      </c>
      <c r="KFG1914" s="56">
        <v>17.5</v>
      </c>
      <c r="KFH1914" s="62">
        <v>13.28</v>
      </c>
      <c r="KFI1914" s="115">
        <v>19.489999999999998</v>
      </c>
      <c r="KFJ1914" s="56">
        <v>18.98</v>
      </c>
      <c r="KFK1914" s="56">
        <v>17.5</v>
      </c>
      <c r="KFL1914" s="62">
        <v>13.28</v>
      </c>
      <c r="KFM1914" s="115">
        <v>19.489999999999998</v>
      </c>
      <c r="KFN1914" s="56">
        <v>18.98</v>
      </c>
      <c r="KFO1914" s="56">
        <v>17.5</v>
      </c>
      <c r="KFP1914" s="62">
        <v>13.28</v>
      </c>
      <c r="KFQ1914" s="115">
        <v>19.489999999999998</v>
      </c>
      <c r="KFR1914" s="56">
        <v>18.98</v>
      </c>
      <c r="KFS1914" s="56">
        <v>17.5</v>
      </c>
      <c r="KFT1914" s="62">
        <v>13.28</v>
      </c>
      <c r="KFU1914" s="115">
        <v>19.489999999999998</v>
      </c>
      <c r="KFV1914" s="56">
        <v>18.98</v>
      </c>
      <c r="KFW1914" s="56">
        <v>17.5</v>
      </c>
      <c r="KFX1914" s="62">
        <v>13.28</v>
      </c>
      <c r="KFY1914" s="115">
        <v>19.489999999999998</v>
      </c>
      <c r="KFZ1914" s="56">
        <v>18.98</v>
      </c>
      <c r="KGA1914" s="56">
        <v>17.5</v>
      </c>
      <c r="KGB1914" s="62">
        <v>13.28</v>
      </c>
      <c r="KGC1914" s="115">
        <v>19.489999999999998</v>
      </c>
      <c r="KGD1914" s="56">
        <v>18.98</v>
      </c>
      <c r="KGE1914" s="56">
        <v>17.5</v>
      </c>
      <c r="KGF1914" s="62">
        <v>13.28</v>
      </c>
      <c r="KGG1914" s="115">
        <v>19.489999999999998</v>
      </c>
      <c r="KGH1914" s="56">
        <v>18.98</v>
      </c>
      <c r="KGI1914" s="56">
        <v>17.5</v>
      </c>
      <c r="KGJ1914" s="62">
        <v>13.28</v>
      </c>
      <c r="KGK1914" s="115">
        <v>19.489999999999998</v>
      </c>
      <c r="KGL1914" s="56">
        <v>18.98</v>
      </c>
      <c r="KGM1914" s="56">
        <v>17.5</v>
      </c>
      <c r="KGN1914" s="62">
        <v>13.28</v>
      </c>
      <c r="KGO1914" s="115">
        <v>19.489999999999998</v>
      </c>
      <c r="KGP1914" s="56">
        <v>18.98</v>
      </c>
      <c r="KGQ1914" s="56">
        <v>17.5</v>
      </c>
      <c r="KGR1914" s="62">
        <v>13.28</v>
      </c>
      <c r="KGS1914" s="115">
        <v>19.489999999999998</v>
      </c>
      <c r="KGT1914" s="56">
        <v>18.98</v>
      </c>
      <c r="KGU1914" s="56">
        <v>17.5</v>
      </c>
      <c r="KGV1914" s="62">
        <v>13.28</v>
      </c>
      <c r="KGW1914" s="115">
        <v>19.489999999999998</v>
      </c>
      <c r="KGX1914" s="56">
        <v>18.98</v>
      </c>
      <c r="KGY1914" s="56">
        <v>17.5</v>
      </c>
      <c r="KGZ1914" s="62">
        <v>13.28</v>
      </c>
      <c r="KHA1914" s="115">
        <v>19.489999999999998</v>
      </c>
      <c r="KHB1914" s="56">
        <v>18.98</v>
      </c>
      <c r="KHC1914" s="56">
        <v>17.5</v>
      </c>
      <c r="KHD1914" s="62">
        <v>13.28</v>
      </c>
      <c r="KHE1914" s="115">
        <v>19.489999999999998</v>
      </c>
      <c r="KHF1914" s="56">
        <v>18.98</v>
      </c>
      <c r="KHG1914" s="56">
        <v>17.5</v>
      </c>
      <c r="KHH1914" s="62">
        <v>13.28</v>
      </c>
      <c r="KHI1914" s="115">
        <v>19.489999999999998</v>
      </c>
      <c r="KHJ1914" s="56">
        <v>18.98</v>
      </c>
      <c r="KHK1914" s="56">
        <v>17.5</v>
      </c>
      <c r="KHL1914" s="62">
        <v>13.28</v>
      </c>
      <c r="KHM1914" s="115">
        <v>19.489999999999998</v>
      </c>
      <c r="KHN1914" s="56">
        <v>18.98</v>
      </c>
      <c r="KHO1914" s="56">
        <v>17.5</v>
      </c>
      <c r="KHP1914" s="62">
        <v>13.28</v>
      </c>
      <c r="KHQ1914" s="115">
        <v>19.489999999999998</v>
      </c>
      <c r="KHR1914" s="56">
        <v>18.98</v>
      </c>
      <c r="KHS1914" s="56">
        <v>17.5</v>
      </c>
      <c r="KHT1914" s="62">
        <v>13.28</v>
      </c>
      <c r="KHU1914" s="115">
        <v>19.489999999999998</v>
      </c>
      <c r="KHV1914" s="56">
        <v>18.98</v>
      </c>
      <c r="KHW1914" s="56">
        <v>17.5</v>
      </c>
      <c r="KHX1914" s="62">
        <v>13.28</v>
      </c>
      <c r="KHY1914" s="115">
        <v>19.489999999999998</v>
      </c>
      <c r="KHZ1914" s="56">
        <v>18.98</v>
      </c>
      <c r="KIA1914" s="56">
        <v>17.5</v>
      </c>
      <c r="KIB1914" s="62">
        <v>13.28</v>
      </c>
      <c r="KIC1914" s="115">
        <v>19.489999999999998</v>
      </c>
      <c r="KID1914" s="56">
        <v>18.98</v>
      </c>
      <c r="KIE1914" s="56">
        <v>17.5</v>
      </c>
      <c r="KIF1914" s="62">
        <v>13.28</v>
      </c>
      <c r="KIG1914" s="115">
        <v>19.489999999999998</v>
      </c>
      <c r="KIH1914" s="56">
        <v>18.98</v>
      </c>
      <c r="KII1914" s="56">
        <v>17.5</v>
      </c>
      <c r="KIJ1914" s="62">
        <v>13.28</v>
      </c>
      <c r="KIK1914" s="115">
        <v>19.489999999999998</v>
      </c>
      <c r="KIL1914" s="56">
        <v>18.98</v>
      </c>
      <c r="KIM1914" s="56">
        <v>17.5</v>
      </c>
      <c r="KIN1914" s="62">
        <v>13.28</v>
      </c>
      <c r="KIO1914" s="115">
        <v>19.489999999999998</v>
      </c>
      <c r="KIP1914" s="56">
        <v>18.98</v>
      </c>
      <c r="KIQ1914" s="56">
        <v>17.5</v>
      </c>
      <c r="KIR1914" s="62">
        <v>13.28</v>
      </c>
      <c r="KIS1914" s="115">
        <v>19.489999999999998</v>
      </c>
      <c r="KIT1914" s="56">
        <v>18.98</v>
      </c>
      <c r="KIU1914" s="56">
        <v>17.5</v>
      </c>
      <c r="KIV1914" s="62">
        <v>13.28</v>
      </c>
      <c r="KIW1914" s="115">
        <v>19.489999999999998</v>
      </c>
      <c r="KIX1914" s="56">
        <v>18.98</v>
      </c>
      <c r="KIY1914" s="56">
        <v>17.5</v>
      </c>
      <c r="KIZ1914" s="62">
        <v>13.28</v>
      </c>
      <c r="KJA1914" s="115">
        <v>19.489999999999998</v>
      </c>
      <c r="KJB1914" s="56">
        <v>18.98</v>
      </c>
      <c r="KJC1914" s="56">
        <v>17.5</v>
      </c>
      <c r="KJD1914" s="62">
        <v>13.28</v>
      </c>
      <c r="KJE1914" s="115">
        <v>19.489999999999998</v>
      </c>
      <c r="KJF1914" s="56">
        <v>18.98</v>
      </c>
      <c r="KJG1914" s="56">
        <v>17.5</v>
      </c>
      <c r="KJH1914" s="62">
        <v>13.28</v>
      </c>
      <c r="KJI1914" s="115">
        <v>19.489999999999998</v>
      </c>
      <c r="KJJ1914" s="56">
        <v>18.98</v>
      </c>
      <c r="KJK1914" s="56">
        <v>17.5</v>
      </c>
      <c r="KJL1914" s="62">
        <v>13.28</v>
      </c>
      <c r="KJM1914" s="115">
        <v>19.489999999999998</v>
      </c>
      <c r="KJN1914" s="56">
        <v>18.98</v>
      </c>
      <c r="KJO1914" s="56">
        <v>17.5</v>
      </c>
      <c r="KJP1914" s="62">
        <v>13.28</v>
      </c>
      <c r="KJQ1914" s="115">
        <v>19.489999999999998</v>
      </c>
      <c r="KJR1914" s="56">
        <v>18.98</v>
      </c>
      <c r="KJS1914" s="56">
        <v>17.5</v>
      </c>
      <c r="KJT1914" s="62">
        <v>13.28</v>
      </c>
      <c r="KJU1914" s="115">
        <v>19.489999999999998</v>
      </c>
      <c r="KJV1914" s="56">
        <v>18.98</v>
      </c>
      <c r="KJW1914" s="56">
        <v>17.5</v>
      </c>
      <c r="KJX1914" s="62">
        <v>13.28</v>
      </c>
      <c r="KJY1914" s="115">
        <v>19.489999999999998</v>
      </c>
      <c r="KJZ1914" s="56">
        <v>18.98</v>
      </c>
      <c r="KKA1914" s="56">
        <v>17.5</v>
      </c>
      <c r="KKB1914" s="62">
        <v>13.28</v>
      </c>
      <c r="KKC1914" s="115">
        <v>19.489999999999998</v>
      </c>
      <c r="KKD1914" s="56">
        <v>18.98</v>
      </c>
      <c r="KKE1914" s="56">
        <v>17.5</v>
      </c>
      <c r="KKF1914" s="62">
        <v>13.28</v>
      </c>
      <c r="KKG1914" s="115">
        <v>19.489999999999998</v>
      </c>
      <c r="KKH1914" s="56">
        <v>18.98</v>
      </c>
      <c r="KKI1914" s="56">
        <v>17.5</v>
      </c>
      <c r="KKJ1914" s="62">
        <v>13.28</v>
      </c>
      <c r="KKK1914" s="115">
        <v>19.489999999999998</v>
      </c>
      <c r="KKL1914" s="56">
        <v>18.98</v>
      </c>
      <c r="KKM1914" s="56">
        <v>17.5</v>
      </c>
      <c r="KKN1914" s="62">
        <v>13.28</v>
      </c>
      <c r="KKO1914" s="115">
        <v>19.489999999999998</v>
      </c>
      <c r="KKP1914" s="56">
        <v>18.98</v>
      </c>
      <c r="KKQ1914" s="56">
        <v>17.5</v>
      </c>
      <c r="KKR1914" s="62">
        <v>13.28</v>
      </c>
      <c r="KKS1914" s="115">
        <v>19.489999999999998</v>
      </c>
      <c r="KKT1914" s="56">
        <v>18.98</v>
      </c>
      <c r="KKU1914" s="56">
        <v>17.5</v>
      </c>
      <c r="KKV1914" s="62">
        <v>13.28</v>
      </c>
      <c r="KKW1914" s="115">
        <v>19.489999999999998</v>
      </c>
      <c r="KKX1914" s="56">
        <v>18.98</v>
      </c>
      <c r="KKY1914" s="56">
        <v>17.5</v>
      </c>
      <c r="KKZ1914" s="62">
        <v>13.28</v>
      </c>
      <c r="KLA1914" s="115">
        <v>19.489999999999998</v>
      </c>
      <c r="KLB1914" s="56">
        <v>18.98</v>
      </c>
      <c r="KLC1914" s="56">
        <v>17.5</v>
      </c>
      <c r="KLD1914" s="62">
        <v>13.28</v>
      </c>
      <c r="KLE1914" s="115">
        <v>19.489999999999998</v>
      </c>
      <c r="KLF1914" s="56">
        <v>18.98</v>
      </c>
      <c r="KLG1914" s="56">
        <v>17.5</v>
      </c>
      <c r="KLH1914" s="62">
        <v>13.28</v>
      </c>
      <c r="KLI1914" s="115">
        <v>19.489999999999998</v>
      </c>
      <c r="KLJ1914" s="56">
        <v>18.98</v>
      </c>
      <c r="KLK1914" s="56">
        <v>17.5</v>
      </c>
      <c r="KLL1914" s="62">
        <v>13.28</v>
      </c>
      <c r="KLM1914" s="115">
        <v>19.489999999999998</v>
      </c>
      <c r="KLN1914" s="56">
        <v>18.98</v>
      </c>
      <c r="KLO1914" s="56">
        <v>17.5</v>
      </c>
      <c r="KLP1914" s="62">
        <v>13.28</v>
      </c>
      <c r="KLQ1914" s="115">
        <v>19.489999999999998</v>
      </c>
      <c r="KLR1914" s="56">
        <v>18.98</v>
      </c>
      <c r="KLS1914" s="56">
        <v>17.5</v>
      </c>
      <c r="KLT1914" s="62">
        <v>13.28</v>
      </c>
      <c r="KLU1914" s="115">
        <v>19.489999999999998</v>
      </c>
      <c r="KLV1914" s="56">
        <v>18.98</v>
      </c>
      <c r="KLW1914" s="56">
        <v>17.5</v>
      </c>
      <c r="KLX1914" s="62">
        <v>13.28</v>
      </c>
      <c r="KLY1914" s="115">
        <v>19.489999999999998</v>
      </c>
      <c r="KLZ1914" s="56">
        <v>18.98</v>
      </c>
      <c r="KMA1914" s="56">
        <v>17.5</v>
      </c>
      <c r="KMB1914" s="62">
        <v>13.28</v>
      </c>
      <c r="KMC1914" s="115">
        <v>19.489999999999998</v>
      </c>
      <c r="KMD1914" s="56">
        <v>18.98</v>
      </c>
      <c r="KME1914" s="56">
        <v>17.5</v>
      </c>
      <c r="KMF1914" s="62">
        <v>13.28</v>
      </c>
      <c r="KMG1914" s="115">
        <v>19.489999999999998</v>
      </c>
      <c r="KMH1914" s="56">
        <v>18.98</v>
      </c>
      <c r="KMI1914" s="56">
        <v>17.5</v>
      </c>
      <c r="KMJ1914" s="62">
        <v>13.28</v>
      </c>
      <c r="KMK1914" s="115">
        <v>19.489999999999998</v>
      </c>
      <c r="KML1914" s="56">
        <v>18.98</v>
      </c>
      <c r="KMM1914" s="56">
        <v>17.5</v>
      </c>
      <c r="KMN1914" s="62">
        <v>13.28</v>
      </c>
      <c r="KMO1914" s="115">
        <v>19.489999999999998</v>
      </c>
      <c r="KMP1914" s="56">
        <v>18.98</v>
      </c>
      <c r="KMQ1914" s="56">
        <v>17.5</v>
      </c>
      <c r="KMR1914" s="62">
        <v>13.28</v>
      </c>
      <c r="KMS1914" s="115">
        <v>19.489999999999998</v>
      </c>
      <c r="KMT1914" s="56">
        <v>18.98</v>
      </c>
      <c r="KMU1914" s="56">
        <v>17.5</v>
      </c>
      <c r="KMV1914" s="62">
        <v>13.28</v>
      </c>
      <c r="KMW1914" s="115">
        <v>19.489999999999998</v>
      </c>
      <c r="KMX1914" s="56">
        <v>18.98</v>
      </c>
      <c r="KMY1914" s="56">
        <v>17.5</v>
      </c>
      <c r="KMZ1914" s="62">
        <v>13.28</v>
      </c>
      <c r="KNA1914" s="115">
        <v>19.489999999999998</v>
      </c>
      <c r="KNB1914" s="56">
        <v>18.98</v>
      </c>
      <c r="KNC1914" s="56">
        <v>17.5</v>
      </c>
      <c r="KND1914" s="62">
        <v>13.28</v>
      </c>
      <c r="KNE1914" s="115">
        <v>19.489999999999998</v>
      </c>
      <c r="KNF1914" s="56">
        <v>18.98</v>
      </c>
      <c r="KNG1914" s="56">
        <v>17.5</v>
      </c>
      <c r="KNH1914" s="62">
        <v>13.28</v>
      </c>
      <c r="KNI1914" s="115">
        <v>19.489999999999998</v>
      </c>
      <c r="KNJ1914" s="56">
        <v>18.98</v>
      </c>
      <c r="KNK1914" s="56">
        <v>17.5</v>
      </c>
      <c r="KNL1914" s="62">
        <v>13.28</v>
      </c>
      <c r="KNM1914" s="115">
        <v>19.489999999999998</v>
      </c>
      <c r="KNN1914" s="56">
        <v>18.98</v>
      </c>
      <c r="KNO1914" s="56">
        <v>17.5</v>
      </c>
      <c r="KNP1914" s="62">
        <v>13.28</v>
      </c>
      <c r="KNQ1914" s="115">
        <v>19.489999999999998</v>
      </c>
      <c r="KNR1914" s="56">
        <v>18.98</v>
      </c>
      <c r="KNS1914" s="56">
        <v>17.5</v>
      </c>
      <c r="KNT1914" s="62">
        <v>13.28</v>
      </c>
      <c r="KNU1914" s="115">
        <v>19.489999999999998</v>
      </c>
      <c r="KNV1914" s="56">
        <v>18.98</v>
      </c>
      <c r="KNW1914" s="56">
        <v>17.5</v>
      </c>
      <c r="KNX1914" s="62">
        <v>13.28</v>
      </c>
      <c r="KNY1914" s="115">
        <v>19.489999999999998</v>
      </c>
      <c r="KNZ1914" s="56">
        <v>18.98</v>
      </c>
      <c r="KOA1914" s="56">
        <v>17.5</v>
      </c>
      <c r="KOB1914" s="62">
        <v>13.28</v>
      </c>
      <c r="KOC1914" s="115">
        <v>19.489999999999998</v>
      </c>
      <c r="KOD1914" s="56">
        <v>18.98</v>
      </c>
      <c r="KOE1914" s="56">
        <v>17.5</v>
      </c>
      <c r="KOF1914" s="62">
        <v>13.28</v>
      </c>
      <c r="KOG1914" s="115">
        <v>19.489999999999998</v>
      </c>
      <c r="KOH1914" s="56">
        <v>18.98</v>
      </c>
      <c r="KOI1914" s="56">
        <v>17.5</v>
      </c>
      <c r="KOJ1914" s="62">
        <v>13.28</v>
      </c>
      <c r="KOK1914" s="115">
        <v>19.489999999999998</v>
      </c>
      <c r="KOL1914" s="56">
        <v>18.98</v>
      </c>
      <c r="KOM1914" s="56">
        <v>17.5</v>
      </c>
      <c r="KON1914" s="62">
        <v>13.28</v>
      </c>
      <c r="KOO1914" s="115">
        <v>19.489999999999998</v>
      </c>
      <c r="KOP1914" s="56">
        <v>18.98</v>
      </c>
      <c r="KOQ1914" s="56">
        <v>17.5</v>
      </c>
      <c r="KOR1914" s="62">
        <v>13.28</v>
      </c>
      <c r="KOS1914" s="115">
        <v>19.489999999999998</v>
      </c>
      <c r="KOT1914" s="56">
        <v>18.98</v>
      </c>
      <c r="KOU1914" s="56">
        <v>17.5</v>
      </c>
      <c r="KOV1914" s="62">
        <v>13.28</v>
      </c>
      <c r="KOW1914" s="115">
        <v>19.489999999999998</v>
      </c>
      <c r="KOX1914" s="56">
        <v>18.98</v>
      </c>
      <c r="KOY1914" s="56">
        <v>17.5</v>
      </c>
      <c r="KOZ1914" s="62">
        <v>13.28</v>
      </c>
      <c r="KPA1914" s="115">
        <v>19.489999999999998</v>
      </c>
      <c r="KPB1914" s="56">
        <v>18.98</v>
      </c>
      <c r="KPC1914" s="56">
        <v>17.5</v>
      </c>
      <c r="KPD1914" s="62">
        <v>13.28</v>
      </c>
      <c r="KPE1914" s="115">
        <v>19.489999999999998</v>
      </c>
      <c r="KPF1914" s="56">
        <v>18.98</v>
      </c>
      <c r="KPG1914" s="56">
        <v>17.5</v>
      </c>
      <c r="KPH1914" s="62">
        <v>13.28</v>
      </c>
      <c r="KPI1914" s="115">
        <v>19.489999999999998</v>
      </c>
      <c r="KPJ1914" s="56">
        <v>18.98</v>
      </c>
      <c r="KPK1914" s="56">
        <v>17.5</v>
      </c>
      <c r="KPL1914" s="62">
        <v>13.28</v>
      </c>
      <c r="KPM1914" s="115">
        <v>19.489999999999998</v>
      </c>
      <c r="KPN1914" s="56">
        <v>18.98</v>
      </c>
      <c r="KPO1914" s="56">
        <v>17.5</v>
      </c>
      <c r="KPP1914" s="62">
        <v>13.28</v>
      </c>
      <c r="KPQ1914" s="115">
        <v>19.489999999999998</v>
      </c>
      <c r="KPR1914" s="56">
        <v>18.98</v>
      </c>
      <c r="KPS1914" s="56">
        <v>17.5</v>
      </c>
      <c r="KPT1914" s="62">
        <v>13.28</v>
      </c>
      <c r="KPU1914" s="115">
        <v>19.489999999999998</v>
      </c>
      <c r="KPV1914" s="56">
        <v>18.98</v>
      </c>
      <c r="KPW1914" s="56">
        <v>17.5</v>
      </c>
      <c r="KPX1914" s="62">
        <v>13.28</v>
      </c>
      <c r="KPY1914" s="115">
        <v>19.489999999999998</v>
      </c>
      <c r="KPZ1914" s="56">
        <v>18.98</v>
      </c>
      <c r="KQA1914" s="56">
        <v>17.5</v>
      </c>
      <c r="KQB1914" s="62">
        <v>13.28</v>
      </c>
      <c r="KQC1914" s="115">
        <v>19.489999999999998</v>
      </c>
      <c r="KQD1914" s="56">
        <v>18.98</v>
      </c>
      <c r="KQE1914" s="56">
        <v>17.5</v>
      </c>
      <c r="KQF1914" s="62">
        <v>13.28</v>
      </c>
      <c r="KQG1914" s="115">
        <v>19.489999999999998</v>
      </c>
      <c r="KQH1914" s="56">
        <v>18.98</v>
      </c>
      <c r="KQI1914" s="56">
        <v>17.5</v>
      </c>
      <c r="KQJ1914" s="62">
        <v>13.28</v>
      </c>
      <c r="KQK1914" s="115">
        <v>19.489999999999998</v>
      </c>
      <c r="KQL1914" s="56">
        <v>18.98</v>
      </c>
      <c r="KQM1914" s="56">
        <v>17.5</v>
      </c>
      <c r="KQN1914" s="62">
        <v>13.28</v>
      </c>
      <c r="KQO1914" s="115">
        <v>19.489999999999998</v>
      </c>
      <c r="KQP1914" s="56">
        <v>18.98</v>
      </c>
      <c r="KQQ1914" s="56">
        <v>17.5</v>
      </c>
      <c r="KQR1914" s="62">
        <v>13.28</v>
      </c>
      <c r="KQS1914" s="115">
        <v>19.489999999999998</v>
      </c>
      <c r="KQT1914" s="56">
        <v>18.98</v>
      </c>
      <c r="KQU1914" s="56">
        <v>17.5</v>
      </c>
      <c r="KQV1914" s="62">
        <v>13.28</v>
      </c>
      <c r="KQW1914" s="115">
        <v>19.489999999999998</v>
      </c>
      <c r="KQX1914" s="56">
        <v>18.98</v>
      </c>
      <c r="KQY1914" s="56">
        <v>17.5</v>
      </c>
      <c r="KQZ1914" s="62">
        <v>13.28</v>
      </c>
      <c r="KRA1914" s="115">
        <v>19.489999999999998</v>
      </c>
      <c r="KRB1914" s="56">
        <v>18.98</v>
      </c>
      <c r="KRC1914" s="56">
        <v>17.5</v>
      </c>
      <c r="KRD1914" s="62">
        <v>13.28</v>
      </c>
      <c r="KRE1914" s="115">
        <v>19.489999999999998</v>
      </c>
      <c r="KRF1914" s="56">
        <v>18.98</v>
      </c>
      <c r="KRG1914" s="56">
        <v>17.5</v>
      </c>
      <c r="KRH1914" s="62">
        <v>13.28</v>
      </c>
      <c r="KRI1914" s="115">
        <v>19.489999999999998</v>
      </c>
      <c r="KRJ1914" s="56">
        <v>18.98</v>
      </c>
      <c r="KRK1914" s="56">
        <v>17.5</v>
      </c>
      <c r="KRL1914" s="62">
        <v>13.28</v>
      </c>
      <c r="KRM1914" s="115">
        <v>19.489999999999998</v>
      </c>
      <c r="KRN1914" s="56">
        <v>18.98</v>
      </c>
      <c r="KRO1914" s="56">
        <v>17.5</v>
      </c>
      <c r="KRP1914" s="62">
        <v>13.28</v>
      </c>
      <c r="KRQ1914" s="115">
        <v>19.489999999999998</v>
      </c>
      <c r="KRR1914" s="56">
        <v>18.98</v>
      </c>
      <c r="KRS1914" s="56">
        <v>17.5</v>
      </c>
      <c r="KRT1914" s="62">
        <v>13.28</v>
      </c>
      <c r="KRU1914" s="115">
        <v>19.489999999999998</v>
      </c>
      <c r="KRV1914" s="56">
        <v>18.98</v>
      </c>
      <c r="KRW1914" s="56">
        <v>17.5</v>
      </c>
      <c r="KRX1914" s="62">
        <v>13.28</v>
      </c>
      <c r="KRY1914" s="115">
        <v>19.489999999999998</v>
      </c>
      <c r="KRZ1914" s="56">
        <v>18.98</v>
      </c>
      <c r="KSA1914" s="56">
        <v>17.5</v>
      </c>
      <c r="KSB1914" s="62">
        <v>13.28</v>
      </c>
      <c r="KSC1914" s="115">
        <v>19.489999999999998</v>
      </c>
      <c r="KSD1914" s="56">
        <v>18.98</v>
      </c>
      <c r="KSE1914" s="56">
        <v>17.5</v>
      </c>
      <c r="KSF1914" s="62">
        <v>13.28</v>
      </c>
      <c r="KSG1914" s="115">
        <v>19.489999999999998</v>
      </c>
      <c r="KSH1914" s="56">
        <v>18.98</v>
      </c>
      <c r="KSI1914" s="56">
        <v>17.5</v>
      </c>
      <c r="KSJ1914" s="62">
        <v>13.28</v>
      </c>
      <c r="KSK1914" s="115">
        <v>19.489999999999998</v>
      </c>
      <c r="KSL1914" s="56">
        <v>18.98</v>
      </c>
      <c r="KSM1914" s="56">
        <v>17.5</v>
      </c>
      <c r="KSN1914" s="62">
        <v>13.28</v>
      </c>
      <c r="KSO1914" s="115">
        <v>19.489999999999998</v>
      </c>
      <c r="KSP1914" s="56">
        <v>18.98</v>
      </c>
      <c r="KSQ1914" s="56">
        <v>17.5</v>
      </c>
      <c r="KSR1914" s="62">
        <v>13.28</v>
      </c>
      <c r="KSS1914" s="115">
        <v>19.489999999999998</v>
      </c>
      <c r="KST1914" s="56">
        <v>18.98</v>
      </c>
      <c r="KSU1914" s="56">
        <v>17.5</v>
      </c>
      <c r="KSV1914" s="62">
        <v>13.28</v>
      </c>
      <c r="KSW1914" s="115">
        <v>19.489999999999998</v>
      </c>
      <c r="KSX1914" s="56">
        <v>18.98</v>
      </c>
      <c r="KSY1914" s="56">
        <v>17.5</v>
      </c>
      <c r="KSZ1914" s="62">
        <v>13.28</v>
      </c>
      <c r="KTA1914" s="115">
        <v>19.489999999999998</v>
      </c>
      <c r="KTB1914" s="56">
        <v>18.98</v>
      </c>
      <c r="KTC1914" s="56">
        <v>17.5</v>
      </c>
      <c r="KTD1914" s="62">
        <v>13.28</v>
      </c>
      <c r="KTE1914" s="115">
        <v>19.489999999999998</v>
      </c>
      <c r="KTF1914" s="56">
        <v>18.98</v>
      </c>
      <c r="KTG1914" s="56">
        <v>17.5</v>
      </c>
      <c r="KTH1914" s="62">
        <v>13.28</v>
      </c>
      <c r="KTI1914" s="115">
        <v>19.489999999999998</v>
      </c>
      <c r="KTJ1914" s="56">
        <v>18.98</v>
      </c>
      <c r="KTK1914" s="56">
        <v>17.5</v>
      </c>
      <c r="KTL1914" s="62">
        <v>13.28</v>
      </c>
      <c r="KTM1914" s="115">
        <v>19.489999999999998</v>
      </c>
      <c r="KTN1914" s="56">
        <v>18.98</v>
      </c>
      <c r="KTO1914" s="56">
        <v>17.5</v>
      </c>
      <c r="KTP1914" s="62">
        <v>13.28</v>
      </c>
      <c r="KTQ1914" s="115">
        <v>19.489999999999998</v>
      </c>
      <c r="KTR1914" s="56">
        <v>18.98</v>
      </c>
      <c r="KTS1914" s="56">
        <v>17.5</v>
      </c>
      <c r="KTT1914" s="62">
        <v>13.28</v>
      </c>
      <c r="KTU1914" s="115">
        <v>19.489999999999998</v>
      </c>
      <c r="KTV1914" s="56">
        <v>18.98</v>
      </c>
      <c r="KTW1914" s="56">
        <v>17.5</v>
      </c>
      <c r="KTX1914" s="62">
        <v>13.28</v>
      </c>
      <c r="KTY1914" s="115">
        <v>19.489999999999998</v>
      </c>
      <c r="KTZ1914" s="56">
        <v>18.98</v>
      </c>
      <c r="KUA1914" s="56">
        <v>17.5</v>
      </c>
      <c r="KUB1914" s="62">
        <v>13.28</v>
      </c>
      <c r="KUC1914" s="115">
        <v>19.489999999999998</v>
      </c>
      <c r="KUD1914" s="56">
        <v>18.98</v>
      </c>
      <c r="KUE1914" s="56">
        <v>17.5</v>
      </c>
      <c r="KUF1914" s="62">
        <v>13.28</v>
      </c>
      <c r="KUG1914" s="115">
        <v>19.489999999999998</v>
      </c>
      <c r="KUH1914" s="56">
        <v>18.98</v>
      </c>
      <c r="KUI1914" s="56">
        <v>17.5</v>
      </c>
      <c r="KUJ1914" s="62">
        <v>13.28</v>
      </c>
      <c r="KUK1914" s="115">
        <v>19.489999999999998</v>
      </c>
      <c r="KUL1914" s="56">
        <v>18.98</v>
      </c>
      <c r="KUM1914" s="56">
        <v>17.5</v>
      </c>
      <c r="KUN1914" s="62">
        <v>13.28</v>
      </c>
      <c r="KUO1914" s="115">
        <v>19.489999999999998</v>
      </c>
      <c r="KUP1914" s="56">
        <v>18.98</v>
      </c>
      <c r="KUQ1914" s="56">
        <v>17.5</v>
      </c>
      <c r="KUR1914" s="62">
        <v>13.28</v>
      </c>
      <c r="KUS1914" s="115">
        <v>19.489999999999998</v>
      </c>
      <c r="KUT1914" s="56">
        <v>18.98</v>
      </c>
      <c r="KUU1914" s="56">
        <v>17.5</v>
      </c>
      <c r="KUV1914" s="62">
        <v>13.28</v>
      </c>
      <c r="KUW1914" s="115">
        <v>19.489999999999998</v>
      </c>
      <c r="KUX1914" s="56">
        <v>18.98</v>
      </c>
      <c r="KUY1914" s="56">
        <v>17.5</v>
      </c>
      <c r="KUZ1914" s="62">
        <v>13.28</v>
      </c>
      <c r="KVA1914" s="115">
        <v>19.489999999999998</v>
      </c>
      <c r="KVB1914" s="56">
        <v>18.98</v>
      </c>
      <c r="KVC1914" s="56">
        <v>17.5</v>
      </c>
      <c r="KVD1914" s="62">
        <v>13.28</v>
      </c>
      <c r="KVE1914" s="115">
        <v>19.489999999999998</v>
      </c>
      <c r="KVF1914" s="56">
        <v>18.98</v>
      </c>
      <c r="KVG1914" s="56">
        <v>17.5</v>
      </c>
      <c r="KVH1914" s="62">
        <v>13.28</v>
      </c>
      <c r="KVI1914" s="115">
        <v>19.489999999999998</v>
      </c>
      <c r="KVJ1914" s="56">
        <v>18.98</v>
      </c>
      <c r="KVK1914" s="56">
        <v>17.5</v>
      </c>
      <c r="KVL1914" s="62">
        <v>13.28</v>
      </c>
      <c r="KVM1914" s="115">
        <v>19.489999999999998</v>
      </c>
      <c r="KVN1914" s="56">
        <v>18.98</v>
      </c>
      <c r="KVO1914" s="56">
        <v>17.5</v>
      </c>
      <c r="KVP1914" s="62">
        <v>13.28</v>
      </c>
      <c r="KVQ1914" s="115">
        <v>19.489999999999998</v>
      </c>
      <c r="KVR1914" s="56">
        <v>18.98</v>
      </c>
      <c r="KVS1914" s="56">
        <v>17.5</v>
      </c>
      <c r="KVT1914" s="62">
        <v>13.28</v>
      </c>
      <c r="KVU1914" s="115">
        <v>19.489999999999998</v>
      </c>
      <c r="KVV1914" s="56">
        <v>18.98</v>
      </c>
      <c r="KVW1914" s="56">
        <v>17.5</v>
      </c>
      <c r="KVX1914" s="62">
        <v>13.28</v>
      </c>
      <c r="KVY1914" s="115">
        <v>19.489999999999998</v>
      </c>
      <c r="KVZ1914" s="56">
        <v>18.98</v>
      </c>
      <c r="KWA1914" s="56">
        <v>17.5</v>
      </c>
      <c r="KWB1914" s="62">
        <v>13.28</v>
      </c>
      <c r="KWC1914" s="115">
        <v>19.489999999999998</v>
      </c>
      <c r="KWD1914" s="56">
        <v>18.98</v>
      </c>
      <c r="KWE1914" s="56">
        <v>17.5</v>
      </c>
      <c r="KWF1914" s="62">
        <v>13.28</v>
      </c>
      <c r="KWG1914" s="115">
        <v>19.489999999999998</v>
      </c>
      <c r="KWH1914" s="56">
        <v>18.98</v>
      </c>
      <c r="KWI1914" s="56">
        <v>17.5</v>
      </c>
      <c r="KWJ1914" s="62">
        <v>13.28</v>
      </c>
      <c r="KWK1914" s="115">
        <v>19.489999999999998</v>
      </c>
      <c r="KWL1914" s="56">
        <v>18.98</v>
      </c>
      <c r="KWM1914" s="56">
        <v>17.5</v>
      </c>
      <c r="KWN1914" s="62">
        <v>13.28</v>
      </c>
      <c r="KWO1914" s="115">
        <v>19.489999999999998</v>
      </c>
      <c r="KWP1914" s="56">
        <v>18.98</v>
      </c>
      <c r="KWQ1914" s="56">
        <v>17.5</v>
      </c>
      <c r="KWR1914" s="62">
        <v>13.28</v>
      </c>
      <c r="KWS1914" s="115">
        <v>19.489999999999998</v>
      </c>
      <c r="KWT1914" s="56">
        <v>18.98</v>
      </c>
      <c r="KWU1914" s="56">
        <v>17.5</v>
      </c>
      <c r="KWV1914" s="62">
        <v>13.28</v>
      </c>
      <c r="KWW1914" s="115">
        <v>19.489999999999998</v>
      </c>
      <c r="KWX1914" s="56">
        <v>18.98</v>
      </c>
      <c r="KWY1914" s="56">
        <v>17.5</v>
      </c>
      <c r="KWZ1914" s="62">
        <v>13.28</v>
      </c>
      <c r="KXA1914" s="115">
        <v>19.489999999999998</v>
      </c>
      <c r="KXB1914" s="56">
        <v>18.98</v>
      </c>
      <c r="KXC1914" s="56">
        <v>17.5</v>
      </c>
      <c r="KXD1914" s="62">
        <v>13.28</v>
      </c>
      <c r="KXE1914" s="115">
        <v>19.489999999999998</v>
      </c>
      <c r="KXF1914" s="56">
        <v>18.98</v>
      </c>
      <c r="KXG1914" s="56">
        <v>17.5</v>
      </c>
      <c r="KXH1914" s="62">
        <v>13.28</v>
      </c>
      <c r="KXI1914" s="115">
        <v>19.489999999999998</v>
      </c>
      <c r="KXJ1914" s="56">
        <v>18.98</v>
      </c>
      <c r="KXK1914" s="56">
        <v>17.5</v>
      </c>
      <c r="KXL1914" s="62">
        <v>13.28</v>
      </c>
      <c r="KXM1914" s="115">
        <v>19.489999999999998</v>
      </c>
      <c r="KXN1914" s="56">
        <v>18.98</v>
      </c>
      <c r="KXO1914" s="56">
        <v>17.5</v>
      </c>
      <c r="KXP1914" s="62">
        <v>13.28</v>
      </c>
      <c r="KXQ1914" s="115">
        <v>19.489999999999998</v>
      </c>
      <c r="KXR1914" s="56">
        <v>18.98</v>
      </c>
      <c r="KXS1914" s="56">
        <v>17.5</v>
      </c>
      <c r="KXT1914" s="62">
        <v>13.28</v>
      </c>
      <c r="KXU1914" s="115">
        <v>19.489999999999998</v>
      </c>
      <c r="KXV1914" s="56">
        <v>18.98</v>
      </c>
      <c r="KXW1914" s="56">
        <v>17.5</v>
      </c>
      <c r="KXX1914" s="62">
        <v>13.28</v>
      </c>
      <c r="KXY1914" s="115">
        <v>19.489999999999998</v>
      </c>
      <c r="KXZ1914" s="56">
        <v>18.98</v>
      </c>
      <c r="KYA1914" s="56">
        <v>17.5</v>
      </c>
      <c r="KYB1914" s="62">
        <v>13.28</v>
      </c>
      <c r="KYC1914" s="115">
        <v>19.489999999999998</v>
      </c>
      <c r="KYD1914" s="56">
        <v>18.98</v>
      </c>
      <c r="KYE1914" s="56">
        <v>17.5</v>
      </c>
      <c r="KYF1914" s="62">
        <v>13.28</v>
      </c>
      <c r="KYG1914" s="115">
        <v>19.489999999999998</v>
      </c>
      <c r="KYH1914" s="56">
        <v>18.98</v>
      </c>
      <c r="KYI1914" s="56">
        <v>17.5</v>
      </c>
      <c r="KYJ1914" s="62">
        <v>13.28</v>
      </c>
      <c r="KYK1914" s="115">
        <v>19.489999999999998</v>
      </c>
      <c r="KYL1914" s="56">
        <v>18.98</v>
      </c>
      <c r="KYM1914" s="56">
        <v>17.5</v>
      </c>
      <c r="KYN1914" s="62">
        <v>13.28</v>
      </c>
      <c r="KYO1914" s="115">
        <v>19.489999999999998</v>
      </c>
      <c r="KYP1914" s="56">
        <v>18.98</v>
      </c>
      <c r="KYQ1914" s="56">
        <v>17.5</v>
      </c>
      <c r="KYR1914" s="62">
        <v>13.28</v>
      </c>
      <c r="KYS1914" s="115">
        <v>19.489999999999998</v>
      </c>
      <c r="KYT1914" s="56">
        <v>18.98</v>
      </c>
      <c r="KYU1914" s="56">
        <v>17.5</v>
      </c>
      <c r="KYV1914" s="62">
        <v>13.28</v>
      </c>
      <c r="KYW1914" s="115">
        <v>19.489999999999998</v>
      </c>
      <c r="KYX1914" s="56">
        <v>18.98</v>
      </c>
      <c r="KYY1914" s="56">
        <v>17.5</v>
      </c>
      <c r="KYZ1914" s="62">
        <v>13.28</v>
      </c>
      <c r="KZA1914" s="115">
        <v>19.489999999999998</v>
      </c>
      <c r="KZB1914" s="56">
        <v>18.98</v>
      </c>
      <c r="KZC1914" s="56">
        <v>17.5</v>
      </c>
      <c r="KZD1914" s="62">
        <v>13.28</v>
      </c>
      <c r="KZE1914" s="115">
        <v>19.489999999999998</v>
      </c>
      <c r="KZF1914" s="56">
        <v>18.98</v>
      </c>
      <c r="KZG1914" s="56">
        <v>17.5</v>
      </c>
      <c r="KZH1914" s="62">
        <v>13.28</v>
      </c>
      <c r="KZI1914" s="115">
        <v>19.489999999999998</v>
      </c>
      <c r="KZJ1914" s="56">
        <v>18.98</v>
      </c>
      <c r="KZK1914" s="56">
        <v>17.5</v>
      </c>
      <c r="KZL1914" s="62">
        <v>13.28</v>
      </c>
      <c r="KZM1914" s="115">
        <v>19.489999999999998</v>
      </c>
      <c r="KZN1914" s="56">
        <v>18.98</v>
      </c>
      <c r="KZO1914" s="56">
        <v>17.5</v>
      </c>
      <c r="KZP1914" s="62">
        <v>13.28</v>
      </c>
      <c r="KZQ1914" s="115">
        <v>19.489999999999998</v>
      </c>
      <c r="KZR1914" s="56">
        <v>18.98</v>
      </c>
      <c r="KZS1914" s="56">
        <v>17.5</v>
      </c>
      <c r="KZT1914" s="62">
        <v>13.28</v>
      </c>
      <c r="KZU1914" s="115">
        <v>19.489999999999998</v>
      </c>
      <c r="KZV1914" s="56">
        <v>18.98</v>
      </c>
      <c r="KZW1914" s="56">
        <v>17.5</v>
      </c>
      <c r="KZX1914" s="62">
        <v>13.28</v>
      </c>
      <c r="KZY1914" s="115">
        <v>19.489999999999998</v>
      </c>
      <c r="KZZ1914" s="56">
        <v>18.98</v>
      </c>
      <c r="LAA1914" s="56">
        <v>17.5</v>
      </c>
      <c r="LAB1914" s="62">
        <v>13.28</v>
      </c>
      <c r="LAC1914" s="115">
        <v>19.489999999999998</v>
      </c>
      <c r="LAD1914" s="56">
        <v>18.98</v>
      </c>
      <c r="LAE1914" s="56">
        <v>17.5</v>
      </c>
      <c r="LAF1914" s="62">
        <v>13.28</v>
      </c>
      <c r="LAG1914" s="115">
        <v>19.489999999999998</v>
      </c>
      <c r="LAH1914" s="56">
        <v>18.98</v>
      </c>
      <c r="LAI1914" s="56">
        <v>17.5</v>
      </c>
      <c r="LAJ1914" s="62">
        <v>13.28</v>
      </c>
      <c r="LAK1914" s="115">
        <v>19.489999999999998</v>
      </c>
      <c r="LAL1914" s="56">
        <v>18.98</v>
      </c>
      <c r="LAM1914" s="56">
        <v>17.5</v>
      </c>
      <c r="LAN1914" s="62">
        <v>13.28</v>
      </c>
      <c r="LAO1914" s="115">
        <v>19.489999999999998</v>
      </c>
      <c r="LAP1914" s="56">
        <v>18.98</v>
      </c>
      <c r="LAQ1914" s="56">
        <v>17.5</v>
      </c>
      <c r="LAR1914" s="62">
        <v>13.28</v>
      </c>
      <c r="LAS1914" s="115">
        <v>19.489999999999998</v>
      </c>
      <c r="LAT1914" s="56">
        <v>18.98</v>
      </c>
      <c r="LAU1914" s="56">
        <v>17.5</v>
      </c>
      <c r="LAV1914" s="62">
        <v>13.28</v>
      </c>
      <c r="LAW1914" s="115">
        <v>19.489999999999998</v>
      </c>
      <c r="LAX1914" s="56">
        <v>18.98</v>
      </c>
      <c r="LAY1914" s="56">
        <v>17.5</v>
      </c>
      <c r="LAZ1914" s="62">
        <v>13.28</v>
      </c>
      <c r="LBA1914" s="115">
        <v>19.489999999999998</v>
      </c>
      <c r="LBB1914" s="56">
        <v>18.98</v>
      </c>
      <c r="LBC1914" s="56">
        <v>17.5</v>
      </c>
      <c r="LBD1914" s="62">
        <v>13.28</v>
      </c>
      <c r="LBE1914" s="115">
        <v>19.489999999999998</v>
      </c>
      <c r="LBF1914" s="56">
        <v>18.98</v>
      </c>
      <c r="LBG1914" s="56">
        <v>17.5</v>
      </c>
      <c r="LBH1914" s="62">
        <v>13.28</v>
      </c>
      <c r="LBI1914" s="115">
        <v>19.489999999999998</v>
      </c>
      <c r="LBJ1914" s="56">
        <v>18.98</v>
      </c>
      <c r="LBK1914" s="56">
        <v>17.5</v>
      </c>
      <c r="LBL1914" s="62">
        <v>13.28</v>
      </c>
      <c r="LBM1914" s="115">
        <v>19.489999999999998</v>
      </c>
      <c r="LBN1914" s="56">
        <v>18.98</v>
      </c>
      <c r="LBO1914" s="56">
        <v>17.5</v>
      </c>
      <c r="LBP1914" s="62">
        <v>13.28</v>
      </c>
      <c r="LBQ1914" s="115">
        <v>19.489999999999998</v>
      </c>
      <c r="LBR1914" s="56">
        <v>18.98</v>
      </c>
      <c r="LBS1914" s="56">
        <v>17.5</v>
      </c>
      <c r="LBT1914" s="62">
        <v>13.28</v>
      </c>
      <c r="LBU1914" s="115">
        <v>19.489999999999998</v>
      </c>
      <c r="LBV1914" s="56">
        <v>18.98</v>
      </c>
      <c r="LBW1914" s="56">
        <v>17.5</v>
      </c>
      <c r="LBX1914" s="62">
        <v>13.28</v>
      </c>
      <c r="LBY1914" s="115">
        <v>19.489999999999998</v>
      </c>
      <c r="LBZ1914" s="56">
        <v>18.98</v>
      </c>
      <c r="LCA1914" s="56">
        <v>17.5</v>
      </c>
      <c r="LCB1914" s="62">
        <v>13.28</v>
      </c>
      <c r="LCC1914" s="115">
        <v>19.489999999999998</v>
      </c>
      <c r="LCD1914" s="56">
        <v>18.98</v>
      </c>
      <c r="LCE1914" s="56">
        <v>17.5</v>
      </c>
      <c r="LCF1914" s="62">
        <v>13.28</v>
      </c>
      <c r="LCG1914" s="115">
        <v>19.489999999999998</v>
      </c>
      <c r="LCH1914" s="56">
        <v>18.98</v>
      </c>
      <c r="LCI1914" s="56">
        <v>17.5</v>
      </c>
      <c r="LCJ1914" s="62">
        <v>13.28</v>
      </c>
      <c r="LCK1914" s="115">
        <v>19.489999999999998</v>
      </c>
      <c r="LCL1914" s="56">
        <v>18.98</v>
      </c>
      <c r="LCM1914" s="56">
        <v>17.5</v>
      </c>
      <c r="LCN1914" s="62">
        <v>13.28</v>
      </c>
      <c r="LCO1914" s="115">
        <v>19.489999999999998</v>
      </c>
      <c r="LCP1914" s="56">
        <v>18.98</v>
      </c>
      <c r="LCQ1914" s="56">
        <v>17.5</v>
      </c>
      <c r="LCR1914" s="62">
        <v>13.28</v>
      </c>
      <c r="LCS1914" s="115">
        <v>19.489999999999998</v>
      </c>
      <c r="LCT1914" s="56">
        <v>18.98</v>
      </c>
      <c r="LCU1914" s="56">
        <v>17.5</v>
      </c>
      <c r="LCV1914" s="62">
        <v>13.28</v>
      </c>
      <c r="LCW1914" s="115">
        <v>19.489999999999998</v>
      </c>
      <c r="LCX1914" s="56">
        <v>18.98</v>
      </c>
      <c r="LCY1914" s="56">
        <v>17.5</v>
      </c>
      <c r="LCZ1914" s="62">
        <v>13.28</v>
      </c>
      <c r="LDA1914" s="115">
        <v>19.489999999999998</v>
      </c>
      <c r="LDB1914" s="56">
        <v>18.98</v>
      </c>
      <c r="LDC1914" s="56">
        <v>17.5</v>
      </c>
      <c r="LDD1914" s="62">
        <v>13.28</v>
      </c>
      <c r="LDE1914" s="115">
        <v>19.489999999999998</v>
      </c>
      <c r="LDF1914" s="56">
        <v>18.98</v>
      </c>
      <c r="LDG1914" s="56">
        <v>17.5</v>
      </c>
      <c r="LDH1914" s="62">
        <v>13.28</v>
      </c>
      <c r="LDI1914" s="115">
        <v>19.489999999999998</v>
      </c>
      <c r="LDJ1914" s="56">
        <v>18.98</v>
      </c>
      <c r="LDK1914" s="56">
        <v>17.5</v>
      </c>
      <c r="LDL1914" s="62">
        <v>13.28</v>
      </c>
      <c r="LDM1914" s="115">
        <v>19.489999999999998</v>
      </c>
      <c r="LDN1914" s="56">
        <v>18.98</v>
      </c>
      <c r="LDO1914" s="56">
        <v>17.5</v>
      </c>
      <c r="LDP1914" s="62">
        <v>13.28</v>
      </c>
      <c r="LDQ1914" s="115">
        <v>19.489999999999998</v>
      </c>
      <c r="LDR1914" s="56">
        <v>18.98</v>
      </c>
      <c r="LDS1914" s="56">
        <v>17.5</v>
      </c>
      <c r="LDT1914" s="62">
        <v>13.28</v>
      </c>
      <c r="LDU1914" s="115">
        <v>19.489999999999998</v>
      </c>
      <c r="LDV1914" s="56">
        <v>18.98</v>
      </c>
      <c r="LDW1914" s="56">
        <v>17.5</v>
      </c>
      <c r="LDX1914" s="62">
        <v>13.28</v>
      </c>
      <c r="LDY1914" s="115">
        <v>19.489999999999998</v>
      </c>
      <c r="LDZ1914" s="56">
        <v>18.98</v>
      </c>
      <c r="LEA1914" s="56">
        <v>17.5</v>
      </c>
      <c r="LEB1914" s="62">
        <v>13.28</v>
      </c>
      <c r="LEC1914" s="115">
        <v>19.489999999999998</v>
      </c>
      <c r="LED1914" s="56">
        <v>18.98</v>
      </c>
      <c r="LEE1914" s="56">
        <v>17.5</v>
      </c>
      <c r="LEF1914" s="62">
        <v>13.28</v>
      </c>
      <c r="LEG1914" s="115">
        <v>19.489999999999998</v>
      </c>
      <c r="LEH1914" s="56">
        <v>18.98</v>
      </c>
      <c r="LEI1914" s="56">
        <v>17.5</v>
      </c>
      <c r="LEJ1914" s="62">
        <v>13.28</v>
      </c>
      <c r="LEK1914" s="115">
        <v>19.489999999999998</v>
      </c>
      <c r="LEL1914" s="56">
        <v>18.98</v>
      </c>
      <c r="LEM1914" s="56">
        <v>17.5</v>
      </c>
      <c r="LEN1914" s="62">
        <v>13.28</v>
      </c>
      <c r="LEO1914" s="115">
        <v>19.489999999999998</v>
      </c>
      <c r="LEP1914" s="56">
        <v>18.98</v>
      </c>
      <c r="LEQ1914" s="56">
        <v>17.5</v>
      </c>
      <c r="LER1914" s="62">
        <v>13.28</v>
      </c>
      <c r="LES1914" s="115">
        <v>19.489999999999998</v>
      </c>
      <c r="LET1914" s="56">
        <v>18.98</v>
      </c>
      <c r="LEU1914" s="56">
        <v>17.5</v>
      </c>
      <c r="LEV1914" s="62">
        <v>13.28</v>
      </c>
      <c r="LEW1914" s="115">
        <v>19.489999999999998</v>
      </c>
      <c r="LEX1914" s="56">
        <v>18.98</v>
      </c>
      <c r="LEY1914" s="56">
        <v>17.5</v>
      </c>
      <c r="LEZ1914" s="62">
        <v>13.28</v>
      </c>
      <c r="LFA1914" s="115">
        <v>19.489999999999998</v>
      </c>
      <c r="LFB1914" s="56">
        <v>18.98</v>
      </c>
      <c r="LFC1914" s="56">
        <v>17.5</v>
      </c>
      <c r="LFD1914" s="62">
        <v>13.28</v>
      </c>
      <c r="LFE1914" s="115">
        <v>19.489999999999998</v>
      </c>
      <c r="LFF1914" s="56">
        <v>18.98</v>
      </c>
      <c r="LFG1914" s="56">
        <v>17.5</v>
      </c>
      <c r="LFH1914" s="62">
        <v>13.28</v>
      </c>
      <c r="LFI1914" s="115">
        <v>19.489999999999998</v>
      </c>
      <c r="LFJ1914" s="56">
        <v>18.98</v>
      </c>
      <c r="LFK1914" s="56">
        <v>17.5</v>
      </c>
      <c r="LFL1914" s="62">
        <v>13.28</v>
      </c>
      <c r="LFM1914" s="115">
        <v>19.489999999999998</v>
      </c>
      <c r="LFN1914" s="56">
        <v>18.98</v>
      </c>
      <c r="LFO1914" s="56">
        <v>17.5</v>
      </c>
      <c r="LFP1914" s="62">
        <v>13.28</v>
      </c>
      <c r="LFQ1914" s="115">
        <v>19.489999999999998</v>
      </c>
      <c r="LFR1914" s="56">
        <v>18.98</v>
      </c>
      <c r="LFS1914" s="56">
        <v>17.5</v>
      </c>
      <c r="LFT1914" s="62">
        <v>13.28</v>
      </c>
      <c r="LFU1914" s="115">
        <v>19.489999999999998</v>
      </c>
      <c r="LFV1914" s="56">
        <v>18.98</v>
      </c>
      <c r="LFW1914" s="56">
        <v>17.5</v>
      </c>
      <c r="LFX1914" s="62">
        <v>13.28</v>
      </c>
      <c r="LFY1914" s="115">
        <v>19.489999999999998</v>
      </c>
      <c r="LFZ1914" s="56">
        <v>18.98</v>
      </c>
      <c r="LGA1914" s="56">
        <v>17.5</v>
      </c>
      <c r="LGB1914" s="62">
        <v>13.28</v>
      </c>
      <c r="LGC1914" s="115">
        <v>19.489999999999998</v>
      </c>
      <c r="LGD1914" s="56">
        <v>18.98</v>
      </c>
      <c r="LGE1914" s="56">
        <v>17.5</v>
      </c>
      <c r="LGF1914" s="62">
        <v>13.28</v>
      </c>
      <c r="LGG1914" s="115">
        <v>19.489999999999998</v>
      </c>
      <c r="LGH1914" s="56">
        <v>18.98</v>
      </c>
      <c r="LGI1914" s="56">
        <v>17.5</v>
      </c>
      <c r="LGJ1914" s="62">
        <v>13.28</v>
      </c>
      <c r="LGK1914" s="115">
        <v>19.489999999999998</v>
      </c>
      <c r="LGL1914" s="56">
        <v>18.98</v>
      </c>
      <c r="LGM1914" s="56">
        <v>17.5</v>
      </c>
      <c r="LGN1914" s="62">
        <v>13.28</v>
      </c>
      <c r="LGO1914" s="115">
        <v>19.489999999999998</v>
      </c>
      <c r="LGP1914" s="56">
        <v>18.98</v>
      </c>
      <c r="LGQ1914" s="56">
        <v>17.5</v>
      </c>
      <c r="LGR1914" s="62">
        <v>13.28</v>
      </c>
      <c r="LGS1914" s="115">
        <v>19.489999999999998</v>
      </c>
      <c r="LGT1914" s="56">
        <v>18.98</v>
      </c>
      <c r="LGU1914" s="56">
        <v>17.5</v>
      </c>
      <c r="LGV1914" s="62">
        <v>13.28</v>
      </c>
      <c r="LGW1914" s="115">
        <v>19.489999999999998</v>
      </c>
      <c r="LGX1914" s="56">
        <v>18.98</v>
      </c>
      <c r="LGY1914" s="56">
        <v>17.5</v>
      </c>
      <c r="LGZ1914" s="62">
        <v>13.28</v>
      </c>
      <c r="LHA1914" s="115">
        <v>19.489999999999998</v>
      </c>
      <c r="LHB1914" s="56">
        <v>18.98</v>
      </c>
      <c r="LHC1914" s="56">
        <v>17.5</v>
      </c>
      <c r="LHD1914" s="62">
        <v>13.28</v>
      </c>
      <c r="LHE1914" s="115">
        <v>19.489999999999998</v>
      </c>
      <c r="LHF1914" s="56">
        <v>18.98</v>
      </c>
      <c r="LHG1914" s="56">
        <v>17.5</v>
      </c>
      <c r="LHH1914" s="62">
        <v>13.28</v>
      </c>
      <c r="LHI1914" s="115">
        <v>19.489999999999998</v>
      </c>
      <c r="LHJ1914" s="56">
        <v>18.98</v>
      </c>
      <c r="LHK1914" s="56">
        <v>17.5</v>
      </c>
      <c r="LHL1914" s="62">
        <v>13.28</v>
      </c>
      <c r="LHM1914" s="115">
        <v>19.489999999999998</v>
      </c>
      <c r="LHN1914" s="56">
        <v>18.98</v>
      </c>
      <c r="LHO1914" s="56">
        <v>17.5</v>
      </c>
      <c r="LHP1914" s="62">
        <v>13.28</v>
      </c>
      <c r="LHQ1914" s="115">
        <v>19.489999999999998</v>
      </c>
      <c r="LHR1914" s="56">
        <v>18.98</v>
      </c>
      <c r="LHS1914" s="56">
        <v>17.5</v>
      </c>
      <c r="LHT1914" s="62">
        <v>13.28</v>
      </c>
      <c r="LHU1914" s="115">
        <v>19.489999999999998</v>
      </c>
      <c r="LHV1914" s="56">
        <v>18.98</v>
      </c>
      <c r="LHW1914" s="56">
        <v>17.5</v>
      </c>
      <c r="LHX1914" s="62">
        <v>13.28</v>
      </c>
      <c r="LHY1914" s="115">
        <v>19.489999999999998</v>
      </c>
      <c r="LHZ1914" s="56">
        <v>18.98</v>
      </c>
      <c r="LIA1914" s="56">
        <v>17.5</v>
      </c>
      <c r="LIB1914" s="62">
        <v>13.28</v>
      </c>
      <c r="LIC1914" s="115">
        <v>19.489999999999998</v>
      </c>
      <c r="LID1914" s="56">
        <v>18.98</v>
      </c>
      <c r="LIE1914" s="56">
        <v>17.5</v>
      </c>
      <c r="LIF1914" s="62">
        <v>13.28</v>
      </c>
      <c r="LIG1914" s="115">
        <v>19.489999999999998</v>
      </c>
      <c r="LIH1914" s="56">
        <v>18.98</v>
      </c>
      <c r="LII1914" s="56">
        <v>17.5</v>
      </c>
      <c r="LIJ1914" s="62">
        <v>13.28</v>
      </c>
      <c r="LIK1914" s="115">
        <v>19.489999999999998</v>
      </c>
      <c r="LIL1914" s="56">
        <v>18.98</v>
      </c>
      <c r="LIM1914" s="56">
        <v>17.5</v>
      </c>
      <c r="LIN1914" s="62">
        <v>13.28</v>
      </c>
      <c r="LIO1914" s="115">
        <v>19.489999999999998</v>
      </c>
      <c r="LIP1914" s="56">
        <v>18.98</v>
      </c>
      <c r="LIQ1914" s="56">
        <v>17.5</v>
      </c>
      <c r="LIR1914" s="62">
        <v>13.28</v>
      </c>
      <c r="LIS1914" s="115">
        <v>19.489999999999998</v>
      </c>
      <c r="LIT1914" s="56">
        <v>18.98</v>
      </c>
      <c r="LIU1914" s="56">
        <v>17.5</v>
      </c>
      <c r="LIV1914" s="62">
        <v>13.28</v>
      </c>
      <c r="LIW1914" s="115">
        <v>19.489999999999998</v>
      </c>
      <c r="LIX1914" s="56">
        <v>18.98</v>
      </c>
      <c r="LIY1914" s="56">
        <v>17.5</v>
      </c>
      <c r="LIZ1914" s="62">
        <v>13.28</v>
      </c>
      <c r="LJA1914" s="115">
        <v>19.489999999999998</v>
      </c>
      <c r="LJB1914" s="56">
        <v>18.98</v>
      </c>
      <c r="LJC1914" s="56">
        <v>17.5</v>
      </c>
      <c r="LJD1914" s="62">
        <v>13.28</v>
      </c>
      <c r="LJE1914" s="115">
        <v>19.489999999999998</v>
      </c>
      <c r="LJF1914" s="56">
        <v>18.98</v>
      </c>
      <c r="LJG1914" s="56">
        <v>17.5</v>
      </c>
      <c r="LJH1914" s="62">
        <v>13.28</v>
      </c>
      <c r="LJI1914" s="115">
        <v>19.489999999999998</v>
      </c>
      <c r="LJJ1914" s="56">
        <v>18.98</v>
      </c>
      <c r="LJK1914" s="56">
        <v>17.5</v>
      </c>
      <c r="LJL1914" s="62">
        <v>13.28</v>
      </c>
      <c r="LJM1914" s="115">
        <v>19.489999999999998</v>
      </c>
      <c r="LJN1914" s="56">
        <v>18.98</v>
      </c>
      <c r="LJO1914" s="56">
        <v>17.5</v>
      </c>
      <c r="LJP1914" s="62">
        <v>13.28</v>
      </c>
      <c r="LJQ1914" s="115">
        <v>19.489999999999998</v>
      </c>
      <c r="LJR1914" s="56">
        <v>18.98</v>
      </c>
      <c r="LJS1914" s="56">
        <v>17.5</v>
      </c>
      <c r="LJT1914" s="62">
        <v>13.28</v>
      </c>
      <c r="LJU1914" s="115">
        <v>19.489999999999998</v>
      </c>
      <c r="LJV1914" s="56">
        <v>18.98</v>
      </c>
      <c r="LJW1914" s="56">
        <v>17.5</v>
      </c>
      <c r="LJX1914" s="62">
        <v>13.28</v>
      </c>
      <c r="LJY1914" s="115">
        <v>19.489999999999998</v>
      </c>
      <c r="LJZ1914" s="56">
        <v>18.98</v>
      </c>
      <c r="LKA1914" s="56">
        <v>17.5</v>
      </c>
      <c r="LKB1914" s="62">
        <v>13.28</v>
      </c>
      <c r="LKC1914" s="115">
        <v>19.489999999999998</v>
      </c>
      <c r="LKD1914" s="56">
        <v>18.98</v>
      </c>
      <c r="LKE1914" s="56">
        <v>17.5</v>
      </c>
      <c r="LKF1914" s="62">
        <v>13.28</v>
      </c>
      <c r="LKG1914" s="115">
        <v>19.489999999999998</v>
      </c>
      <c r="LKH1914" s="56">
        <v>18.98</v>
      </c>
      <c r="LKI1914" s="56">
        <v>17.5</v>
      </c>
      <c r="LKJ1914" s="62">
        <v>13.28</v>
      </c>
      <c r="LKK1914" s="115">
        <v>19.489999999999998</v>
      </c>
      <c r="LKL1914" s="56">
        <v>18.98</v>
      </c>
      <c r="LKM1914" s="56">
        <v>17.5</v>
      </c>
      <c r="LKN1914" s="62">
        <v>13.28</v>
      </c>
      <c r="LKO1914" s="115">
        <v>19.489999999999998</v>
      </c>
      <c r="LKP1914" s="56">
        <v>18.98</v>
      </c>
      <c r="LKQ1914" s="56">
        <v>17.5</v>
      </c>
      <c r="LKR1914" s="62">
        <v>13.28</v>
      </c>
      <c r="LKS1914" s="115">
        <v>19.489999999999998</v>
      </c>
      <c r="LKT1914" s="56">
        <v>18.98</v>
      </c>
      <c r="LKU1914" s="56">
        <v>17.5</v>
      </c>
      <c r="LKV1914" s="62">
        <v>13.28</v>
      </c>
      <c r="LKW1914" s="115">
        <v>19.489999999999998</v>
      </c>
      <c r="LKX1914" s="56">
        <v>18.98</v>
      </c>
      <c r="LKY1914" s="56">
        <v>17.5</v>
      </c>
      <c r="LKZ1914" s="62">
        <v>13.28</v>
      </c>
      <c r="LLA1914" s="115">
        <v>19.489999999999998</v>
      </c>
      <c r="LLB1914" s="56">
        <v>18.98</v>
      </c>
      <c r="LLC1914" s="56">
        <v>17.5</v>
      </c>
      <c r="LLD1914" s="62">
        <v>13.28</v>
      </c>
      <c r="LLE1914" s="115">
        <v>19.489999999999998</v>
      </c>
      <c r="LLF1914" s="56">
        <v>18.98</v>
      </c>
      <c r="LLG1914" s="56">
        <v>17.5</v>
      </c>
      <c r="LLH1914" s="62">
        <v>13.28</v>
      </c>
      <c r="LLI1914" s="115">
        <v>19.489999999999998</v>
      </c>
      <c r="LLJ1914" s="56">
        <v>18.98</v>
      </c>
      <c r="LLK1914" s="56">
        <v>17.5</v>
      </c>
      <c r="LLL1914" s="62">
        <v>13.28</v>
      </c>
      <c r="LLM1914" s="115">
        <v>19.489999999999998</v>
      </c>
      <c r="LLN1914" s="56">
        <v>18.98</v>
      </c>
      <c r="LLO1914" s="56">
        <v>17.5</v>
      </c>
      <c r="LLP1914" s="62">
        <v>13.28</v>
      </c>
      <c r="LLQ1914" s="115">
        <v>19.489999999999998</v>
      </c>
      <c r="LLR1914" s="56">
        <v>18.98</v>
      </c>
      <c r="LLS1914" s="56">
        <v>17.5</v>
      </c>
      <c r="LLT1914" s="62">
        <v>13.28</v>
      </c>
      <c r="LLU1914" s="115">
        <v>19.489999999999998</v>
      </c>
      <c r="LLV1914" s="56">
        <v>18.98</v>
      </c>
      <c r="LLW1914" s="56">
        <v>17.5</v>
      </c>
      <c r="LLX1914" s="62">
        <v>13.28</v>
      </c>
      <c r="LLY1914" s="115">
        <v>19.489999999999998</v>
      </c>
      <c r="LLZ1914" s="56">
        <v>18.98</v>
      </c>
      <c r="LMA1914" s="56">
        <v>17.5</v>
      </c>
      <c r="LMB1914" s="62">
        <v>13.28</v>
      </c>
      <c r="LMC1914" s="115">
        <v>19.489999999999998</v>
      </c>
      <c r="LMD1914" s="56">
        <v>18.98</v>
      </c>
      <c r="LME1914" s="56">
        <v>17.5</v>
      </c>
      <c r="LMF1914" s="62">
        <v>13.28</v>
      </c>
      <c r="LMG1914" s="115">
        <v>19.489999999999998</v>
      </c>
      <c r="LMH1914" s="56">
        <v>18.98</v>
      </c>
      <c r="LMI1914" s="56">
        <v>17.5</v>
      </c>
      <c r="LMJ1914" s="62">
        <v>13.28</v>
      </c>
      <c r="LMK1914" s="115">
        <v>19.489999999999998</v>
      </c>
      <c r="LML1914" s="56">
        <v>18.98</v>
      </c>
      <c r="LMM1914" s="56">
        <v>17.5</v>
      </c>
      <c r="LMN1914" s="62">
        <v>13.28</v>
      </c>
      <c r="LMO1914" s="115">
        <v>19.489999999999998</v>
      </c>
      <c r="LMP1914" s="56">
        <v>18.98</v>
      </c>
      <c r="LMQ1914" s="56">
        <v>17.5</v>
      </c>
      <c r="LMR1914" s="62">
        <v>13.28</v>
      </c>
      <c r="LMS1914" s="115">
        <v>19.489999999999998</v>
      </c>
      <c r="LMT1914" s="56">
        <v>18.98</v>
      </c>
      <c r="LMU1914" s="56">
        <v>17.5</v>
      </c>
      <c r="LMV1914" s="62">
        <v>13.28</v>
      </c>
      <c r="LMW1914" s="115">
        <v>19.489999999999998</v>
      </c>
      <c r="LMX1914" s="56">
        <v>18.98</v>
      </c>
      <c r="LMY1914" s="56">
        <v>17.5</v>
      </c>
      <c r="LMZ1914" s="62">
        <v>13.28</v>
      </c>
      <c r="LNA1914" s="115">
        <v>19.489999999999998</v>
      </c>
      <c r="LNB1914" s="56">
        <v>18.98</v>
      </c>
      <c r="LNC1914" s="56">
        <v>17.5</v>
      </c>
      <c r="LND1914" s="62">
        <v>13.28</v>
      </c>
      <c r="LNE1914" s="115">
        <v>19.489999999999998</v>
      </c>
      <c r="LNF1914" s="56">
        <v>18.98</v>
      </c>
      <c r="LNG1914" s="56">
        <v>17.5</v>
      </c>
      <c r="LNH1914" s="62">
        <v>13.28</v>
      </c>
      <c r="LNI1914" s="115">
        <v>19.489999999999998</v>
      </c>
      <c r="LNJ1914" s="56">
        <v>18.98</v>
      </c>
      <c r="LNK1914" s="56">
        <v>17.5</v>
      </c>
      <c r="LNL1914" s="62">
        <v>13.28</v>
      </c>
      <c r="LNM1914" s="115">
        <v>19.489999999999998</v>
      </c>
      <c r="LNN1914" s="56">
        <v>18.98</v>
      </c>
      <c r="LNO1914" s="56">
        <v>17.5</v>
      </c>
      <c r="LNP1914" s="62">
        <v>13.28</v>
      </c>
      <c r="LNQ1914" s="115">
        <v>19.489999999999998</v>
      </c>
      <c r="LNR1914" s="56">
        <v>18.98</v>
      </c>
      <c r="LNS1914" s="56">
        <v>17.5</v>
      </c>
      <c r="LNT1914" s="62">
        <v>13.28</v>
      </c>
      <c r="LNU1914" s="115">
        <v>19.489999999999998</v>
      </c>
      <c r="LNV1914" s="56">
        <v>18.98</v>
      </c>
      <c r="LNW1914" s="56">
        <v>17.5</v>
      </c>
      <c r="LNX1914" s="62">
        <v>13.28</v>
      </c>
      <c r="LNY1914" s="115">
        <v>19.489999999999998</v>
      </c>
      <c r="LNZ1914" s="56">
        <v>18.98</v>
      </c>
      <c r="LOA1914" s="56">
        <v>17.5</v>
      </c>
      <c r="LOB1914" s="62">
        <v>13.28</v>
      </c>
      <c r="LOC1914" s="115">
        <v>19.489999999999998</v>
      </c>
      <c r="LOD1914" s="56">
        <v>18.98</v>
      </c>
      <c r="LOE1914" s="56">
        <v>17.5</v>
      </c>
      <c r="LOF1914" s="62">
        <v>13.28</v>
      </c>
      <c r="LOG1914" s="115">
        <v>19.489999999999998</v>
      </c>
      <c r="LOH1914" s="56">
        <v>18.98</v>
      </c>
      <c r="LOI1914" s="56">
        <v>17.5</v>
      </c>
      <c r="LOJ1914" s="62">
        <v>13.28</v>
      </c>
      <c r="LOK1914" s="115">
        <v>19.489999999999998</v>
      </c>
      <c r="LOL1914" s="56">
        <v>18.98</v>
      </c>
      <c r="LOM1914" s="56">
        <v>17.5</v>
      </c>
      <c r="LON1914" s="62">
        <v>13.28</v>
      </c>
      <c r="LOO1914" s="115">
        <v>19.489999999999998</v>
      </c>
      <c r="LOP1914" s="56">
        <v>18.98</v>
      </c>
      <c r="LOQ1914" s="56">
        <v>17.5</v>
      </c>
      <c r="LOR1914" s="62">
        <v>13.28</v>
      </c>
      <c r="LOS1914" s="115">
        <v>19.489999999999998</v>
      </c>
      <c r="LOT1914" s="56">
        <v>18.98</v>
      </c>
      <c r="LOU1914" s="56">
        <v>17.5</v>
      </c>
      <c r="LOV1914" s="62">
        <v>13.28</v>
      </c>
      <c r="LOW1914" s="115">
        <v>19.489999999999998</v>
      </c>
      <c r="LOX1914" s="56">
        <v>18.98</v>
      </c>
      <c r="LOY1914" s="56">
        <v>17.5</v>
      </c>
      <c r="LOZ1914" s="62">
        <v>13.28</v>
      </c>
      <c r="LPA1914" s="115">
        <v>19.489999999999998</v>
      </c>
      <c r="LPB1914" s="56">
        <v>18.98</v>
      </c>
      <c r="LPC1914" s="56">
        <v>17.5</v>
      </c>
      <c r="LPD1914" s="62">
        <v>13.28</v>
      </c>
      <c r="LPE1914" s="115">
        <v>19.489999999999998</v>
      </c>
      <c r="LPF1914" s="56">
        <v>18.98</v>
      </c>
      <c r="LPG1914" s="56">
        <v>17.5</v>
      </c>
      <c r="LPH1914" s="62">
        <v>13.28</v>
      </c>
      <c r="LPI1914" s="115">
        <v>19.489999999999998</v>
      </c>
      <c r="LPJ1914" s="56">
        <v>18.98</v>
      </c>
      <c r="LPK1914" s="56">
        <v>17.5</v>
      </c>
      <c r="LPL1914" s="62">
        <v>13.28</v>
      </c>
      <c r="LPM1914" s="115">
        <v>19.489999999999998</v>
      </c>
      <c r="LPN1914" s="56">
        <v>18.98</v>
      </c>
      <c r="LPO1914" s="56">
        <v>17.5</v>
      </c>
      <c r="LPP1914" s="62">
        <v>13.28</v>
      </c>
      <c r="LPQ1914" s="115">
        <v>19.489999999999998</v>
      </c>
      <c r="LPR1914" s="56">
        <v>18.98</v>
      </c>
      <c r="LPS1914" s="56">
        <v>17.5</v>
      </c>
      <c r="LPT1914" s="62">
        <v>13.28</v>
      </c>
      <c r="LPU1914" s="115">
        <v>19.489999999999998</v>
      </c>
      <c r="LPV1914" s="56">
        <v>18.98</v>
      </c>
      <c r="LPW1914" s="56">
        <v>17.5</v>
      </c>
      <c r="LPX1914" s="62">
        <v>13.28</v>
      </c>
      <c r="LPY1914" s="115">
        <v>19.489999999999998</v>
      </c>
      <c r="LPZ1914" s="56">
        <v>18.98</v>
      </c>
      <c r="LQA1914" s="56">
        <v>17.5</v>
      </c>
      <c r="LQB1914" s="62">
        <v>13.28</v>
      </c>
      <c r="LQC1914" s="115">
        <v>19.489999999999998</v>
      </c>
      <c r="LQD1914" s="56">
        <v>18.98</v>
      </c>
      <c r="LQE1914" s="56">
        <v>17.5</v>
      </c>
      <c r="LQF1914" s="62">
        <v>13.28</v>
      </c>
      <c r="LQG1914" s="115">
        <v>19.489999999999998</v>
      </c>
      <c r="LQH1914" s="56">
        <v>18.98</v>
      </c>
      <c r="LQI1914" s="56">
        <v>17.5</v>
      </c>
      <c r="LQJ1914" s="62">
        <v>13.28</v>
      </c>
      <c r="LQK1914" s="115">
        <v>19.489999999999998</v>
      </c>
      <c r="LQL1914" s="56">
        <v>18.98</v>
      </c>
      <c r="LQM1914" s="56">
        <v>17.5</v>
      </c>
      <c r="LQN1914" s="62">
        <v>13.28</v>
      </c>
      <c r="LQO1914" s="115">
        <v>19.489999999999998</v>
      </c>
      <c r="LQP1914" s="56">
        <v>18.98</v>
      </c>
      <c r="LQQ1914" s="56">
        <v>17.5</v>
      </c>
      <c r="LQR1914" s="62">
        <v>13.28</v>
      </c>
      <c r="LQS1914" s="115">
        <v>19.489999999999998</v>
      </c>
      <c r="LQT1914" s="56">
        <v>18.98</v>
      </c>
      <c r="LQU1914" s="56">
        <v>17.5</v>
      </c>
      <c r="LQV1914" s="62">
        <v>13.28</v>
      </c>
      <c r="LQW1914" s="115">
        <v>19.489999999999998</v>
      </c>
      <c r="LQX1914" s="56">
        <v>18.98</v>
      </c>
      <c r="LQY1914" s="56">
        <v>17.5</v>
      </c>
      <c r="LQZ1914" s="62">
        <v>13.28</v>
      </c>
      <c r="LRA1914" s="115">
        <v>19.489999999999998</v>
      </c>
      <c r="LRB1914" s="56">
        <v>18.98</v>
      </c>
      <c r="LRC1914" s="56">
        <v>17.5</v>
      </c>
      <c r="LRD1914" s="62">
        <v>13.28</v>
      </c>
      <c r="LRE1914" s="115">
        <v>19.489999999999998</v>
      </c>
      <c r="LRF1914" s="56">
        <v>18.98</v>
      </c>
      <c r="LRG1914" s="56">
        <v>17.5</v>
      </c>
      <c r="LRH1914" s="62">
        <v>13.28</v>
      </c>
      <c r="LRI1914" s="115">
        <v>19.489999999999998</v>
      </c>
      <c r="LRJ1914" s="56">
        <v>18.98</v>
      </c>
      <c r="LRK1914" s="56">
        <v>17.5</v>
      </c>
      <c r="LRL1914" s="62">
        <v>13.28</v>
      </c>
      <c r="LRM1914" s="115">
        <v>19.489999999999998</v>
      </c>
      <c r="LRN1914" s="56">
        <v>18.98</v>
      </c>
      <c r="LRO1914" s="56">
        <v>17.5</v>
      </c>
      <c r="LRP1914" s="62">
        <v>13.28</v>
      </c>
      <c r="LRQ1914" s="115">
        <v>19.489999999999998</v>
      </c>
      <c r="LRR1914" s="56">
        <v>18.98</v>
      </c>
      <c r="LRS1914" s="56">
        <v>17.5</v>
      </c>
      <c r="LRT1914" s="62">
        <v>13.28</v>
      </c>
      <c r="LRU1914" s="115">
        <v>19.489999999999998</v>
      </c>
      <c r="LRV1914" s="56">
        <v>18.98</v>
      </c>
      <c r="LRW1914" s="56">
        <v>17.5</v>
      </c>
      <c r="LRX1914" s="62">
        <v>13.28</v>
      </c>
      <c r="LRY1914" s="115">
        <v>19.489999999999998</v>
      </c>
      <c r="LRZ1914" s="56">
        <v>18.98</v>
      </c>
      <c r="LSA1914" s="56">
        <v>17.5</v>
      </c>
      <c r="LSB1914" s="62">
        <v>13.28</v>
      </c>
      <c r="LSC1914" s="115">
        <v>19.489999999999998</v>
      </c>
      <c r="LSD1914" s="56">
        <v>18.98</v>
      </c>
      <c r="LSE1914" s="56">
        <v>17.5</v>
      </c>
      <c r="LSF1914" s="62">
        <v>13.28</v>
      </c>
      <c r="LSG1914" s="115">
        <v>19.489999999999998</v>
      </c>
      <c r="LSH1914" s="56">
        <v>18.98</v>
      </c>
      <c r="LSI1914" s="56">
        <v>17.5</v>
      </c>
      <c r="LSJ1914" s="62">
        <v>13.28</v>
      </c>
      <c r="LSK1914" s="115">
        <v>19.489999999999998</v>
      </c>
      <c r="LSL1914" s="56">
        <v>18.98</v>
      </c>
      <c r="LSM1914" s="56">
        <v>17.5</v>
      </c>
      <c r="LSN1914" s="62">
        <v>13.28</v>
      </c>
      <c r="LSO1914" s="115">
        <v>19.489999999999998</v>
      </c>
      <c r="LSP1914" s="56">
        <v>18.98</v>
      </c>
      <c r="LSQ1914" s="56">
        <v>17.5</v>
      </c>
      <c r="LSR1914" s="62">
        <v>13.28</v>
      </c>
      <c r="LSS1914" s="115">
        <v>19.489999999999998</v>
      </c>
      <c r="LST1914" s="56">
        <v>18.98</v>
      </c>
      <c r="LSU1914" s="56">
        <v>17.5</v>
      </c>
      <c r="LSV1914" s="62">
        <v>13.28</v>
      </c>
      <c r="LSW1914" s="115">
        <v>19.489999999999998</v>
      </c>
      <c r="LSX1914" s="56">
        <v>18.98</v>
      </c>
      <c r="LSY1914" s="56">
        <v>17.5</v>
      </c>
      <c r="LSZ1914" s="62">
        <v>13.28</v>
      </c>
      <c r="LTA1914" s="115">
        <v>19.489999999999998</v>
      </c>
      <c r="LTB1914" s="56">
        <v>18.98</v>
      </c>
      <c r="LTC1914" s="56">
        <v>17.5</v>
      </c>
      <c r="LTD1914" s="62">
        <v>13.28</v>
      </c>
      <c r="LTE1914" s="115">
        <v>19.489999999999998</v>
      </c>
      <c r="LTF1914" s="56">
        <v>18.98</v>
      </c>
      <c r="LTG1914" s="56">
        <v>17.5</v>
      </c>
      <c r="LTH1914" s="62">
        <v>13.28</v>
      </c>
      <c r="LTI1914" s="115">
        <v>19.489999999999998</v>
      </c>
      <c r="LTJ1914" s="56">
        <v>18.98</v>
      </c>
      <c r="LTK1914" s="56">
        <v>17.5</v>
      </c>
      <c r="LTL1914" s="62">
        <v>13.28</v>
      </c>
      <c r="LTM1914" s="115">
        <v>19.489999999999998</v>
      </c>
      <c r="LTN1914" s="56">
        <v>18.98</v>
      </c>
      <c r="LTO1914" s="56">
        <v>17.5</v>
      </c>
      <c r="LTP1914" s="62">
        <v>13.28</v>
      </c>
      <c r="LTQ1914" s="115">
        <v>19.489999999999998</v>
      </c>
      <c r="LTR1914" s="56">
        <v>18.98</v>
      </c>
      <c r="LTS1914" s="56">
        <v>17.5</v>
      </c>
      <c r="LTT1914" s="62">
        <v>13.28</v>
      </c>
      <c r="LTU1914" s="115">
        <v>19.489999999999998</v>
      </c>
      <c r="LTV1914" s="56">
        <v>18.98</v>
      </c>
      <c r="LTW1914" s="56">
        <v>17.5</v>
      </c>
      <c r="LTX1914" s="62">
        <v>13.28</v>
      </c>
      <c r="LTY1914" s="115">
        <v>19.489999999999998</v>
      </c>
      <c r="LTZ1914" s="56">
        <v>18.98</v>
      </c>
      <c r="LUA1914" s="56">
        <v>17.5</v>
      </c>
      <c r="LUB1914" s="62">
        <v>13.28</v>
      </c>
      <c r="LUC1914" s="115">
        <v>19.489999999999998</v>
      </c>
      <c r="LUD1914" s="56">
        <v>18.98</v>
      </c>
      <c r="LUE1914" s="56">
        <v>17.5</v>
      </c>
      <c r="LUF1914" s="62">
        <v>13.28</v>
      </c>
      <c r="LUG1914" s="115">
        <v>19.489999999999998</v>
      </c>
      <c r="LUH1914" s="56">
        <v>18.98</v>
      </c>
      <c r="LUI1914" s="56">
        <v>17.5</v>
      </c>
      <c r="LUJ1914" s="62">
        <v>13.28</v>
      </c>
      <c r="LUK1914" s="115">
        <v>19.489999999999998</v>
      </c>
      <c r="LUL1914" s="56">
        <v>18.98</v>
      </c>
      <c r="LUM1914" s="56">
        <v>17.5</v>
      </c>
      <c r="LUN1914" s="62">
        <v>13.28</v>
      </c>
      <c r="LUO1914" s="115">
        <v>19.489999999999998</v>
      </c>
      <c r="LUP1914" s="56">
        <v>18.98</v>
      </c>
      <c r="LUQ1914" s="56">
        <v>17.5</v>
      </c>
      <c r="LUR1914" s="62">
        <v>13.28</v>
      </c>
      <c r="LUS1914" s="115">
        <v>19.489999999999998</v>
      </c>
      <c r="LUT1914" s="56">
        <v>18.98</v>
      </c>
      <c r="LUU1914" s="56">
        <v>17.5</v>
      </c>
      <c r="LUV1914" s="62">
        <v>13.28</v>
      </c>
      <c r="LUW1914" s="115">
        <v>19.489999999999998</v>
      </c>
      <c r="LUX1914" s="56">
        <v>18.98</v>
      </c>
      <c r="LUY1914" s="56">
        <v>17.5</v>
      </c>
      <c r="LUZ1914" s="62">
        <v>13.28</v>
      </c>
      <c r="LVA1914" s="115">
        <v>19.489999999999998</v>
      </c>
      <c r="LVB1914" s="56">
        <v>18.98</v>
      </c>
      <c r="LVC1914" s="56">
        <v>17.5</v>
      </c>
      <c r="LVD1914" s="62">
        <v>13.28</v>
      </c>
      <c r="LVE1914" s="115">
        <v>19.489999999999998</v>
      </c>
      <c r="LVF1914" s="56">
        <v>18.98</v>
      </c>
      <c r="LVG1914" s="56">
        <v>17.5</v>
      </c>
      <c r="LVH1914" s="62">
        <v>13.28</v>
      </c>
      <c r="LVI1914" s="115">
        <v>19.489999999999998</v>
      </c>
      <c r="LVJ1914" s="56">
        <v>18.98</v>
      </c>
      <c r="LVK1914" s="56">
        <v>17.5</v>
      </c>
      <c r="LVL1914" s="62">
        <v>13.28</v>
      </c>
      <c r="LVM1914" s="115">
        <v>19.489999999999998</v>
      </c>
      <c r="LVN1914" s="56">
        <v>18.98</v>
      </c>
      <c r="LVO1914" s="56">
        <v>17.5</v>
      </c>
      <c r="LVP1914" s="62">
        <v>13.28</v>
      </c>
      <c r="LVQ1914" s="115">
        <v>19.489999999999998</v>
      </c>
      <c r="LVR1914" s="56">
        <v>18.98</v>
      </c>
      <c r="LVS1914" s="56">
        <v>17.5</v>
      </c>
      <c r="LVT1914" s="62">
        <v>13.28</v>
      </c>
      <c r="LVU1914" s="115">
        <v>19.489999999999998</v>
      </c>
      <c r="LVV1914" s="56">
        <v>18.98</v>
      </c>
      <c r="LVW1914" s="56">
        <v>17.5</v>
      </c>
      <c r="LVX1914" s="62">
        <v>13.28</v>
      </c>
      <c r="LVY1914" s="115">
        <v>19.489999999999998</v>
      </c>
      <c r="LVZ1914" s="56">
        <v>18.98</v>
      </c>
      <c r="LWA1914" s="56">
        <v>17.5</v>
      </c>
      <c r="LWB1914" s="62">
        <v>13.28</v>
      </c>
      <c r="LWC1914" s="115">
        <v>19.489999999999998</v>
      </c>
      <c r="LWD1914" s="56">
        <v>18.98</v>
      </c>
      <c r="LWE1914" s="56">
        <v>17.5</v>
      </c>
      <c r="LWF1914" s="62">
        <v>13.28</v>
      </c>
      <c r="LWG1914" s="115">
        <v>19.489999999999998</v>
      </c>
      <c r="LWH1914" s="56">
        <v>18.98</v>
      </c>
      <c r="LWI1914" s="56">
        <v>17.5</v>
      </c>
      <c r="LWJ1914" s="62">
        <v>13.28</v>
      </c>
      <c r="LWK1914" s="115">
        <v>19.489999999999998</v>
      </c>
      <c r="LWL1914" s="56">
        <v>18.98</v>
      </c>
      <c r="LWM1914" s="56">
        <v>17.5</v>
      </c>
      <c r="LWN1914" s="62">
        <v>13.28</v>
      </c>
      <c r="LWO1914" s="115">
        <v>19.489999999999998</v>
      </c>
      <c r="LWP1914" s="56">
        <v>18.98</v>
      </c>
      <c r="LWQ1914" s="56">
        <v>17.5</v>
      </c>
      <c r="LWR1914" s="62">
        <v>13.28</v>
      </c>
      <c r="LWS1914" s="115">
        <v>19.489999999999998</v>
      </c>
      <c r="LWT1914" s="56">
        <v>18.98</v>
      </c>
      <c r="LWU1914" s="56">
        <v>17.5</v>
      </c>
      <c r="LWV1914" s="62">
        <v>13.28</v>
      </c>
      <c r="LWW1914" s="115">
        <v>19.489999999999998</v>
      </c>
      <c r="LWX1914" s="56">
        <v>18.98</v>
      </c>
      <c r="LWY1914" s="56">
        <v>17.5</v>
      </c>
      <c r="LWZ1914" s="62">
        <v>13.28</v>
      </c>
      <c r="LXA1914" s="115">
        <v>19.489999999999998</v>
      </c>
      <c r="LXB1914" s="56">
        <v>18.98</v>
      </c>
      <c r="LXC1914" s="56">
        <v>17.5</v>
      </c>
      <c r="LXD1914" s="62">
        <v>13.28</v>
      </c>
      <c r="LXE1914" s="115">
        <v>19.489999999999998</v>
      </c>
      <c r="LXF1914" s="56">
        <v>18.98</v>
      </c>
      <c r="LXG1914" s="56">
        <v>17.5</v>
      </c>
      <c r="LXH1914" s="62">
        <v>13.28</v>
      </c>
      <c r="LXI1914" s="115">
        <v>19.489999999999998</v>
      </c>
      <c r="LXJ1914" s="56">
        <v>18.98</v>
      </c>
      <c r="LXK1914" s="56">
        <v>17.5</v>
      </c>
      <c r="LXL1914" s="62">
        <v>13.28</v>
      </c>
      <c r="LXM1914" s="115">
        <v>19.489999999999998</v>
      </c>
      <c r="LXN1914" s="56">
        <v>18.98</v>
      </c>
      <c r="LXO1914" s="56">
        <v>17.5</v>
      </c>
      <c r="LXP1914" s="62">
        <v>13.28</v>
      </c>
      <c r="LXQ1914" s="115">
        <v>19.489999999999998</v>
      </c>
      <c r="LXR1914" s="56">
        <v>18.98</v>
      </c>
      <c r="LXS1914" s="56">
        <v>17.5</v>
      </c>
      <c r="LXT1914" s="62">
        <v>13.28</v>
      </c>
      <c r="LXU1914" s="115">
        <v>19.489999999999998</v>
      </c>
      <c r="LXV1914" s="56">
        <v>18.98</v>
      </c>
      <c r="LXW1914" s="56">
        <v>17.5</v>
      </c>
      <c r="LXX1914" s="62">
        <v>13.28</v>
      </c>
      <c r="LXY1914" s="115">
        <v>19.489999999999998</v>
      </c>
      <c r="LXZ1914" s="56">
        <v>18.98</v>
      </c>
      <c r="LYA1914" s="56">
        <v>17.5</v>
      </c>
      <c r="LYB1914" s="62">
        <v>13.28</v>
      </c>
      <c r="LYC1914" s="115">
        <v>19.489999999999998</v>
      </c>
      <c r="LYD1914" s="56">
        <v>18.98</v>
      </c>
      <c r="LYE1914" s="56">
        <v>17.5</v>
      </c>
      <c r="LYF1914" s="62">
        <v>13.28</v>
      </c>
      <c r="LYG1914" s="115">
        <v>19.489999999999998</v>
      </c>
      <c r="LYH1914" s="56">
        <v>18.98</v>
      </c>
      <c r="LYI1914" s="56">
        <v>17.5</v>
      </c>
      <c r="LYJ1914" s="62">
        <v>13.28</v>
      </c>
      <c r="LYK1914" s="115">
        <v>19.489999999999998</v>
      </c>
      <c r="LYL1914" s="56">
        <v>18.98</v>
      </c>
      <c r="LYM1914" s="56">
        <v>17.5</v>
      </c>
      <c r="LYN1914" s="62">
        <v>13.28</v>
      </c>
      <c r="LYO1914" s="115">
        <v>19.489999999999998</v>
      </c>
      <c r="LYP1914" s="56">
        <v>18.98</v>
      </c>
      <c r="LYQ1914" s="56">
        <v>17.5</v>
      </c>
      <c r="LYR1914" s="62">
        <v>13.28</v>
      </c>
      <c r="LYS1914" s="115">
        <v>19.489999999999998</v>
      </c>
      <c r="LYT1914" s="56">
        <v>18.98</v>
      </c>
      <c r="LYU1914" s="56">
        <v>17.5</v>
      </c>
      <c r="LYV1914" s="62">
        <v>13.28</v>
      </c>
      <c r="LYW1914" s="115">
        <v>19.489999999999998</v>
      </c>
      <c r="LYX1914" s="56">
        <v>18.98</v>
      </c>
      <c r="LYY1914" s="56">
        <v>17.5</v>
      </c>
      <c r="LYZ1914" s="62">
        <v>13.28</v>
      </c>
      <c r="LZA1914" s="115">
        <v>19.489999999999998</v>
      </c>
      <c r="LZB1914" s="56">
        <v>18.98</v>
      </c>
      <c r="LZC1914" s="56">
        <v>17.5</v>
      </c>
      <c r="LZD1914" s="62">
        <v>13.28</v>
      </c>
      <c r="LZE1914" s="115">
        <v>19.489999999999998</v>
      </c>
      <c r="LZF1914" s="56">
        <v>18.98</v>
      </c>
      <c r="LZG1914" s="56">
        <v>17.5</v>
      </c>
      <c r="LZH1914" s="62">
        <v>13.28</v>
      </c>
      <c r="LZI1914" s="115">
        <v>19.489999999999998</v>
      </c>
      <c r="LZJ1914" s="56">
        <v>18.98</v>
      </c>
      <c r="LZK1914" s="56">
        <v>17.5</v>
      </c>
      <c r="LZL1914" s="62">
        <v>13.28</v>
      </c>
      <c r="LZM1914" s="115">
        <v>19.489999999999998</v>
      </c>
      <c r="LZN1914" s="56">
        <v>18.98</v>
      </c>
      <c r="LZO1914" s="56">
        <v>17.5</v>
      </c>
      <c r="LZP1914" s="62">
        <v>13.28</v>
      </c>
      <c r="LZQ1914" s="115">
        <v>19.489999999999998</v>
      </c>
      <c r="LZR1914" s="56">
        <v>18.98</v>
      </c>
      <c r="LZS1914" s="56">
        <v>17.5</v>
      </c>
      <c r="LZT1914" s="62">
        <v>13.28</v>
      </c>
      <c r="LZU1914" s="115">
        <v>19.489999999999998</v>
      </c>
      <c r="LZV1914" s="56">
        <v>18.98</v>
      </c>
      <c r="LZW1914" s="56">
        <v>17.5</v>
      </c>
      <c r="LZX1914" s="62">
        <v>13.28</v>
      </c>
      <c r="LZY1914" s="115">
        <v>19.489999999999998</v>
      </c>
      <c r="LZZ1914" s="56">
        <v>18.98</v>
      </c>
      <c r="MAA1914" s="56">
        <v>17.5</v>
      </c>
      <c r="MAB1914" s="62">
        <v>13.28</v>
      </c>
      <c r="MAC1914" s="115">
        <v>19.489999999999998</v>
      </c>
      <c r="MAD1914" s="56">
        <v>18.98</v>
      </c>
      <c r="MAE1914" s="56">
        <v>17.5</v>
      </c>
      <c r="MAF1914" s="62">
        <v>13.28</v>
      </c>
      <c r="MAG1914" s="115">
        <v>19.489999999999998</v>
      </c>
      <c r="MAH1914" s="56">
        <v>18.98</v>
      </c>
      <c r="MAI1914" s="56">
        <v>17.5</v>
      </c>
      <c r="MAJ1914" s="62">
        <v>13.28</v>
      </c>
      <c r="MAK1914" s="115">
        <v>19.489999999999998</v>
      </c>
      <c r="MAL1914" s="56">
        <v>18.98</v>
      </c>
      <c r="MAM1914" s="56">
        <v>17.5</v>
      </c>
      <c r="MAN1914" s="62">
        <v>13.28</v>
      </c>
      <c r="MAO1914" s="115">
        <v>19.489999999999998</v>
      </c>
      <c r="MAP1914" s="56">
        <v>18.98</v>
      </c>
      <c r="MAQ1914" s="56">
        <v>17.5</v>
      </c>
      <c r="MAR1914" s="62">
        <v>13.28</v>
      </c>
      <c r="MAS1914" s="115">
        <v>19.489999999999998</v>
      </c>
      <c r="MAT1914" s="56">
        <v>18.98</v>
      </c>
      <c r="MAU1914" s="56">
        <v>17.5</v>
      </c>
      <c r="MAV1914" s="62">
        <v>13.28</v>
      </c>
      <c r="MAW1914" s="115">
        <v>19.489999999999998</v>
      </c>
      <c r="MAX1914" s="56">
        <v>18.98</v>
      </c>
      <c r="MAY1914" s="56">
        <v>17.5</v>
      </c>
      <c r="MAZ1914" s="62">
        <v>13.28</v>
      </c>
      <c r="MBA1914" s="115">
        <v>19.489999999999998</v>
      </c>
      <c r="MBB1914" s="56">
        <v>18.98</v>
      </c>
      <c r="MBC1914" s="56">
        <v>17.5</v>
      </c>
      <c r="MBD1914" s="62">
        <v>13.28</v>
      </c>
      <c r="MBE1914" s="115">
        <v>19.489999999999998</v>
      </c>
      <c r="MBF1914" s="56">
        <v>18.98</v>
      </c>
      <c r="MBG1914" s="56">
        <v>17.5</v>
      </c>
      <c r="MBH1914" s="62">
        <v>13.28</v>
      </c>
      <c r="MBI1914" s="115">
        <v>19.489999999999998</v>
      </c>
      <c r="MBJ1914" s="56">
        <v>18.98</v>
      </c>
      <c r="MBK1914" s="56">
        <v>17.5</v>
      </c>
      <c r="MBL1914" s="62">
        <v>13.28</v>
      </c>
      <c r="MBM1914" s="115">
        <v>19.489999999999998</v>
      </c>
      <c r="MBN1914" s="56">
        <v>18.98</v>
      </c>
      <c r="MBO1914" s="56">
        <v>17.5</v>
      </c>
      <c r="MBP1914" s="62">
        <v>13.28</v>
      </c>
      <c r="MBQ1914" s="115">
        <v>19.489999999999998</v>
      </c>
      <c r="MBR1914" s="56">
        <v>18.98</v>
      </c>
      <c r="MBS1914" s="56">
        <v>17.5</v>
      </c>
      <c r="MBT1914" s="62">
        <v>13.28</v>
      </c>
      <c r="MBU1914" s="115">
        <v>19.489999999999998</v>
      </c>
      <c r="MBV1914" s="56">
        <v>18.98</v>
      </c>
      <c r="MBW1914" s="56">
        <v>17.5</v>
      </c>
      <c r="MBX1914" s="62">
        <v>13.28</v>
      </c>
      <c r="MBY1914" s="115">
        <v>19.489999999999998</v>
      </c>
      <c r="MBZ1914" s="56">
        <v>18.98</v>
      </c>
      <c r="MCA1914" s="56">
        <v>17.5</v>
      </c>
      <c r="MCB1914" s="62">
        <v>13.28</v>
      </c>
      <c r="MCC1914" s="115">
        <v>19.489999999999998</v>
      </c>
      <c r="MCD1914" s="56">
        <v>18.98</v>
      </c>
      <c r="MCE1914" s="56">
        <v>17.5</v>
      </c>
      <c r="MCF1914" s="62">
        <v>13.28</v>
      </c>
      <c r="MCG1914" s="115">
        <v>19.489999999999998</v>
      </c>
      <c r="MCH1914" s="56">
        <v>18.98</v>
      </c>
      <c r="MCI1914" s="56">
        <v>17.5</v>
      </c>
      <c r="MCJ1914" s="62">
        <v>13.28</v>
      </c>
      <c r="MCK1914" s="115">
        <v>19.489999999999998</v>
      </c>
      <c r="MCL1914" s="56">
        <v>18.98</v>
      </c>
      <c r="MCM1914" s="56">
        <v>17.5</v>
      </c>
      <c r="MCN1914" s="62">
        <v>13.28</v>
      </c>
      <c r="MCO1914" s="115">
        <v>19.489999999999998</v>
      </c>
      <c r="MCP1914" s="56">
        <v>18.98</v>
      </c>
      <c r="MCQ1914" s="56">
        <v>17.5</v>
      </c>
      <c r="MCR1914" s="62">
        <v>13.28</v>
      </c>
      <c r="MCS1914" s="115">
        <v>19.489999999999998</v>
      </c>
      <c r="MCT1914" s="56">
        <v>18.98</v>
      </c>
      <c r="MCU1914" s="56">
        <v>17.5</v>
      </c>
      <c r="MCV1914" s="62">
        <v>13.28</v>
      </c>
      <c r="MCW1914" s="115">
        <v>19.489999999999998</v>
      </c>
      <c r="MCX1914" s="56">
        <v>18.98</v>
      </c>
      <c r="MCY1914" s="56">
        <v>17.5</v>
      </c>
      <c r="MCZ1914" s="62">
        <v>13.28</v>
      </c>
      <c r="MDA1914" s="115">
        <v>19.489999999999998</v>
      </c>
      <c r="MDB1914" s="56">
        <v>18.98</v>
      </c>
      <c r="MDC1914" s="56">
        <v>17.5</v>
      </c>
      <c r="MDD1914" s="62">
        <v>13.28</v>
      </c>
      <c r="MDE1914" s="115">
        <v>19.489999999999998</v>
      </c>
      <c r="MDF1914" s="56">
        <v>18.98</v>
      </c>
      <c r="MDG1914" s="56">
        <v>17.5</v>
      </c>
      <c r="MDH1914" s="62">
        <v>13.28</v>
      </c>
      <c r="MDI1914" s="115">
        <v>19.489999999999998</v>
      </c>
      <c r="MDJ1914" s="56">
        <v>18.98</v>
      </c>
      <c r="MDK1914" s="56">
        <v>17.5</v>
      </c>
      <c r="MDL1914" s="62">
        <v>13.28</v>
      </c>
      <c r="MDM1914" s="115">
        <v>19.489999999999998</v>
      </c>
      <c r="MDN1914" s="56">
        <v>18.98</v>
      </c>
      <c r="MDO1914" s="56">
        <v>17.5</v>
      </c>
      <c r="MDP1914" s="62">
        <v>13.28</v>
      </c>
      <c r="MDQ1914" s="115">
        <v>19.489999999999998</v>
      </c>
      <c r="MDR1914" s="56">
        <v>18.98</v>
      </c>
      <c r="MDS1914" s="56">
        <v>17.5</v>
      </c>
      <c r="MDT1914" s="62">
        <v>13.28</v>
      </c>
      <c r="MDU1914" s="115">
        <v>19.489999999999998</v>
      </c>
      <c r="MDV1914" s="56">
        <v>18.98</v>
      </c>
      <c r="MDW1914" s="56">
        <v>17.5</v>
      </c>
      <c r="MDX1914" s="62">
        <v>13.28</v>
      </c>
      <c r="MDY1914" s="115">
        <v>19.489999999999998</v>
      </c>
      <c r="MDZ1914" s="56">
        <v>18.98</v>
      </c>
      <c r="MEA1914" s="56">
        <v>17.5</v>
      </c>
      <c r="MEB1914" s="62">
        <v>13.28</v>
      </c>
      <c r="MEC1914" s="115">
        <v>19.489999999999998</v>
      </c>
      <c r="MED1914" s="56">
        <v>18.98</v>
      </c>
      <c r="MEE1914" s="56">
        <v>17.5</v>
      </c>
      <c r="MEF1914" s="62">
        <v>13.28</v>
      </c>
      <c r="MEG1914" s="115">
        <v>19.489999999999998</v>
      </c>
      <c r="MEH1914" s="56">
        <v>18.98</v>
      </c>
      <c r="MEI1914" s="56">
        <v>17.5</v>
      </c>
      <c r="MEJ1914" s="62">
        <v>13.28</v>
      </c>
      <c r="MEK1914" s="115">
        <v>19.489999999999998</v>
      </c>
      <c r="MEL1914" s="56">
        <v>18.98</v>
      </c>
      <c r="MEM1914" s="56">
        <v>17.5</v>
      </c>
      <c r="MEN1914" s="62">
        <v>13.28</v>
      </c>
      <c r="MEO1914" s="115">
        <v>19.489999999999998</v>
      </c>
      <c r="MEP1914" s="56">
        <v>18.98</v>
      </c>
      <c r="MEQ1914" s="56">
        <v>17.5</v>
      </c>
      <c r="MER1914" s="62">
        <v>13.28</v>
      </c>
      <c r="MES1914" s="115">
        <v>19.489999999999998</v>
      </c>
      <c r="MET1914" s="56">
        <v>18.98</v>
      </c>
      <c r="MEU1914" s="56">
        <v>17.5</v>
      </c>
      <c r="MEV1914" s="62">
        <v>13.28</v>
      </c>
      <c r="MEW1914" s="115">
        <v>19.489999999999998</v>
      </c>
      <c r="MEX1914" s="56">
        <v>18.98</v>
      </c>
      <c r="MEY1914" s="56">
        <v>17.5</v>
      </c>
      <c r="MEZ1914" s="62">
        <v>13.28</v>
      </c>
      <c r="MFA1914" s="115">
        <v>19.489999999999998</v>
      </c>
      <c r="MFB1914" s="56">
        <v>18.98</v>
      </c>
      <c r="MFC1914" s="56">
        <v>17.5</v>
      </c>
      <c r="MFD1914" s="62">
        <v>13.28</v>
      </c>
      <c r="MFE1914" s="115">
        <v>19.489999999999998</v>
      </c>
      <c r="MFF1914" s="56">
        <v>18.98</v>
      </c>
      <c r="MFG1914" s="56">
        <v>17.5</v>
      </c>
      <c r="MFH1914" s="62">
        <v>13.28</v>
      </c>
      <c r="MFI1914" s="115">
        <v>19.489999999999998</v>
      </c>
      <c r="MFJ1914" s="56">
        <v>18.98</v>
      </c>
      <c r="MFK1914" s="56">
        <v>17.5</v>
      </c>
      <c r="MFL1914" s="62">
        <v>13.28</v>
      </c>
      <c r="MFM1914" s="115">
        <v>19.489999999999998</v>
      </c>
      <c r="MFN1914" s="56">
        <v>18.98</v>
      </c>
      <c r="MFO1914" s="56">
        <v>17.5</v>
      </c>
      <c r="MFP1914" s="62">
        <v>13.28</v>
      </c>
      <c r="MFQ1914" s="115">
        <v>19.489999999999998</v>
      </c>
      <c r="MFR1914" s="56">
        <v>18.98</v>
      </c>
      <c r="MFS1914" s="56">
        <v>17.5</v>
      </c>
      <c r="MFT1914" s="62">
        <v>13.28</v>
      </c>
      <c r="MFU1914" s="115">
        <v>19.489999999999998</v>
      </c>
      <c r="MFV1914" s="56">
        <v>18.98</v>
      </c>
      <c r="MFW1914" s="56">
        <v>17.5</v>
      </c>
      <c r="MFX1914" s="62">
        <v>13.28</v>
      </c>
      <c r="MFY1914" s="115">
        <v>19.489999999999998</v>
      </c>
      <c r="MFZ1914" s="56">
        <v>18.98</v>
      </c>
      <c r="MGA1914" s="56">
        <v>17.5</v>
      </c>
      <c r="MGB1914" s="62">
        <v>13.28</v>
      </c>
      <c r="MGC1914" s="115">
        <v>19.489999999999998</v>
      </c>
      <c r="MGD1914" s="56">
        <v>18.98</v>
      </c>
      <c r="MGE1914" s="56">
        <v>17.5</v>
      </c>
      <c r="MGF1914" s="62">
        <v>13.28</v>
      </c>
      <c r="MGG1914" s="115">
        <v>19.489999999999998</v>
      </c>
      <c r="MGH1914" s="56">
        <v>18.98</v>
      </c>
      <c r="MGI1914" s="56">
        <v>17.5</v>
      </c>
      <c r="MGJ1914" s="62">
        <v>13.28</v>
      </c>
      <c r="MGK1914" s="115">
        <v>19.489999999999998</v>
      </c>
      <c r="MGL1914" s="56">
        <v>18.98</v>
      </c>
      <c r="MGM1914" s="56">
        <v>17.5</v>
      </c>
      <c r="MGN1914" s="62">
        <v>13.28</v>
      </c>
      <c r="MGO1914" s="115">
        <v>19.489999999999998</v>
      </c>
      <c r="MGP1914" s="56">
        <v>18.98</v>
      </c>
      <c r="MGQ1914" s="56">
        <v>17.5</v>
      </c>
      <c r="MGR1914" s="62">
        <v>13.28</v>
      </c>
      <c r="MGS1914" s="115">
        <v>19.489999999999998</v>
      </c>
      <c r="MGT1914" s="56">
        <v>18.98</v>
      </c>
      <c r="MGU1914" s="56">
        <v>17.5</v>
      </c>
      <c r="MGV1914" s="62">
        <v>13.28</v>
      </c>
      <c r="MGW1914" s="115">
        <v>19.489999999999998</v>
      </c>
      <c r="MGX1914" s="56">
        <v>18.98</v>
      </c>
      <c r="MGY1914" s="56">
        <v>17.5</v>
      </c>
      <c r="MGZ1914" s="62">
        <v>13.28</v>
      </c>
      <c r="MHA1914" s="115">
        <v>19.489999999999998</v>
      </c>
      <c r="MHB1914" s="56">
        <v>18.98</v>
      </c>
      <c r="MHC1914" s="56">
        <v>17.5</v>
      </c>
      <c r="MHD1914" s="62">
        <v>13.28</v>
      </c>
      <c r="MHE1914" s="115">
        <v>19.489999999999998</v>
      </c>
      <c r="MHF1914" s="56">
        <v>18.98</v>
      </c>
      <c r="MHG1914" s="56">
        <v>17.5</v>
      </c>
      <c r="MHH1914" s="62">
        <v>13.28</v>
      </c>
      <c r="MHI1914" s="115">
        <v>19.489999999999998</v>
      </c>
      <c r="MHJ1914" s="56">
        <v>18.98</v>
      </c>
      <c r="MHK1914" s="56">
        <v>17.5</v>
      </c>
      <c r="MHL1914" s="62">
        <v>13.28</v>
      </c>
      <c r="MHM1914" s="115">
        <v>19.489999999999998</v>
      </c>
      <c r="MHN1914" s="56">
        <v>18.98</v>
      </c>
      <c r="MHO1914" s="56">
        <v>17.5</v>
      </c>
      <c r="MHP1914" s="62">
        <v>13.28</v>
      </c>
      <c r="MHQ1914" s="115">
        <v>19.489999999999998</v>
      </c>
      <c r="MHR1914" s="56">
        <v>18.98</v>
      </c>
      <c r="MHS1914" s="56">
        <v>17.5</v>
      </c>
      <c r="MHT1914" s="62">
        <v>13.28</v>
      </c>
      <c r="MHU1914" s="115">
        <v>19.489999999999998</v>
      </c>
      <c r="MHV1914" s="56">
        <v>18.98</v>
      </c>
      <c r="MHW1914" s="56">
        <v>17.5</v>
      </c>
      <c r="MHX1914" s="62">
        <v>13.28</v>
      </c>
      <c r="MHY1914" s="115">
        <v>19.489999999999998</v>
      </c>
      <c r="MHZ1914" s="56">
        <v>18.98</v>
      </c>
      <c r="MIA1914" s="56">
        <v>17.5</v>
      </c>
      <c r="MIB1914" s="62">
        <v>13.28</v>
      </c>
      <c r="MIC1914" s="115">
        <v>19.489999999999998</v>
      </c>
      <c r="MID1914" s="56">
        <v>18.98</v>
      </c>
      <c r="MIE1914" s="56">
        <v>17.5</v>
      </c>
      <c r="MIF1914" s="62">
        <v>13.28</v>
      </c>
      <c r="MIG1914" s="115">
        <v>19.489999999999998</v>
      </c>
      <c r="MIH1914" s="56">
        <v>18.98</v>
      </c>
      <c r="MII1914" s="56">
        <v>17.5</v>
      </c>
      <c r="MIJ1914" s="62">
        <v>13.28</v>
      </c>
      <c r="MIK1914" s="115">
        <v>19.489999999999998</v>
      </c>
      <c r="MIL1914" s="56">
        <v>18.98</v>
      </c>
      <c r="MIM1914" s="56">
        <v>17.5</v>
      </c>
      <c r="MIN1914" s="62">
        <v>13.28</v>
      </c>
      <c r="MIO1914" s="115">
        <v>19.489999999999998</v>
      </c>
      <c r="MIP1914" s="56">
        <v>18.98</v>
      </c>
      <c r="MIQ1914" s="56">
        <v>17.5</v>
      </c>
      <c r="MIR1914" s="62">
        <v>13.28</v>
      </c>
      <c r="MIS1914" s="115">
        <v>19.489999999999998</v>
      </c>
      <c r="MIT1914" s="56">
        <v>18.98</v>
      </c>
      <c r="MIU1914" s="56">
        <v>17.5</v>
      </c>
      <c r="MIV1914" s="62">
        <v>13.28</v>
      </c>
      <c r="MIW1914" s="115">
        <v>19.489999999999998</v>
      </c>
      <c r="MIX1914" s="56">
        <v>18.98</v>
      </c>
      <c r="MIY1914" s="56">
        <v>17.5</v>
      </c>
      <c r="MIZ1914" s="62">
        <v>13.28</v>
      </c>
      <c r="MJA1914" s="115">
        <v>19.489999999999998</v>
      </c>
      <c r="MJB1914" s="56">
        <v>18.98</v>
      </c>
      <c r="MJC1914" s="56">
        <v>17.5</v>
      </c>
      <c r="MJD1914" s="62">
        <v>13.28</v>
      </c>
      <c r="MJE1914" s="115">
        <v>19.489999999999998</v>
      </c>
      <c r="MJF1914" s="56">
        <v>18.98</v>
      </c>
      <c r="MJG1914" s="56">
        <v>17.5</v>
      </c>
      <c r="MJH1914" s="62">
        <v>13.28</v>
      </c>
      <c r="MJI1914" s="115">
        <v>19.489999999999998</v>
      </c>
      <c r="MJJ1914" s="56">
        <v>18.98</v>
      </c>
      <c r="MJK1914" s="56">
        <v>17.5</v>
      </c>
      <c r="MJL1914" s="62">
        <v>13.28</v>
      </c>
      <c r="MJM1914" s="115">
        <v>19.489999999999998</v>
      </c>
      <c r="MJN1914" s="56">
        <v>18.98</v>
      </c>
      <c r="MJO1914" s="56">
        <v>17.5</v>
      </c>
      <c r="MJP1914" s="62">
        <v>13.28</v>
      </c>
      <c r="MJQ1914" s="115">
        <v>19.489999999999998</v>
      </c>
      <c r="MJR1914" s="56">
        <v>18.98</v>
      </c>
      <c r="MJS1914" s="56">
        <v>17.5</v>
      </c>
      <c r="MJT1914" s="62">
        <v>13.28</v>
      </c>
      <c r="MJU1914" s="115">
        <v>19.489999999999998</v>
      </c>
      <c r="MJV1914" s="56">
        <v>18.98</v>
      </c>
      <c r="MJW1914" s="56">
        <v>17.5</v>
      </c>
      <c r="MJX1914" s="62">
        <v>13.28</v>
      </c>
      <c r="MJY1914" s="115">
        <v>19.489999999999998</v>
      </c>
      <c r="MJZ1914" s="56">
        <v>18.98</v>
      </c>
      <c r="MKA1914" s="56">
        <v>17.5</v>
      </c>
      <c r="MKB1914" s="62">
        <v>13.28</v>
      </c>
      <c r="MKC1914" s="115">
        <v>19.489999999999998</v>
      </c>
      <c r="MKD1914" s="56">
        <v>18.98</v>
      </c>
      <c r="MKE1914" s="56">
        <v>17.5</v>
      </c>
      <c r="MKF1914" s="62">
        <v>13.28</v>
      </c>
      <c r="MKG1914" s="115">
        <v>19.489999999999998</v>
      </c>
      <c r="MKH1914" s="56">
        <v>18.98</v>
      </c>
      <c r="MKI1914" s="56">
        <v>17.5</v>
      </c>
      <c r="MKJ1914" s="62">
        <v>13.28</v>
      </c>
      <c r="MKK1914" s="115">
        <v>19.489999999999998</v>
      </c>
      <c r="MKL1914" s="56">
        <v>18.98</v>
      </c>
      <c r="MKM1914" s="56">
        <v>17.5</v>
      </c>
      <c r="MKN1914" s="62">
        <v>13.28</v>
      </c>
      <c r="MKO1914" s="115">
        <v>19.489999999999998</v>
      </c>
      <c r="MKP1914" s="56">
        <v>18.98</v>
      </c>
      <c r="MKQ1914" s="56">
        <v>17.5</v>
      </c>
      <c r="MKR1914" s="62">
        <v>13.28</v>
      </c>
      <c r="MKS1914" s="115">
        <v>19.489999999999998</v>
      </c>
      <c r="MKT1914" s="56">
        <v>18.98</v>
      </c>
      <c r="MKU1914" s="56">
        <v>17.5</v>
      </c>
      <c r="MKV1914" s="62">
        <v>13.28</v>
      </c>
      <c r="MKW1914" s="115">
        <v>19.489999999999998</v>
      </c>
      <c r="MKX1914" s="56">
        <v>18.98</v>
      </c>
      <c r="MKY1914" s="56">
        <v>17.5</v>
      </c>
      <c r="MKZ1914" s="62">
        <v>13.28</v>
      </c>
      <c r="MLA1914" s="115">
        <v>19.489999999999998</v>
      </c>
      <c r="MLB1914" s="56">
        <v>18.98</v>
      </c>
      <c r="MLC1914" s="56">
        <v>17.5</v>
      </c>
      <c r="MLD1914" s="62">
        <v>13.28</v>
      </c>
      <c r="MLE1914" s="115">
        <v>19.489999999999998</v>
      </c>
      <c r="MLF1914" s="56">
        <v>18.98</v>
      </c>
      <c r="MLG1914" s="56">
        <v>17.5</v>
      </c>
      <c r="MLH1914" s="62">
        <v>13.28</v>
      </c>
      <c r="MLI1914" s="115">
        <v>19.489999999999998</v>
      </c>
      <c r="MLJ1914" s="56">
        <v>18.98</v>
      </c>
      <c r="MLK1914" s="56">
        <v>17.5</v>
      </c>
      <c r="MLL1914" s="62">
        <v>13.28</v>
      </c>
      <c r="MLM1914" s="115">
        <v>19.489999999999998</v>
      </c>
      <c r="MLN1914" s="56">
        <v>18.98</v>
      </c>
      <c r="MLO1914" s="56">
        <v>17.5</v>
      </c>
      <c r="MLP1914" s="62">
        <v>13.28</v>
      </c>
      <c r="MLQ1914" s="115">
        <v>19.489999999999998</v>
      </c>
      <c r="MLR1914" s="56">
        <v>18.98</v>
      </c>
      <c r="MLS1914" s="56">
        <v>17.5</v>
      </c>
      <c r="MLT1914" s="62">
        <v>13.28</v>
      </c>
      <c r="MLU1914" s="115">
        <v>19.489999999999998</v>
      </c>
      <c r="MLV1914" s="56">
        <v>18.98</v>
      </c>
      <c r="MLW1914" s="56">
        <v>17.5</v>
      </c>
      <c r="MLX1914" s="62">
        <v>13.28</v>
      </c>
      <c r="MLY1914" s="115">
        <v>19.489999999999998</v>
      </c>
      <c r="MLZ1914" s="56">
        <v>18.98</v>
      </c>
      <c r="MMA1914" s="56">
        <v>17.5</v>
      </c>
      <c r="MMB1914" s="62">
        <v>13.28</v>
      </c>
      <c r="MMC1914" s="115">
        <v>19.489999999999998</v>
      </c>
      <c r="MMD1914" s="56">
        <v>18.98</v>
      </c>
      <c r="MME1914" s="56">
        <v>17.5</v>
      </c>
      <c r="MMF1914" s="62">
        <v>13.28</v>
      </c>
      <c r="MMG1914" s="115">
        <v>19.489999999999998</v>
      </c>
      <c r="MMH1914" s="56">
        <v>18.98</v>
      </c>
      <c r="MMI1914" s="56">
        <v>17.5</v>
      </c>
      <c r="MMJ1914" s="62">
        <v>13.28</v>
      </c>
      <c r="MMK1914" s="115">
        <v>19.489999999999998</v>
      </c>
      <c r="MML1914" s="56">
        <v>18.98</v>
      </c>
      <c r="MMM1914" s="56">
        <v>17.5</v>
      </c>
      <c r="MMN1914" s="62">
        <v>13.28</v>
      </c>
      <c r="MMO1914" s="115">
        <v>19.489999999999998</v>
      </c>
      <c r="MMP1914" s="56">
        <v>18.98</v>
      </c>
      <c r="MMQ1914" s="56">
        <v>17.5</v>
      </c>
      <c r="MMR1914" s="62">
        <v>13.28</v>
      </c>
      <c r="MMS1914" s="115">
        <v>19.489999999999998</v>
      </c>
      <c r="MMT1914" s="56">
        <v>18.98</v>
      </c>
      <c r="MMU1914" s="56">
        <v>17.5</v>
      </c>
      <c r="MMV1914" s="62">
        <v>13.28</v>
      </c>
      <c r="MMW1914" s="115">
        <v>19.489999999999998</v>
      </c>
      <c r="MMX1914" s="56">
        <v>18.98</v>
      </c>
      <c r="MMY1914" s="56">
        <v>17.5</v>
      </c>
      <c r="MMZ1914" s="62">
        <v>13.28</v>
      </c>
      <c r="MNA1914" s="115">
        <v>19.489999999999998</v>
      </c>
      <c r="MNB1914" s="56">
        <v>18.98</v>
      </c>
      <c r="MNC1914" s="56">
        <v>17.5</v>
      </c>
      <c r="MND1914" s="62">
        <v>13.28</v>
      </c>
      <c r="MNE1914" s="115">
        <v>19.489999999999998</v>
      </c>
      <c r="MNF1914" s="56">
        <v>18.98</v>
      </c>
      <c r="MNG1914" s="56">
        <v>17.5</v>
      </c>
      <c r="MNH1914" s="62">
        <v>13.28</v>
      </c>
      <c r="MNI1914" s="115">
        <v>19.489999999999998</v>
      </c>
      <c r="MNJ1914" s="56">
        <v>18.98</v>
      </c>
      <c r="MNK1914" s="56">
        <v>17.5</v>
      </c>
      <c r="MNL1914" s="62">
        <v>13.28</v>
      </c>
      <c r="MNM1914" s="115">
        <v>19.489999999999998</v>
      </c>
      <c r="MNN1914" s="56">
        <v>18.98</v>
      </c>
      <c r="MNO1914" s="56">
        <v>17.5</v>
      </c>
      <c r="MNP1914" s="62">
        <v>13.28</v>
      </c>
      <c r="MNQ1914" s="115">
        <v>19.489999999999998</v>
      </c>
      <c r="MNR1914" s="56">
        <v>18.98</v>
      </c>
      <c r="MNS1914" s="56">
        <v>17.5</v>
      </c>
      <c r="MNT1914" s="62">
        <v>13.28</v>
      </c>
      <c r="MNU1914" s="115">
        <v>19.489999999999998</v>
      </c>
      <c r="MNV1914" s="56">
        <v>18.98</v>
      </c>
      <c r="MNW1914" s="56">
        <v>17.5</v>
      </c>
      <c r="MNX1914" s="62">
        <v>13.28</v>
      </c>
      <c r="MNY1914" s="115">
        <v>19.489999999999998</v>
      </c>
      <c r="MNZ1914" s="56">
        <v>18.98</v>
      </c>
      <c r="MOA1914" s="56">
        <v>17.5</v>
      </c>
      <c r="MOB1914" s="62">
        <v>13.28</v>
      </c>
      <c r="MOC1914" s="115">
        <v>19.489999999999998</v>
      </c>
      <c r="MOD1914" s="56">
        <v>18.98</v>
      </c>
      <c r="MOE1914" s="56">
        <v>17.5</v>
      </c>
      <c r="MOF1914" s="62">
        <v>13.28</v>
      </c>
      <c r="MOG1914" s="115">
        <v>19.489999999999998</v>
      </c>
      <c r="MOH1914" s="56">
        <v>18.98</v>
      </c>
      <c r="MOI1914" s="56">
        <v>17.5</v>
      </c>
      <c r="MOJ1914" s="62">
        <v>13.28</v>
      </c>
      <c r="MOK1914" s="115">
        <v>19.489999999999998</v>
      </c>
      <c r="MOL1914" s="56">
        <v>18.98</v>
      </c>
      <c r="MOM1914" s="56">
        <v>17.5</v>
      </c>
      <c r="MON1914" s="62">
        <v>13.28</v>
      </c>
      <c r="MOO1914" s="115">
        <v>19.489999999999998</v>
      </c>
      <c r="MOP1914" s="56">
        <v>18.98</v>
      </c>
      <c r="MOQ1914" s="56">
        <v>17.5</v>
      </c>
      <c r="MOR1914" s="62">
        <v>13.28</v>
      </c>
      <c r="MOS1914" s="115">
        <v>19.489999999999998</v>
      </c>
      <c r="MOT1914" s="56">
        <v>18.98</v>
      </c>
      <c r="MOU1914" s="56">
        <v>17.5</v>
      </c>
      <c r="MOV1914" s="62">
        <v>13.28</v>
      </c>
      <c r="MOW1914" s="115">
        <v>19.489999999999998</v>
      </c>
      <c r="MOX1914" s="56">
        <v>18.98</v>
      </c>
      <c r="MOY1914" s="56">
        <v>17.5</v>
      </c>
      <c r="MOZ1914" s="62">
        <v>13.28</v>
      </c>
      <c r="MPA1914" s="115">
        <v>19.489999999999998</v>
      </c>
      <c r="MPB1914" s="56">
        <v>18.98</v>
      </c>
      <c r="MPC1914" s="56">
        <v>17.5</v>
      </c>
      <c r="MPD1914" s="62">
        <v>13.28</v>
      </c>
      <c r="MPE1914" s="115">
        <v>19.489999999999998</v>
      </c>
      <c r="MPF1914" s="56">
        <v>18.98</v>
      </c>
      <c r="MPG1914" s="56">
        <v>17.5</v>
      </c>
      <c r="MPH1914" s="62">
        <v>13.28</v>
      </c>
      <c r="MPI1914" s="115">
        <v>19.489999999999998</v>
      </c>
      <c r="MPJ1914" s="56">
        <v>18.98</v>
      </c>
      <c r="MPK1914" s="56">
        <v>17.5</v>
      </c>
      <c r="MPL1914" s="62">
        <v>13.28</v>
      </c>
      <c r="MPM1914" s="115">
        <v>19.489999999999998</v>
      </c>
      <c r="MPN1914" s="56">
        <v>18.98</v>
      </c>
      <c r="MPO1914" s="56">
        <v>17.5</v>
      </c>
      <c r="MPP1914" s="62">
        <v>13.28</v>
      </c>
      <c r="MPQ1914" s="115">
        <v>19.489999999999998</v>
      </c>
      <c r="MPR1914" s="56">
        <v>18.98</v>
      </c>
      <c r="MPS1914" s="56">
        <v>17.5</v>
      </c>
      <c r="MPT1914" s="62">
        <v>13.28</v>
      </c>
      <c r="MPU1914" s="115">
        <v>19.489999999999998</v>
      </c>
      <c r="MPV1914" s="56">
        <v>18.98</v>
      </c>
      <c r="MPW1914" s="56">
        <v>17.5</v>
      </c>
      <c r="MPX1914" s="62">
        <v>13.28</v>
      </c>
      <c r="MPY1914" s="115">
        <v>19.489999999999998</v>
      </c>
      <c r="MPZ1914" s="56">
        <v>18.98</v>
      </c>
      <c r="MQA1914" s="56">
        <v>17.5</v>
      </c>
      <c r="MQB1914" s="62">
        <v>13.28</v>
      </c>
      <c r="MQC1914" s="115">
        <v>19.489999999999998</v>
      </c>
      <c r="MQD1914" s="56">
        <v>18.98</v>
      </c>
      <c r="MQE1914" s="56">
        <v>17.5</v>
      </c>
      <c r="MQF1914" s="62">
        <v>13.28</v>
      </c>
      <c r="MQG1914" s="115">
        <v>19.489999999999998</v>
      </c>
      <c r="MQH1914" s="56">
        <v>18.98</v>
      </c>
      <c r="MQI1914" s="56">
        <v>17.5</v>
      </c>
      <c r="MQJ1914" s="62">
        <v>13.28</v>
      </c>
      <c r="MQK1914" s="115">
        <v>19.489999999999998</v>
      </c>
      <c r="MQL1914" s="56">
        <v>18.98</v>
      </c>
      <c r="MQM1914" s="56">
        <v>17.5</v>
      </c>
      <c r="MQN1914" s="62">
        <v>13.28</v>
      </c>
      <c r="MQO1914" s="115">
        <v>19.489999999999998</v>
      </c>
      <c r="MQP1914" s="56">
        <v>18.98</v>
      </c>
      <c r="MQQ1914" s="56">
        <v>17.5</v>
      </c>
      <c r="MQR1914" s="62">
        <v>13.28</v>
      </c>
      <c r="MQS1914" s="115">
        <v>19.489999999999998</v>
      </c>
      <c r="MQT1914" s="56">
        <v>18.98</v>
      </c>
      <c r="MQU1914" s="56">
        <v>17.5</v>
      </c>
      <c r="MQV1914" s="62">
        <v>13.28</v>
      </c>
      <c r="MQW1914" s="115">
        <v>19.489999999999998</v>
      </c>
      <c r="MQX1914" s="56">
        <v>18.98</v>
      </c>
      <c r="MQY1914" s="56">
        <v>17.5</v>
      </c>
      <c r="MQZ1914" s="62">
        <v>13.28</v>
      </c>
      <c r="MRA1914" s="115">
        <v>19.489999999999998</v>
      </c>
      <c r="MRB1914" s="56">
        <v>18.98</v>
      </c>
      <c r="MRC1914" s="56">
        <v>17.5</v>
      </c>
      <c r="MRD1914" s="62">
        <v>13.28</v>
      </c>
      <c r="MRE1914" s="115">
        <v>19.489999999999998</v>
      </c>
      <c r="MRF1914" s="56">
        <v>18.98</v>
      </c>
      <c r="MRG1914" s="56">
        <v>17.5</v>
      </c>
      <c r="MRH1914" s="62">
        <v>13.28</v>
      </c>
      <c r="MRI1914" s="115">
        <v>19.489999999999998</v>
      </c>
      <c r="MRJ1914" s="56">
        <v>18.98</v>
      </c>
      <c r="MRK1914" s="56">
        <v>17.5</v>
      </c>
      <c r="MRL1914" s="62">
        <v>13.28</v>
      </c>
      <c r="MRM1914" s="115">
        <v>19.489999999999998</v>
      </c>
      <c r="MRN1914" s="56">
        <v>18.98</v>
      </c>
      <c r="MRO1914" s="56">
        <v>17.5</v>
      </c>
      <c r="MRP1914" s="62">
        <v>13.28</v>
      </c>
      <c r="MRQ1914" s="115">
        <v>19.489999999999998</v>
      </c>
      <c r="MRR1914" s="56">
        <v>18.98</v>
      </c>
      <c r="MRS1914" s="56">
        <v>17.5</v>
      </c>
      <c r="MRT1914" s="62">
        <v>13.28</v>
      </c>
      <c r="MRU1914" s="115">
        <v>19.489999999999998</v>
      </c>
      <c r="MRV1914" s="56">
        <v>18.98</v>
      </c>
      <c r="MRW1914" s="56">
        <v>17.5</v>
      </c>
      <c r="MRX1914" s="62">
        <v>13.28</v>
      </c>
      <c r="MRY1914" s="115">
        <v>19.489999999999998</v>
      </c>
      <c r="MRZ1914" s="56">
        <v>18.98</v>
      </c>
      <c r="MSA1914" s="56">
        <v>17.5</v>
      </c>
      <c r="MSB1914" s="62">
        <v>13.28</v>
      </c>
      <c r="MSC1914" s="115">
        <v>19.489999999999998</v>
      </c>
      <c r="MSD1914" s="56">
        <v>18.98</v>
      </c>
      <c r="MSE1914" s="56">
        <v>17.5</v>
      </c>
      <c r="MSF1914" s="62">
        <v>13.28</v>
      </c>
      <c r="MSG1914" s="115">
        <v>19.489999999999998</v>
      </c>
      <c r="MSH1914" s="56">
        <v>18.98</v>
      </c>
      <c r="MSI1914" s="56">
        <v>17.5</v>
      </c>
      <c r="MSJ1914" s="62">
        <v>13.28</v>
      </c>
      <c r="MSK1914" s="115">
        <v>19.489999999999998</v>
      </c>
      <c r="MSL1914" s="56">
        <v>18.98</v>
      </c>
      <c r="MSM1914" s="56">
        <v>17.5</v>
      </c>
      <c r="MSN1914" s="62">
        <v>13.28</v>
      </c>
      <c r="MSO1914" s="115">
        <v>19.489999999999998</v>
      </c>
      <c r="MSP1914" s="56">
        <v>18.98</v>
      </c>
      <c r="MSQ1914" s="56">
        <v>17.5</v>
      </c>
      <c r="MSR1914" s="62">
        <v>13.28</v>
      </c>
      <c r="MSS1914" s="115">
        <v>19.489999999999998</v>
      </c>
      <c r="MST1914" s="56">
        <v>18.98</v>
      </c>
      <c r="MSU1914" s="56">
        <v>17.5</v>
      </c>
      <c r="MSV1914" s="62">
        <v>13.28</v>
      </c>
      <c r="MSW1914" s="115">
        <v>19.489999999999998</v>
      </c>
      <c r="MSX1914" s="56">
        <v>18.98</v>
      </c>
      <c r="MSY1914" s="56">
        <v>17.5</v>
      </c>
      <c r="MSZ1914" s="62">
        <v>13.28</v>
      </c>
      <c r="MTA1914" s="115">
        <v>19.489999999999998</v>
      </c>
      <c r="MTB1914" s="56">
        <v>18.98</v>
      </c>
      <c r="MTC1914" s="56">
        <v>17.5</v>
      </c>
      <c r="MTD1914" s="62">
        <v>13.28</v>
      </c>
      <c r="MTE1914" s="115">
        <v>19.489999999999998</v>
      </c>
      <c r="MTF1914" s="56">
        <v>18.98</v>
      </c>
      <c r="MTG1914" s="56">
        <v>17.5</v>
      </c>
      <c r="MTH1914" s="62">
        <v>13.28</v>
      </c>
      <c r="MTI1914" s="115">
        <v>19.489999999999998</v>
      </c>
      <c r="MTJ1914" s="56">
        <v>18.98</v>
      </c>
      <c r="MTK1914" s="56">
        <v>17.5</v>
      </c>
      <c r="MTL1914" s="62">
        <v>13.28</v>
      </c>
      <c r="MTM1914" s="115">
        <v>19.489999999999998</v>
      </c>
      <c r="MTN1914" s="56">
        <v>18.98</v>
      </c>
      <c r="MTO1914" s="56">
        <v>17.5</v>
      </c>
      <c r="MTP1914" s="62">
        <v>13.28</v>
      </c>
      <c r="MTQ1914" s="115">
        <v>19.489999999999998</v>
      </c>
      <c r="MTR1914" s="56">
        <v>18.98</v>
      </c>
      <c r="MTS1914" s="56">
        <v>17.5</v>
      </c>
      <c r="MTT1914" s="62">
        <v>13.28</v>
      </c>
      <c r="MTU1914" s="115">
        <v>19.489999999999998</v>
      </c>
      <c r="MTV1914" s="56">
        <v>18.98</v>
      </c>
      <c r="MTW1914" s="56">
        <v>17.5</v>
      </c>
      <c r="MTX1914" s="62">
        <v>13.28</v>
      </c>
      <c r="MTY1914" s="115">
        <v>19.489999999999998</v>
      </c>
      <c r="MTZ1914" s="56">
        <v>18.98</v>
      </c>
      <c r="MUA1914" s="56">
        <v>17.5</v>
      </c>
      <c r="MUB1914" s="62">
        <v>13.28</v>
      </c>
      <c r="MUC1914" s="115">
        <v>19.489999999999998</v>
      </c>
      <c r="MUD1914" s="56">
        <v>18.98</v>
      </c>
      <c r="MUE1914" s="56">
        <v>17.5</v>
      </c>
      <c r="MUF1914" s="62">
        <v>13.28</v>
      </c>
      <c r="MUG1914" s="115">
        <v>19.489999999999998</v>
      </c>
      <c r="MUH1914" s="56">
        <v>18.98</v>
      </c>
      <c r="MUI1914" s="56">
        <v>17.5</v>
      </c>
      <c r="MUJ1914" s="62">
        <v>13.28</v>
      </c>
      <c r="MUK1914" s="115">
        <v>19.489999999999998</v>
      </c>
      <c r="MUL1914" s="56">
        <v>18.98</v>
      </c>
      <c r="MUM1914" s="56">
        <v>17.5</v>
      </c>
      <c r="MUN1914" s="62">
        <v>13.28</v>
      </c>
      <c r="MUO1914" s="115">
        <v>19.489999999999998</v>
      </c>
      <c r="MUP1914" s="56">
        <v>18.98</v>
      </c>
      <c r="MUQ1914" s="56">
        <v>17.5</v>
      </c>
      <c r="MUR1914" s="62">
        <v>13.28</v>
      </c>
      <c r="MUS1914" s="115">
        <v>19.489999999999998</v>
      </c>
      <c r="MUT1914" s="56">
        <v>18.98</v>
      </c>
      <c r="MUU1914" s="56">
        <v>17.5</v>
      </c>
      <c r="MUV1914" s="62">
        <v>13.28</v>
      </c>
      <c r="MUW1914" s="115">
        <v>19.489999999999998</v>
      </c>
      <c r="MUX1914" s="56">
        <v>18.98</v>
      </c>
      <c r="MUY1914" s="56">
        <v>17.5</v>
      </c>
      <c r="MUZ1914" s="62">
        <v>13.28</v>
      </c>
      <c r="MVA1914" s="115">
        <v>19.489999999999998</v>
      </c>
      <c r="MVB1914" s="56">
        <v>18.98</v>
      </c>
      <c r="MVC1914" s="56">
        <v>17.5</v>
      </c>
      <c r="MVD1914" s="62">
        <v>13.28</v>
      </c>
      <c r="MVE1914" s="115">
        <v>19.489999999999998</v>
      </c>
      <c r="MVF1914" s="56">
        <v>18.98</v>
      </c>
      <c r="MVG1914" s="56">
        <v>17.5</v>
      </c>
      <c r="MVH1914" s="62">
        <v>13.28</v>
      </c>
      <c r="MVI1914" s="115">
        <v>19.489999999999998</v>
      </c>
      <c r="MVJ1914" s="56">
        <v>18.98</v>
      </c>
      <c r="MVK1914" s="56">
        <v>17.5</v>
      </c>
      <c r="MVL1914" s="62">
        <v>13.28</v>
      </c>
      <c r="MVM1914" s="115">
        <v>19.489999999999998</v>
      </c>
      <c r="MVN1914" s="56">
        <v>18.98</v>
      </c>
      <c r="MVO1914" s="56">
        <v>17.5</v>
      </c>
      <c r="MVP1914" s="62">
        <v>13.28</v>
      </c>
      <c r="MVQ1914" s="115">
        <v>19.489999999999998</v>
      </c>
      <c r="MVR1914" s="56">
        <v>18.98</v>
      </c>
      <c r="MVS1914" s="56">
        <v>17.5</v>
      </c>
      <c r="MVT1914" s="62">
        <v>13.28</v>
      </c>
      <c r="MVU1914" s="115">
        <v>19.489999999999998</v>
      </c>
      <c r="MVV1914" s="56">
        <v>18.98</v>
      </c>
      <c r="MVW1914" s="56">
        <v>17.5</v>
      </c>
      <c r="MVX1914" s="62">
        <v>13.28</v>
      </c>
      <c r="MVY1914" s="115">
        <v>19.489999999999998</v>
      </c>
      <c r="MVZ1914" s="56">
        <v>18.98</v>
      </c>
      <c r="MWA1914" s="56">
        <v>17.5</v>
      </c>
      <c r="MWB1914" s="62">
        <v>13.28</v>
      </c>
      <c r="MWC1914" s="115">
        <v>19.489999999999998</v>
      </c>
      <c r="MWD1914" s="56">
        <v>18.98</v>
      </c>
      <c r="MWE1914" s="56">
        <v>17.5</v>
      </c>
      <c r="MWF1914" s="62">
        <v>13.28</v>
      </c>
      <c r="MWG1914" s="115">
        <v>19.489999999999998</v>
      </c>
      <c r="MWH1914" s="56">
        <v>18.98</v>
      </c>
      <c r="MWI1914" s="56">
        <v>17.5</v>
      </c>
      <c r="MWJ1914" s="62">
        <v>13.28</v>
      </c>
      <c r="MWK1914" s="115">
        <v>19.489999999999998</v>
      </c>
      <c r="MWL1914" s="56">
        <v>18.98</v>
      </c>
      <c r="MWM1914" s="56">
        <v>17.5</v>
      </c>
      <c r="MWN1914" s="62">
        <v>13.28</v>
      </c>
      <c r="MWO1914" s="115">
        <v>19.489999999999998</v>
      </c>
      <c r="MWP1914" s="56">
        <v>18.98</v>
      </c>
      <c r="MWQ1914" s="56">
        <v>17.5</v>
      </c>
      <c r="MWR1914" s="62">
        <v>13.28</v>
      </c>
      <c r="MWS1914" s="115">
        <v>19.489999999999998</v>
      </c>
      <c r="MWT1914" s="56">
        <v>18.98</v>
      </c>
      <c r="MWU1914" s="56">
        <v>17.5</v>
      </c>
      <c r="MWV1914" s="62">
        <v>13.28</v>
      </c>
      <c r="MWW1914" s="115">
        <v>19.489999999999998</v>
      </c>
      <c r="MWX1914" s="56">
        <v>18.98</v>
      </c>
      <c r="MWY1914" s="56">
        <v>17.5</v>
      </c>
      <c r="MWZ1914" s="62">
        <v>13.28</v>
      </c>
      <c r="MXA1914" s="115">
        <v>19.489999999999998</v>
      </c>
      <c r="MXB1914" s="56">
        <v>18.98</v>
      </c>
      <c r="MXC1914" s="56">
        <v>17.5</v>
      </c>
      <c r="MXD1914" s="62">
        <v>13.28</v>
      </c>
      <c r="MXE1914" s="115">
        <v>19.489999999999998</v>
      </c>
      <c r="MXF1914" s="56">
        <v>18.98</v>
      </c>
      <c r="MXG1914" s="56">
        <v>17.5</v>
      </c>
      <c r="MXH1914" s="62">
        <v>13.28</v>
      </c>
      <c r="MXI1914" s="115">
        <v>19.489999999999998</v>
      </c>
      <c r="MXJ1914" s="56">
        <v>18.98</v>
      </c>
      <c r="MXK1914" s="56">
        <v>17.5</v>
      </c>
      <c r="MXL1914" s="62">
        <v>13.28</v>
      </c>
      <c r="MXM1914" s="115">
        <v>19.489999999999998</v>
      </c>
      <c r="MXN1914" s="56">
        <v>18.98</v>
      </c>
      <c r="MXO1914" s="56">
        <v>17.5</v>
      </c>
      <c r="MXP1914" s="62">
        <v>13.28</v>
      </c>
      <c r="MXQ1914" s="115">
        <v>19.489999999999998</v>
      </c>
      <c r="MXR1914" s="56">
        <v>18.98</v>
      </c>
      <c r="MXS1914" s="56">
        <v>17.5</v>
      </c>
      <c r="MXT1914" s="62">
        <v>13.28</v>
      </c>
      <c r="MXU1914" s="115">
        <v>19.489999999999998</v>
      </c>
      <c r="MXV1914" s="56">
        <v>18.98</v>
      </c>
      <c r="MXW1914" s="56">
        <v>17.5</v>
      </c>
      <c r="MXX1914" s="62">
        <v>13.28</v>
      </c>
      <c r="MXY1914" s="115">
        <v>19.489999999999998</v>
      </c>
      <c r="MXZ1914" s="56">
        <v>18.98</v>
      </c>
      <c r="MYA1914" s="56">
        <v>17.5</v>
      </c>
      <c r="MYB1914" s="62">
        <v>13.28</v>
      </c>
      <c r="MYC1914" s="115">
        <v>19.489999999999998</v>
      </c>
      <c r="MYD1914" s="56">
        <v>18.98</v>
      </c>
      <c r="MYE1914" s="56">
        <v>17.5</v>
      </c>
      <c r="MYF1914" s="62">
        <v>13.28</v>
      </c>
      <c r="MYG1914" s="115">
        <v>19.489999999999998</v>
      </c>
      <c r="MYH1914" s="56">
        <v>18.98</v>
      </c>
      <c r="MYI1914" s="56">
        <v>17.5</v>
      </c>
      <c r="MYJ1914" s="62">
        <v>13.28</v>
      </c>
      <c r="MYK1914" s="115">
        <v>19.489999999999998</v>
      </c>
      <c r="MYL1914" s="56">
        <v>18.98</v>
      </c>
      <c r="MYM1914" s="56">
        <v>17.5</v>
      </c>
      <c r="MYN1914" s="62">
        <v>13.28</v>
      </c>
      <c r="MYO1914" s="115">
        <v>19.489999999999998</v>
      </c>
      <c r="MYP1914" s="56">
        <v>18.98</v>
      </c>
      <c r="MYQ1914" s="56">
        <v>17.5</v>
      </c>
      <c r="MYR1914" s="62">
        <v>13.28</v>
      </c>
      <c r="MYS1914" s="115">
        <v>19.489999999999998</v>
      </c>
      <c r="MYT1914" s="56">
        <v>18.98</v>
      </c>
      <c r="MYU1914" s="56">
        <v>17.5</v>
      </c>
      <c r="MYV1914" s="62">
        <v>13.28</v>
      </c>
      <c r="MYW1914" s="115">
        <v>19.489999999999998</v>
      </c>
      <c r="MYX1914" s="56">
        <v>18.98</v>
      </c>
      <c r="MYY1914" s="56">
        <v>17.5</v>
      </c>
      <c r="MYZ1914" s="62">
        <v>13.28</v>
      </c>
      <c r="MZA1914" s="115">
        <v>19.489999999999998</v>
      </c>
      <c r="MZB1914" s="56">
        <v>18.98</v>
      </c>
      <c r="MZC1914" s="56">
        <v>17.5</v>
      </c>
      <c r="MZD1914" s="62">
        <v>13.28</v>
      </c>
      <c r="MZE1914" s="115">
        <v>19.489999999999998</v>
      </c>
      <c r="MZF1914" s="56">
        <v>18.98</v>
      </c>
      <c r="MZG1914" s="56">
        <v>17.5</v>
      </c>
      <c r="MZH1914" s="62">
        <v>13.28</v>
      </c>
      <c r="MZI1914" s="115">
        <v>19.489999999999998</v>
      </c>
      <c r="MZJ1914" s="56">
        <v>18.98</v>
      </c>
      <c r="MZK1914" s="56">
        <v>17.5</v>
      </c>
      <c r="MZL1914" s="62">
        <v>13.28</v>
      </c>
      <c r="MZM1914" s="115">
        <v>19.489999999999998</v>
      </c>
      <c r="MZN1914" s="56">
        <v>18.98</v>
      </c>
      <c r="MZO1914" s="56">
        <v>17.5</v>
      </c>
      <c r="MZP1914" s="62">
        <v>13.28</v>
      </c>
      <c r="MZQ1914" s="115">
        <v>19.489999999999998</v>
      </c>
      <c r="MZR1914" s="56">
        <v>18.98</v>
      </c>
      <c r="MZS1914" s="56">
        <v>17.5</v>
      </c>
      <c r="MZT1914" s="62">
        <v>13.28</v>
      </c>
      <c r="MZU1914" s="115">
        <v>19.489999999999998</v>
      </c>
      <c r="MZV1914" s="56">
        <v>18.98</v>
      </c>
      <c r="MZW1914" s="56">
        <v>17.5</v>
      </c>
      <c r="MZX1914" s="62">
        <v>13.28</v>
      </c>
      <c r="MZY1914" s="115">
        <v>19.489999999999998</v>
      </c>
      <c r="MZZ1914" s="56">
        <v>18.98</v>
      </c>
      <c r="NAA1914" s="56">
        <v>17.5</v>
      </c>
      <c r="NAB1914" s="62">
        <v>13.28</v>
      </c>
      <c r="NAC1914" s="115">
        <v>19.489999999999998</v>
      </c>
      <c r="NAD1914" s="56">
        <v>18.98</v>
      </c>
      <c r="NAE1914" s="56">
        <v>17.5</v>
      </c>
      <c r="NAF1914" s="62">
        <v>13.28</v>
      </c>
      <c r="NAG1914" s="115">
        <v>19.489999999999998</v>
      </c>
      <c r="NAH1914" s="56">
        <v>18.98</v>
      </c>
      <c r="NAI1914" s="56">
        <v>17.5</v>
      </c>
      <c r="NAJ1914" s="62">
        <v>13.28</v>
      </c>
      <c r="NAK1914" s="115">
        <v>19.489999999999998</v>
      </c>
      <c r="NAL1914" s="56">
        <v>18.98</v>
      </c>
      <c r="NAM1914" s="56">
        <v>17.5</v>
      </c>
      <c r="NAN1914" s="62">
        <v>13.28</v>
      </c>
      <c r="NAO1914" s="115">
        <v>19.489999999999998</v>
      </c>
      <c r="NAP1914" s="56">
        <v>18.98</v>
      </c>
      <c r="NAQ1914" s="56">
        <v>17.5</v>
      </c>
      <c r="NAR1914" s="62">
        <v>13.28</v>
      </c>
      <c r="NAS1914" s="115">
        <v>19.489999999999998</v>
      </c>
      <c r="NAT1914" s="56">
        <v>18.98</v>
      </c>
      <c r="NAU1914" s="56">
        <v>17.5</v>
      </c>
      <c r="NAV1914" s="62">
        <v>13.28</v>
      </c>
      <c r="NAW1914" s="115">
        <v>19.489999999999998</v>
      </c>
      <c r="NAX1914" s="56">
        <v>18.98</v>
      </c>
      <c r="NAY1914" s="56">
        <v>17.5</v>
      </c>
      <c r="NAZ1914" s="62">
        <v>13.28</v>
      </c>
      <c r="NBA1914" s="115">
        <v>19.489999999999998</v>
      </c>
      <c r="NBB1914" s="56">
        <v>18.98</v>
      </c>
      <c r="NBC1914" s="56">
        <v>17.5</v>
      </c>
      <c r="NBD1914" s="62">
        <v>13.28</v>
      </c>
      <c r="NBE1914" s="115">
        <v>19.489999999999998</v>
      </c>
      <c r="NBF1914" s="56">
        <v>18.98</v>
      </c>
      <c r="NBG1914" s="56">
        <v>17.5</v>
      </c>
      <c r="NBH1914" s="62">
        <v>13.28</v>
      </c>
      <c r="NBI1914" s="115">
        <v>19.489999999999998</v>
      </c>
      <c r="NBJ1914" s="56">
        <v>18.98</v>
      </c>
      <c r="NBK1914" s="56">
        <v>17.5</v>
      </c>
      <c r="NBL1914" s="62">
        <v>13.28</v>
      </c>
      <c r="NBM1914" s="115">
        <v>19.489999999999998</v>
      </c>
      <c r="NBN1914" s="56">
        <v>18.98</v>
      </c>
      <c r="NBO1914" s="56">
        <v>17.5</v>
      </c>
      <c r="NBP1914" s="62">
        <v>13.28</v>
      </c>
      <c r="NBQ1914" s="115">
        <v>19.489999999999998</v>
      </c>
      <c r="NBR1914" s="56">
        <v>18.98</v>
      </c>
      <c r="NBS1914" s="56">
        <v>17.5</v>
      </c>
      <c r="NBT1914" s="62">
        <v>13.28</v>
      </c>
      <c r="NBU1914" s="115">
        <v>19.489999999999998</v>
      </c>
      <c r="NBV1914" s="56">
        <v>18.98</v>
      </c>
      <c r="NBW1914" s="56">
        <v>17.5</v>
      </c>
      <c r="NBX1914" s="62">
        <v>13.28</v>
      </c>
      <c r="NBY1914" s="115">
        <v>19.489999999999998</v>
      </c>
      <c r="NBZ1914" s="56">
        <v>18.98</v>
      </c>
      <c r="NCA1914" s="56">
        <v>17.5</v>
      </c>
      <c r="NCB1914" s="62">
        <v>13.28</v>
      </c>
      <c r="NCC1914" s="115">
        <v>19.489999999999998</v>
      </c>
      <c r="NCD1914" s="56">
        <v>18.98</v>
      </c>
      <c r="NCE1914" s="56">
        <v>17.5</v>
      </c>
      <c r="NCF1914" s="62">
        <v>13.28</v>
      </c>
      <c r="NCG1914" s="115">
        <v>19.489999999999998</v>
      </c>
      <c r="NCH1914" s="56">
        <v>18.98</v>
      </c>
      <c r="NCI1914" s="56">
        <v>17.5</v>
      </c>
      <c r="NCJ1914" s="62">
        <v>13.28</v>
      </c>
      <c r="NCK1914" s="115">
        <v>19.489999999999998</v>
      </c>
      <c r="NCL1914" s="56">
        <v>18.98</v>
      </c>
      <c r="NCM1914" s="56">
        <v>17.5</v>
      </c>
      <c r="NCN1914" s="62">
        <v>13.28</v>
      </c>
      <c r="NCO1914" s="115">
        <v>19.489999999999998</v>
      </c>
      <c r="NCP1914" s="56">
        <v>18.98</v>
      </c>
      <c r="NCQ1914" s="56">
        <v>17.5</v>
      </c>
      <c r="NCR1914" s="62">
        <v>13.28</v>
      </c>
      <c r="NCS1914" s="115">
        <v>19.489999999999998</v>
      </c>
      <c r="NCT1914" s="56">
        <v>18.98</v>
      </c>
      <c r="NCU1914" s="56">
        <v>17.5</v>
      </c>
      <c r="NCV1914" s="62">
        <v>13.28</v>
      </c>
      <c r="NCW1914" s="115">
        <v>19.489999999999998</v>
      </c>
      <c r="NCX1914" s="56">
        <v>18.98</v>
      </c>
      <c r="NCY1914" s="56">
        <v>17.5</v>
      </c>
      <c r="NCZ1914" s="62">
        <v>13.28</v>
      </c>
      <c r="NDA1914" s="115">
        <v>19.489999999999998</v>
      </c>
      <c r="NDB1914" s="56">
        <v>18.98</v>
      </c>
      <c r="NDC1914" s="56">
        <v>17.5</v>
      </c>
      <c r="NDD1914" s="62">
        <v>13.28</v>
      </c>
      <c r="NDE1914" s="115">
        <v>19.489999999999998</v>
      </c>
      <c r="NDF1914" s="56">
        <v>18.98</v>
      </c>
      <c r="NDG1914" s="56">
        <v>17.5</v>
      </c>
      <c r="NDH1914" s="62">
        <v>13.28</v>
      </c>
      <c r="NDI1914" s="115">
        <v>19.489999999999998</v>
      </c>
      <c r="NDJ1914" s="56">
        <v>18.98</v>
      </c>
      <c r="NDK1914" s="56">
        <v>17.5</v>
      </c>
      <c r="NDL1914" s="62">
        <v>13.28</v>
      </c>
      <c r="NDM1914" s="115">
        <v>19.489999999999998</v>
      </c>
      <c r="NDN1914" s="56">
        <v>18.98</v>
      </c>
      <c r="NDO1914" s="56">
        <v>17.5</v>
      </c>
      <c r="NDP1914" s="62">
        <v>13.28</v>
      </c>
      <c r="NDQ1914" s="115">
        <v>19.489999999999998</v>
      </c>
      <c r="NDR1914" s="56">
        <v>18.98</v>
      </c>
      <c r="NDS1914" s="56">
        <v>17.5</v>
      </c>
      <c r="NDT1914" s="62">
        <v>13.28</v>
      </c>
      <c r="NDU1914" s="115">
        <v>19.489999999999998</v>
      </c>
      <c r="NDV1914" s="56">
        <v>18.98</v>
      </c>
      <c r="NDW1914" s="56">
        <v>17.5</v>
      </c>
      <c r="NDX1914" s="62">
        <v>13.28</v>
      </c>
      <c r="NDY1914" s="115">
        <v>19.489999999999998</v>
      </c>
      <c r="NDZ1914" s="56">
        <v>18.98</v>
      </c>
      <c r="NEA1914" s="56">
        <v>17.5</v>
      </c>
      <c r="NEB1914" s="62">
        <v>13.28</v>
      </c>
      <c r="NEC1914" s="115">
        <v>19.489999999999998</v>
      </c>
      <c r="NED1914" s="56">
        <v>18.98</v>
      </c>
      <c r="NEE1914" s="56">
        <v>17.5</v>
      </c>
      <c r="NEF1914" s="62">
        <v>13.28</v>
      </c>
      <c r="NEG1914" s="115">
        <v>19.489999999999998</v>
      </c>
      <c r="NEH1914" s="56">
        <v>18.98</v>
      </c>
      <c r="NEI1914" s="56">
        <v>17.5</v>
      </c>
      <c r="NEJ1914" s="62">
        <v>13.28</v>
      </c>
      <c r="NEK1914" s="115">
        <v>19.489999999999998</v>
      </c>
      <c r="NEL1914" s="56">
        <v>18.98</v>
      </c>
      <c r="NEM1914" s="56">
        <v>17.5</v>
      </c>
      <c r="NEN1914" s="62">
        <v>13.28</v>
      </c>
      <c r="NEO1914" s="115">
        <v>19.489999999999998</v>
      </c>
      <c r="NEP1914" s="56">
        <v>18.98</v>
      </c>
      <c r="NEQ1914" s="56">
        <v>17.5</v>
      </c>
      <c r="NER1914" s="62">
        <v>13.28</v>
      </c>
      <c r="NES1914" s="115">
        <v>19.489999999999998</v>
      </c>
      <c r="NET1914" s="56">
        <v>18.98</v>
      </c>
      <c r="NEU1914" s="56">
        <v>17.5</v>
      </c>
      <c r="NEV1914" s="62">
        <v>13.28</v>
      </c>
      <c r="NEW1914" s="115">
        <v>19.489999999999998</v>
      </c>
      <c r="NEX1914" s="56">
        <v>18.98</v>
      </c>
      <c r="NEY1914" s="56">
        <v>17.5</v>
      </c>
      <c r="NEZ1914" s="62">
        <v>13.28</v>
      </c>
      <c r="NFA1914" s="115">
        <v>19.489999999999998</v>
      </c>
      <c r="NFB1914" s="56">
        <v>18.98</v>
      </c>
      <c r="NFC1914" s="56">
        <v>17.5</v>
      </c>
      <c r="NFD1914" s="62">
        <v>13.28</v>
      </c>
      <c r="NFE1914" s="115">
        <v>19.489999999999998</v>
      </c>
      <c r="NFF1914" s="56">
        <v>18.98</v>
      </c>
      <c r="NFG1914" s="56">
        <v>17.5</v>
      </c>
      <c r="NFH1914" s="62">
        <v>13.28</v>
      </c>
      <c r="NFI1914" s="115">
        <v>19.489999999999998</v>
      </c>
      <c r="NFJ1914" s="56">
        <v>18.98</v>
      </c>
      <c r="NFK1914" s="56">
        <v>17.5</v>
      </c>
      <c r="NFL1914" s="62">
        <v>13.28</v>
      </c>
      <c r="NFM1914" s="115">
        <v>19.489999999999998</v>
      </c>
      <c r="NFN1914" s="56">
        <v>18.98</v>
      </c>
      <c r="NFO1914" s="56">
        <v>17.5</v>
      </c>
      <c r="NFP1914" s="62">
        <v>13.28</v>
      </c>
      <c r="NFQ1914" s="115">
        <v>19.489999999999998</v>
      </c>
      <c r="NFR1914" s="56">
        <v>18.98</v>
      </c>
      <c r="NFS1914" s="56">
        <v>17.5</v>
      </c>
      <c r="NFT1914" s="62">
        <v>13.28</v>
      </c>
      <c r="NFU1914" s="115">
        <v>19.489999999999998</v>
      </c>
      <c r="NFV1914" s="56">
        <v>18.98</v>
      </c>
      <c r="NFW1914" s="56">
        <v>17.5</v>
      </c>
      <c r="NFX1914" s="62">
        <v>13.28</v>
      </c>
      <c r="NFY1914" s="115">
        <v>19.489999999999998</v>
      </c>
      <c r="NFZ1914" s="56">
        <v>18.98</v>
      </c>
      <c r="NGA1914" s="56">
        <v>17.5</v>
      </c>
      <c r="NGB1914" s="62">
        <v>13.28</v>
      </c>
      <c r="NGC1914" s="115">
        <v>19.489999999999998</v>
      </c>
      <c r="NGD1914" s="56">
        <v>18.98</v>
      </c>
      <c r="NGE1914" s="56">
        <v>17.5</v>
      </c>
      <c r="NGF1914" s="62">
        <v>13.28</v>
      </c>
      <c r="NGG1914" s="115">
        <v>19.489999999999998</v>
      </c>
      <c r="NGH1914" s="56">
        <v>18.98</v>
      </c>
      <c r="NGI1914" s="56">
        <v>17.5</v>
      </c>
      <c r="NGJ1914" s="62">
        <v>13.28</v>
      </c>
      <c r="NGK1914" s="115">
        <v>19.489999999999998</v>
      </c>
      <c r="NGL1914" s="56">
        <v>18.98</v>
      </c>
      <c r="NGM1914" s="56">
        <v>17.5</v>
      </c>
      <c r="NGN1914" s="62">
        <v>13.28</v>
      </c>
      <c r="NGO1914" s="115">
        <v>19.489999999999998</v>
      </c>
      <c r="NGP1914" s="56">
        <v>18.98</v>
      </c>
      <c r="NGQ1914" s="56">
        <v>17.5</v>
      </c>
      <c r="NGR1914" s="62">
        <v>13.28</v>
      </c>
      <c r="NGS1914" s="115">
        <v>19.489999999999998</v>
      </c>
      <c r="NGT1914" s="56">
        <v>18.98</v>
      </c>
      <c r="NGU1914" s="56">
        <v>17.5</v>
      </c>
      <c r="NGV1914" s="62">
        <v>13.28</v>
      </c>
      <c r="NGW1914" s="115">
        <v>19.489999999999998</v>
      </c>
      <c r="NGX1914" s="56">
        <v>18.98</v>
      </c>
      <c r="NGY1914" s="56">
        <v>17.5</v>
      </c>
      <c r="NGZ1914" s="62">
        <v>13.28</v>
      </c>
      <c r="NHA1914" s="115">
        <v>19.489999999999998</v>
      </c>
      <c r="NHB1914" s="56">
        <v>18.98</v>
      </c>
      <c r="NHC1914" s="56">
        <v>17.5</v>
      </c>
      <c r="NHD1914" s="62">
        <v>13.28</v>
      </c>
      <c r="NHE1914" s="115">
        <v>19.489999999999998</v>
      </c>
      <c r="NHF1914" s="56">
        <v>18.98</v>
      </c>
      <c r="NHG1914" s="56">
        <v>17.5</v>
      </c>
      <c r="NHH1914" s="62">
        <v>13.28</v>
      </c>
      <c r="NHI1914" s="115">
        <v>19.489999999999998</v>
      </c>
      <c r="NHJ1914" s="56">
        <v>18.98</v>
      </c>
      <c r="NHK1914" s="56">
        <v>17.5</v>
      </c>
      <c r="NHL1914" s="62">
        <v>13.28</v>
      </c>
      <c r="NHM1914" s="115">
        <v>19.489999999999998</v>
      </c>
      <c r="NHN1914" s="56">
        <v>18.98</v>
      </c>
      <c r="NHO1914" s="56">
        <v>17.5</v>
      </c>
      <c r="NHP1914" s="62">
        <v>13.28</v>
      </c>
      <c r="NHQ1914" s="115">
        <v>19.489999999999998</v>
      </c>
      <c r="NHR1914" s="56">
        <v>18.98</v>
      </c>
      <c r="NHS1914" s="56">
        <v>17.5</v>
      </c>
      <c r="NHT1914" s="62">
        <v>13.28</v>
      </c>
      <c r="NHU1914" s="115">
        <v>19.489999999999998</v>
      </c>
      <c r="NHV1914" s="56">
        <v>18.98</v>
      </c>
      <c r="NHW1914" s="56">
        <v>17.5</v>
      </c>
      <c r="NHX1914" s="62">
        <v>13.28</v>
      </c>
      <c r="NHY1914" s="115">
        <v>19.489999999999998</v>
      </c>
      <c r="NHZ1914" s="56">
        <v>18.98</v>
      </c>
      <c r="NIA1914" s="56">
        <v>17.5</v>
      </c>
      <c r="NIB1914" s="62">
        <v>13.28</v>
      </c>
      <c r="NIC1914" s="115">
        <v>19.489999999999998</v>
      </c>
      <c r="NID1914" s="56">
        <v>18.98</v>
      </c>
      <c r="NIE1914" s="56">
        <v>17.5</v>
      </c>
      <c r="NIF1914" s="62">
        <v>13.28</v>
      </c>
      <c r="NIG1914" s="115">
        <v>19.489999999999998</v>
      </c>
      <c r="NIH1914" s="56">
        <v>18.98</v>
      </c>
      <c r="NII1914" s="56">
        <v>17.5</v>
      </c>
      <c r="NIJ1914" s="62">
        <v>13.28</v>
      </c>
      <c r="NIK1914" s="115">
        <v>19.489999999999998</v>
      </c>
      <c r="NIL1914" s="56">
        <v>18.98</v>
      </c>
      <c r="NIM1914" s="56">
        <v>17.5</v>
      </c>
      <c r="NIN1914" s="62">
        <v>13.28</v>
      </c>
      <c r="NIO1914" s="115">
        <v>19.489999999999998</v>
      </c>
      <c r="NIP1914" s="56">
        <v>18.98</v>
      </c>
      <c r="NIQ1914" s="56">
        <v>17.5</v>
      </c>
      <c r="NIR1914" s="62">
        <v>13.28</v>
      </c>
      <c r="NIS1914" s="115">
        <v>19.489999999999998</v>
      </c>
      <c r="NIT1914" s="56">
        <v>18.98</v>
      </c>
      <c r="NIU1914" s="56">
        <v>17.5</v>
      </c>
      <c r="NIV1914" s="62">
        <v>13.28</v>
      </c>
      <c r="NIW1914" s="115">
        <v>19.489999999999998</v>
      </c>
      <c r="NIX1914" s="56">
        <v>18.98</v>
      </c>
      <c r="NIY1914" s="56">
        <v>17.5</v>
      </c>
      <c r="NIZ1914" s="62">
        <v>13.28</v>
      </c>
      <c r="NJA1914" s="115">
        <v>19.489999999999998</v>
      </c>
      <c r="NJB1914" s="56">
        <v>18.98</v>
      </c>
      <c r="NJC1914" s="56">
        <v>17.5</v>
      </c>
      <c r="NJD1914" s="62">
        <v>13.28</v>
      </c>
      <c r="NJE1914" s="115">
        <v>19.489999999999998</v>
      </c>
      <c r="NJF1914" s="56">
        <v>18.98</v>
      </c>
      <c r="NJG1914" s="56">
        <v>17.5</v>
      </c>
      <c r="NJH1914" s="62">
        <v>13.28</v>
      </c>
      <c r="NJI1914" s="115">
        <v>19.489999999999998</v>
      </c>
      <c r="NJJ1914" s="56">
        <v>18.98</v>
      </c>
      <c r="NJK1914" s="56">
        <v>17.5</v>
      </c>
      <c r="NJL1914" s="62">
        <v>13.28</v>
      </c>
      <c r="NJM1914" s="115">
        <v>19.489999999999998</v>
      </c>
      <c r="NJN1914" s="56">
        <v>18.98</v>
      </c>
      <c r="NJO1914" s="56">
        <v>17.5</v>
      </c>
      <c r="NJP1914" s="62">
        <v>13.28</v>
      </c>
      <c r="NJQ1914" s="115">
        <v>19.489999999999998</v>
      </c>
      <c r="NJR1914" s="56">
        <v>18.98</v>
      </c>
      <c r="NJS1914" s="56">
        <v>17.5</v>
      </c>
      <c r="NJT1914" s="62">
        <v>13.28</v>
      </c>
      <c r="NJU1914" s="115">
        <v>19.489999999999998</v>
      </c>
      <c r="NJV1914" s="56">
        <v>18.98</v>
      </c>
      <c r="NJW1914" s="56">
        <v>17.5</v>
      </c>
      <c r="NJX1914" s="62">
        <v>13.28</v>
      </c>
      <c r="NJY1914" s="115">
        <v>19.489999999999998</v>
      </c>
      <c r="NJZ1914" s="56">
        <v>18.98</v>
      </c>
      <c r="NKA1914" s="56">
        <v>17.5</v>
      </c>
      <c r="NKB1914" s="62">
        <v>13.28</v>
      </c>
      <c r="NKC1914" s="115">
        <v>19.489999999999998</v>
      </c>
      <c r="NKD1914" s="56">
        <v>18.98</v>
      </c>
      <c r="NKE1914" s="56">
        <v>17.5</v>
      </c>
      <c r="NKF1914" s="62">
        <v>13.28</v>
      </c>
      <c r="NKG1914" s="115">
        <v>19.489999999999998</v>
      </c>
      <c r="NKH1914" s="56">
        <v>18.98</v>
      </c>
      <c r="NKI1914" s="56">
        <v>17.5</v>
      </c>
      <c r="NKJ1914" s="62">
        <v>13.28</v>
      </c>
      <c r="NKK1914" s="115">
        <v>19.489999999999998</v>
      </c>
      <c r="NKL1914" s="56">
        <v>18.98</v>
      </c>
      <c r="NKM1914" s="56">
        <v>17.5</v>
      </c>
      <c r="NKN1914" s="62">
        <v>13.28</v>
      </c>
      <c r="NKO1914" s="115">
        <v>19.489999999999998</v>
      </c>
      <c r="NKP1914" s="56">
        <v>18.98</v>
      </c>
      <c r="NKQ1914" s="56">
        <v>17.5</v>
      </c>
      <c r="NKR1914" s="62">
        <v>13.28</v>
      </c>
      <c r="NKS1914" s="115">
        <v>19.489999999999998</v>
      </c>
      <c r="NKT1914" s="56">
        <v>18.98</v>
      </c>
      <c r="NKU1914" s="56">
        <v>17.5</v>
      </c>
      <c r="NKV1914" s="62">
        <v>13.28</v>
      </c>
      <c r="NKW1914" s="115">
        <v>19.489999999999998</v>
      </c>
      <c r="NKX1914" s="56">
        <v>18.98</v>
      </c>
      <c r="NKY1914" s="56">
        <v>17.5</v>
      </c>
      <c r="NKZ1914" s="62">
        <v>13.28</v>
      </c>
      <c r="NLA1914" s="115">
        <v>19.489999999999998</v>
      </c>
      <c r="NLB1914" s="56">
        <v>18.98</v>
      </c>
      <c r="NLC1914" s="56">
        <v>17.5</v>
      </c>
      <c r="NLD1914" s="62">
        <v>13.28</v>
      </c>
      <c r="NLE1914" s="115">
        <v>19.489999999999998</v>
      </c>
      <c r="NLF1914" s="56">
        <v>18.98</v>
      </c>
      <c r="NLG1914" s="56">
        <v>17.5</v>
      </c>
      <c r="NLH1914" s="62">
        <v>13.28</v>
      </c>
      <c r="NLI1914" s="115">
        <v>19.489999999999998</v>
      </c>
      <c r="NLJ1914" s="56">
        <v>18.98</v>
      </c>
      <c r="NLK1914" s="56">
        <v>17.5</v>
      </c>
      <c r="NLL1914" s="62">
        <v>13.28</v>
      </c>
      <c r="NLM1914" s="115">
        <v>19.489999999999998</v>
      </c>
      <c r="NLN1914" s="56">
        <v>18.98</v>
      </c>
      <c r="NLO1914" s="56">
        <v>17.5</v>
      </c>
      <c r="NLP1914" s="62">
        <v>13.28</v>
      </c>
      <c r="NLQ1914" s="115">
        <v>19.489999999999998</v>
      </c>
      <c r="NLR1914" s="56">
        <v>18.98</v>
      </c>
      <c r="NLS1914" s="56">
        <v>17.5</v>
      </c>
      <c r="NLT1914" s="62">
        <v>13.28</v>
      </c>
      <c r="NLU1914" s="115">
        <v>19.489999999999998</v>
      </c>
      <c r="NLV1914" s="56">
        <v>18.98</v>
      </c>
      <c r="NLW1914" s="56">
        <v>17.5</v>
      </c>
      <c r="NLX1914" s="62">
        <v>13.28</v>
      </c>
      <c r="NLY1914" s="115">
        <v>19.489999999999998</v>
      </c>
      <c r="NLZ1914" s="56">
        <v>18.98</v>
      </c>
      <c r="NMA1914" s="56">
        <v>17.5</v>
      </c>
      <c r="NMB1914" s="62">
        <v>13.28</v>
      </c>
      <c r="NMC1914" s="115">
        <v>19.489999999999998</v>
      </c>
      <c r="NMD1914" s="56">
        <v>18.98</v>
      </c>
      <c r="NME1914" s="56">
        <v>17.5</v>
      </c>
      <c r="NMF1914" s="62">
        <v>13.28</v>
      </c>
      <c r="NMG1914" s="115">
        <v>19.489999999999998</v>
      </c>
      <c r="NMH1914" s="56">
        <v>18.98</v>
      </c>
      <c r="NMI1914" s="56">
        <v>17.5</v>
      </c>
      <c r="NMJ1914" s="62">
        <v>13.28</v>
      </c>
      <c r="NMK1914" s="115">
        <v>19.489999999999998</v>
      </c>
      <c r="NML1914" s="56">
        <v>18.98</v>
      </c>
      <c r="NMM1914" s="56">
        <v>17.5</v>
      </c>
      <c r="NMN1914" s="62">
        <v>13.28</v>
      </c>
      <c r="NMO1914" s="115">
        <v>19.489999999999998</v>
      </c>
      <c r="NMP1914" s="56">
        <v>18.98</v>
      </c>
      <c r="NMQ1914" s="56">
        <v>17.5</v>
      </c>
      <c r="NMR1914" s="62">
        <v>13.28</v>
      </c>
      <c r="NMS1914" s="115">
        <v>19.489999999999998</v>
      </c>
      <c r="NMT1914" s="56">
        <v>18.98</v>
      </c>
      <c r="NMU1914" s="56">
        <v>17.5</v>
      </c>
      <c r="NMV1914" s="62">
        <v>13.28</v>
      </c>
      <c r="NMW1914" s="115">
        <v>19.489999999999998</v>
      </c>
      <c r="NMX1914" s="56">
        <v>18.98</v>
      </c>
      <c r="NMY1914" s="56">
        <v>17.5</v>
      </c>
      <c r="NMZ1914" s="62">
        <v>13.28</v>
      </c>
      <c r="NNA1914" s="115">
        <v>19.489999999999998</v>
      </c>
      <c r="NNB1914" s="56">
        <v>18.98</v>
      </c>
      <c r="NNC1914" s="56">
        <v>17.5</v>
      </c>
      <c r="NND1914" s="62">
        <v>13.28</v>
      </c>
      <c r="NNE1914" s="115">
        <v>19.489999999999998</v>
      </c>
      <c r="NNF1914" s="56">
        <v>18.98</v>
      </c>
      <c r="NNG1914" s="56">
        <v>17.5</v>
      </c>
      <c r="NNH1914" s="62">
        <v>13.28</v>
      </c>
      <c r="NNI1914" s="115">
        <v>19.489999999999998</v>
      </c>
      <c r="NNJ1914" s="56">
        <v>18.98</v>
      </c>
      <c r="NNK1914" s="56">
        <v>17.5</v>
      </c>
      <c r="NNL1914" s="62">
        <v>13.28</v>
      </c>
      <c r="NNM1914" s="115">
        <v>19.489999999999998</v>
      </c>
      <c r="NNN1914" s="56">
        <v>18.98</v>
      </c>
      <c r="NNO1914" s="56">
        <v>17.5</v>
      </c>
      <c r="NNP1914" s="62">
        <v>13.28</v>
      </c>
      <c r="NNQ1914" s="115">
        <v>19.489999999999998</v>
      </c>
      <c r="NNR1914" s="56">
        <v>18.98</v>
      </c>
      <c r="NNS1914" s="56">
        <v>17.5</v>
      </c>
      <c r="NNT1914" s="62">
        <v>13.28</v>
      </c>
      <c r="NNU1914" s="115">
        <v>19.489999999999998</v>
      </c>
      <c r="NNV1914" s="56">
        <v>18.98</v>
      </c>
      <c r="NNW1914" s="56">
        <v>17.5</v>
      </c>
      <c r="NNX1914" s="62">
        <v>13.28</v>
      </c>
      <c r="NNY1914" s="115">
        <v>19.489999999999998</v>
      </c>
      <c r="NNZ1914" s="56">
        <v>18.98</v>
      </c>
      <c r="NOA1914" s="56">
        <v>17.5</v>
      </c>
      <c r="NOB1914" s="62">
        <v>13.28</v>
      </c>
      <c r="NOC1914" s="115">
        <v>19.489999999999998</v>
      </c>
      <c r="NOD1914" s="56">
        <v>18.98</v>
      </c>
      <c r="NOE1914" s="56">
        <v>17.5</v>
      </c>
      <c r="NOF1914" s="62">
        <v>13.28</v>
      </c>
      <c r="NOG1914" s="115">
        <v>19.489999999999998</v>
      </c>
      <c r="NOH1914" s="56">
        <v>18.98</v>
      </c>
      <c r="NOI1914" s="56">
        <v>17.5</v>
      </c>
      <c r="NOJ1914" s="62">
        <v>13.28</v>
      </c>
      <c r="NOK1914" s="115">
        <v>19.489999999999998</v>
      </c>
      <c r="NOL1914" s="56">
        <v>18.98</v>
      </c>
      <c r="NOM1914" s="56">
        <v>17.5</v>
      </c>
      <c r="NON1914" s="62">
        <v>13.28</v>
      </c>
      <c r="NOO1914" s="115">
        <v>19.489999999999998</v>
      </c>
      <c r="NOP1914" s="56">
        <v>18.98</v>
      </c>
      <c r="NOQ1914" s="56">
        <v>17.5</v>
      </c>
      <c r="NOR1914" s="62">
        <v>13.28</v>
      </c>
      <c r="NOS1914" s="115">
        <v>19.489999999999998</v>
      </c>
      <c r="NOT1914" s="56">
        <v>18.98</v>
      </c>
      <c r="NOU1914" s="56">
        <v>17.5</v>
      </c>
      <c r="NOV1914" s="62">
        <v>13.28</v>
      </c>
      <c r="NOW1914" s="115">
        <v>19.489999999999998</v>
      </c>
      <c r="NOX1914" s="56">
        <v>18.98</v>
      </c>
      <c r="NOY1914" s="56">
        <v>17.5</v>
      </c>
      <c r="NOZ1914" s="62">
        <v>13.28</v>
      </c>
      <c r="NPA1914" s="115">
        <v>19.489999999999998</v>
      </c>
      <c r="NPB1914" s="56">
        <v>18.98</v>
      </c>
      <c r="NPC1914" s="56">
        <v>17.5</v>
      </c>
      <c r="NPD1914" s="62">
        <v>13.28</v>
      </c>
      <c r="NPE1914" s="115">
        <v>19.489999999999998</v>
      </c>
      <c r="NPF1914" s="56">
        <v>18.98</v>
      </c>
      <c r="NPG1914" s="56">
        <v>17.5</v>
      </c>
      <c r="NPH1914" s="62">
        <v>13.28</v>
      </c>
      <c r="NPI1914" s="115">
        <v>19.489999999999998</v>
      </c>
      <c r="NPJ1914" s="56">
        <v>18.98</v>
      </c>
      <c r="NPK1914" s="56">
        <v>17.5</v>
      </c>
      <c r="NPL1914" s="62">
        <v>13.28</v>
      </c>
      <c r="NPM1914" s="115">
        <v>19.489999999999998</v>
      </c>
      <c r="NPN1914" s="56">
        <v>18.98</v>
      </c>
      <c r="NPO1914" s="56">
        <v>17.5</v>
      </c>
      <c r="NPP1914" s="62">
        <v>13.28</v>
      </c>
      <c r="NPQ1914" s="115">
        <v>19.489999999999998</v>
      </c>
      <c r="NPR1914" s="56">
        <v>18.98</v>
      </c>
      <c r="NPS1914" s="56">
        <v>17.5</v>
      </c>
      <c r="NPT1914" s="62">
        <v>13.28</v>
      </c>
      <c r="NPU1914" s="115">
        <v>19.489999999999998</v>
      </c>
      <c r="NPV1914" s="56">
        <v>18.98</v>
      </c>
      <c r="NPW1914" s="56">
        <v>17.5</v>
      </c>
      <c r="NPX1914" s="62">
        <v>13.28</v>
      </c>
      <c r="NPY1914" s="115">
        <v>19.489999999999998</v>
      </c>
      <c r="NPZ1914" s="56">
        <v>18.98</v>
      </c>
      <c r="NQA1914" s="56">
        <v>17.5</v>
      </c>
      <c r="NQB1914" s="62">
        <v>13.28</v>
      </c>
      <c r="NQC1914" s="115">
        <v>19.489999999999998</v>
      </c>
      <c r="NQD1914" s="56">
        <v>18.98</v>
      </c>
      <c r="NQE1914" s="56">
        <v>17.5</v>
      </c>
      <c r="NQF1914" s="62">
        <v>13.28</v>
      </c>
      <c r="NQG1914" s="115">
        <v>19.489999999999998</v>
      </c>
      <c r="NQH1914" s="56">
        <v>18.98</v>
      </c>
      <c r="NQI1914" s="56">
        <v>17.5</v>
      </c>
      <c r="NQJ1914" s="62">
        <v>13.28</v>
      </c>
      <c r="NQK1914" s="115">
        <v>19.489999999999998</v>
      </c>
      <c r="NQL1914" s="56">
        <v>18.98</v>
      </c>
      <c r="NQM1914" s="56">
        <v>17.5</v>
      </c>
      <c r="NQN1914" s="62">
        <v>13.28</v>
      </c>
      <c r="NQO1914" s="115">
        <v>19.489999999999998</v>
      </c>
      <c r="NQP1914" s="56">
        <v>18.98</v>
      </c>
      <c r="NQQ1914" s="56">
        <v>17.5</v>
      </c>
      <c r="NQR1914" s="62">
        <v>13.28</v>
      </c>
      <c r="NQS1914" s="115">
        <v>19.489999999999998</v>
      </c>
      <c r="NQT1914" s="56">
        <v>18.98</v>
      </c>
      <c r="NQU1914" s="56">
        <v>17.5</v>
      </c>
      <c r="NQV1914" s="62">
        <v>13.28</v>
      </c>
      <c r="NQW1914" s="115">
        <v>19.489999999999998</v>
      </c>
      <c r="NQX1914" s="56">
        <v>18.98</v>
      </c>
      <c r="NQY1914" s="56">
        <v>17.5</v>
      </c>
      <c r="NQZ1914" s="62">
        <v>13.28</v>
      </c>
      <c r="NRA1914" s="115">
        <v>19.489999999999998</v>
      </c>
      <c r="NRB1914" s="56">
        <v>18.98</v>
      </c>
      <c r="NRC1914" s="56">
        <v>17.5</v>
      </c>
      <c r="NRD1914" s="62">
        <v>13.28</v>
      </c>
      <c r="NRE1914" s="115">
        <v>19.489999999999998</v>
      </c>
      <c r="NRF1914" s="56">
        <v>18.98</v>
      </c>
      <c r="NRG1914" s="56">
        <v>17.5</v>
      </c>
      <c r="NRH1914" s="62">
        <v>13.28</v>
      </c>
      <c r="NRI1914" s="115">
        <v>19.489999999999998</v>
      </c>
      <c r="NRJ1914" s="56">
        <v>18.98</v>
      </c>
      <c r="NRK1914" s="56">
        <v>17.5</v>
      </c>
      <c r="NRL1914" s="62">
        <v>13.28</v>
      </c>
      <c r="NRM1914" s="115">
        <v>19.489999999999998</v>
      </c>
      <c r="NRN1914" s="56">
        <v>18.98</v>
      </c>
      <c r="NRO1914" s="56">
        <v>17.5</v>
      </c>
      <c r="NRP1914" s="62">
        <v>13.28</v>
      </c>
      <c r="NRQ1914" s="115">
        <v>19.489999999999998</v>
      </c>
      <c r="NRR1914" s="56">
        <v>18.98</v>
      </c>
      <c r="NRS1914" s="56">
        <v>17.5</v>
      </c>
      <c r="NRT1914" s="62">
        <v>13.28</v>
      </c>
      <c r="NRU1914" s="115">
        <v>19.489999999999998</v>
      </c>
      <c r="NRV1914" s="56">
        <v>18.98</v>
      </c>
      <c r="NRW1914" s="56">
        <v>17.5</v>
      </c>
      <c r="NRX1914" s="62">
        <v>13.28</v>
      </c>
      <c r="NRY1914" s="115">
        <v>19.489999999999998</v>
      </c>
      <c r="NRZ1914" s="56">
        <v>18.98</v>
      </c>
      <c r="NSA1914" s="56">
        <v>17.5</v>
      </c>
      <c r="NSB1914" s="62">
        <v>13.28</v>
      </c>
      <c r="NSC1914" s="115">
        <v>19.489999999999998</v>
      </c>
      <c r="NSD1914" s="56">
        <v>18.98</v>
      </c>
      <c r="NSE1914" s="56">
        <v>17.5</v>
      </c>
      <c r="NSF1914" s="62">
        <v>13.28</v>
      </c>
      <c r="NSG1914" s="115">
        <v>19.489999999999998</v>
      </c>
      <c r="NSH1914" s="56">
        <v>18.98</v>
      </c>
      <c r="NSI1914" s="56">
        <v>17.5</v>
      </c>
      <c r="NSJ1914" s="62">
        <v>13.28</v>
      </c>
      <c r="NSK1914" s="115">
        <v>19.489999999999998</v>
      </c>
      <c r="NSL1914" s="56">
        <v>18.98</v>
      </c>
      <c r="NSM1914" s="56">
        <v>17.5</v>
      </c>
      <c r="NSN1914" s="62">
        <v>13.28</v>
      </c>
      <c r="NSO1914" s="115">
        <v>19.489999999999998</v>
      </c>
      <c r="NSP1914" s="56">
        <v>18.98</v>
      </c>
      <c r="NSQ1914" s="56">
        <v>17.5</v>
      </c>
      <c r="NSR1914" s="62">
        <v>13.28</v>
      </c>
      <c r="NSS1914" s="115">
        <v>19.489999999999998</v>
      </c>
      <c r="NST1914" s="56">
        <v>18.98</v>
      </c>
      <c r="NSU1914" s="56">
        <v>17.5</v>
      </c>
      <c r="NSV1914" s="62">
        <v>13.28</v>
      </c>
      <c r="NSW1914" s="115">
        <v>19.489999999999998</v>
      </c>
      <c r="NSX1914" s="56">
        <v>18.98</v>
      </c>
      <c r="NSY1914" s="56">
        <v>17.5</v>
      </c>
      <c r="NSZ1914" s="62">
        <v>13.28</v>
      </c>
      <c r="NTA1914" s="115">
        <v>19.489999999999998</v>
      </c>
      <c r="NTB1914" s="56">
        <v>18.98</v>
      </c>
      <c r="NTC1914" s="56">
        <v>17.5</v>
      </c>
      <c r="NTD1914" s="62">
        <v>13.28</v>
      </c>
      <c r="NTE1914" s="115">
        <v>19.489999999999998</v>
      </c>
      <c r="NTF1914" s="56">
        <v>18.98</v>
      </c>
      <c r="NTG1914" s="56">
        <v>17.5</v>
      </c>
      <c r="NTH1914" s="62">
        <v>13.28</v>
      </c>
      <c r="NTI1914" s="115">
        <v>19.489999999999998</v>
      </c>
      <c r="NTJ1914" s="56">
        <v>18.98</v>
      </c>
      <c r="NTK1914" s="56">
        <v>17.5</v>
      </c>
      <c r="NTL1914" s="62">
        <v>13.28</v>
      </c>
      <c r="NTM1914" s="115">
        <v>19.489999999999998</v>
      </c>
      <c r="NTN1914" s="56">
        <v>18.98</v>
      </c>
      <c r="NTO1914" s="56">
        <v>17.5</v>
      </c>
      <c r="NTP1914" s="62">
        <v>13.28</v>
      </c>
      <c r="NTQ1914" s="115">
        <v>19.489999999999998</v>
      </c>
      <c r="NTR1914" s="56">
        <v>18.98</v>
      </c>
      <c r="NTS1914" s="56">
        <v>17.5</v>
      </c>
      <c r="NTT1914" s="62">
        <v>13.28</v>
      </c>
      <c r="NTU1914" s="115">
        <v>19.489999999999998</v>
      </c>
      <c r="NTV1914" s="56">
        <v>18.98</v>
      </c>
      <c r="NTW1914" s="56">
        <v>17.5</v>
      </c>
      <c r="NTX1914" s="62">
        <v>13.28</v>
      </c>
      <c r="NTY1914" s="115">
        <v>19.489999999999998</v>
      </c>
      <c r="NTZ1914" s="56">
        <v>18.98</v>
      </c>
      <c r="NUA1914" s="56">
        <v>17.5</v>
      </c>
      <c r="NUB1914" s="62">
        <v>13.28</v>
      </c>
      <c r="NUC1914" s="115">
        <v>19.489999999999998</v>
      </c>
      <c r="NUD1914" s="56">
        <v>18.98</v>
      </c>
      <c r="NUE1914" s="56">
        <v>17.5</v>
      </c>
      <c r="NUF1914" s="62">
        <v>13.28</v>
      </c>
      <c r="NUG1914" s="115">
        <v>19.489999999999998</v>
      </c>
      <c r="NUH1914" s="56">
        <v>18.98</v>
      </c>
      <c r="NUI1914" s="56">
        <v>17.5</v>
      </c>
      <c r="NUJ1914" s="62">
        <v>13.28</v>
      </c>
      <c r="NUK1914" s="115">
        <v>19.489999999999998</v>
      </c>
      <c r="NUL1914" s="56">
        <v>18.98</v>
      </c>
      <c r="NUM1914" s="56">
        <v>17.5</v>
      </c>
      <c r="NUN1914" s="62">
        <v>13.28</v>
      </c>
      <c r="NUO1914" s="115">
        <v>19.489999999999998</v>
      </c>
      <c r="NUP1914" s="56">
        <v>18.98</v>
      </c>
      <c r="NUQ1914" s="56">
        <v>17.5</v>
      </c>
      <c r="NUR1914" s="62">
        <v>13.28</v>
      </c>
      <c r="NUS1914" s="115">
        <v>19.489999999999998</v>
      </c>
      <c r="NUT1914" s="56">
        <v>18.98</v>
      </c>
      <c r="NUU1914" s="56">
        <v>17.5</v>
      </c>
      <c r="NUV1914" s="62">
        <v>13.28</v>
      </c>
      <c r="NUW1914" s="115">
        <v>19.489999999999998</v>
      </c>
      <c r="NUX1914" s="56">
        <v>18.98</v>
      </c>
      <c r="NUY1914" s="56">
        <v>17.5</v>
      </c>
      <c r="NUZ1914" s="62">
        <v>13.28</v>
      </c>
      <c r="NVA1914" s="115">
        <v>19.489999999999998</v>
      </c>
      <c r="NVB1914" s="56">
        <v>18.98</v>
      </c>
      <c r="NVC1914" s="56">
        <v>17.5</v>
      </c>
      <c r="NVD1914" s="62">
        <v>13.28</v>
      </c>
      <c r="NVE1914" s="115">
        <v>19.489999999999998</v>
      </c>
      <c r="NVF1914" s="56">
        <v>18.98</v>
      </c>
      <c r="NVG1914" s="56">
        <v>17.5</v>
      </c>
      <c r="NVH1914" s="62">
        <v>13.28</v>
      </c>
      <c r="NVI1914" s="115">
        <v>19.489999999999998</v>
      </c>
      <c r="NVJ1914" s="56">
        <v>18.98</v>
      </c>
      <c r="NVK1914" s="56">
        <v>17.5</v>
      </c>
      <c r="NVL1914" s="62">
        <v>13.28</v>
      </c>
      <c r="NVM1914" s="115">
        <v>19.489999999999998</v>
      </c>
      <c r="NVN1914" s="56">
        <v>18.98</v>
      </c>
      <c r="NVO1914" s="56">
        <v>17.5</v>
      </c>
      <c r="NVP1914" s="62">
        <v>13.28</v>
      </c>
      <c r="NVQ1914" s="115">
        <v>19.489999999999998</v>
      </c>
      <c r="NVR1914" s="56">
        <v>18.98</v>
      </c>
      <c r="NVS1914" s="56">
        <v>17.5</v>
      </c>
      <c r="NVT1914" s="62">
        <v>13.28</v>
      </c>
      <c r="NVU1914" s="115">
        <v>19.489999999999998</v>
      </c>
      <c r="NVV1914" s="56">
        <v>18.98</v>
      </c>
      <c r="NVW1914" s="56">
        <v>17.5</v>
      </c>
      <c r="NVX1914" s="62">
        <v>13.28</v>
      </c>
      <c r="NVY1914" s="115">
        <v>19.489999999999998</v>
      </c>
      <c r="NVZ1914" s="56">
        <v>18.98</v>
      </c>
      <c r="NWA1914" s="56">
        <v>17.5</v>
      </c>
      <c r="NWB1914" s="62">
        <v>13.28</v>
      </c>
      <c r="NWC1914" s="115">
        <v>19.489999999999998</v>
      </c>
      <c r="NWD1914" s="56">
        <v>18.98</v>
      </c>
      <c r="NWE1914" s="56">
        <v>17.5</v>
      </c>
      <c r="NWF1914" s="62">
        <v>13.28</v>
      </c>
      <c r="NWG1914" s="115">
        <v>19.489999999999998</v>
      </c>
      <c r="NWH1914" s="56">
        <v>18.98</v>
      </c>
      <c r="NWI1914" s="56">
        <v>17.5</v>
      </c>
      <c r="NWJ1914" s="62">
        <v>13.28</v>
      </c>
      <c r="NWK1914" s="115">
        <v>19.489999999999998</v>
      </c>
      <c r="NWL1914" s="56">
        <v>18.98</v>
      </c>
      <c r="NWM1914" s="56">
        <v>17.5</v>
      </c>
      <c r="NWN1914" s="62">
        <v>13.28</v>
      </c>
      <c r="NWO1914" s="115">
        <v>19.489999999999998</v>
      </c>
      <c r="NWP1914" s="56">
        <v>18.98</v>
      </c>
      <c r="NWQ1914" s="56">
        <v>17.5</v>
      </c>
      <c r="NWR1914" s="62">
        <v>13.28</v>
      </c>
      <c r="NWS1914" s="115">
        <v>19.489999999999998</v>
      </c>
      <c r="NWT1914" s="56">
        <v>18.98</v>
      </c>
      <c r="NWU1914" s="56">
        <v>17.5</v>
      </c>
      <c r="NWV1914" s="62">
        <v>13.28</v>
      </c>
      <c r="NWW1914" s="115">
        <v>19.489999999999998</v>
      </c>
      <c r="NWX1914" s="56">
        <v>18.98</v>
      </c>
      <c r="NWY1914" s="56">
        <v>17.5</v>
      </c>
      <c r="NWZ1914" s="62">
        <v>13.28</v>
      </c>
      <c r="NXA1914" s="115">
        <v>19.489999999999998</v>
      </c>
      <c r="NXB1914" s="56">
        <v>18.98</v>
      </c>
      <c r="NXC1914" s="56">
        <v>17.5</v>
      </c>
      <c r="NXD1914" s="62">
        <v>13.28</v>
      </c>
      <c r="NXE1914" s="115">
        <v>19.489999999999998</v>
      </c>
      <c r="NXF1914" s="56">
        <v>18.98</v>
      </c>
      <c r="NXG1914" s="56">
        <v>17.5</v>
      </c>
      <c r="NXH1914" s="62">
        <v>13.28</v>
      </c>
      <c r="NXI1914" s="115">
        <v>19.489999999999998</v>
      </c>
      <c r="NXJ1914" s="56">
        <v>18.98</v>
      </c>
      <c r="NXK1914" s="56">
        <v>17.5</v>
      </c>
      <c r="NXL1914" s="62">
        <v>13.28</v>
      </c>
      <c r="NXM1914" s="115">
        <v>19.489999999999998</v>
      </c>
      <c r="NXN1914" s="56">
        <v>18.98</v>
      </c>
      <c r="NXO1914" s="56">
        <v>17.5</v>
      </c>
      <c r="NXP1914" s="62">
        <v>13.28</v>
      </c>
      <c r="NXQ1914" s="115">
        <v>19.489999999999998</v>
      </c>
      <c r="NXR1914" s="56">
        <v>18.98</v>
      </c>
      <c r="NXS1914" s="56">
        <v>17.5</v>
      </c>
      <c r="NXT1914" s="62">
        <v>13.28</v>
      </c>
      <c r="NXU1914" s="115">
        <v>19.489999999999998</v>
      </c>
      <c r="NXV1914" s="56">
        <v>18.98</v>
      </c>
      <c r="NXW1914" s="56">
        <v>17.5</v>
      </c>
      <c r="NXX1914" s="62">
        <v>13.28</v>
      </c>
      <c r="NXY1914" s="115">
        <v>19.489999999999998</v>
      </c>
      <c r="NXZ1914" s="56">
        <v>18.98</v>
      </c>
      <c r="NYA1914" s="56">
        <v>17.5</v>
      </c>
      <c r="NYB1914" s="62">
        <v>13.28</v>
      </c>
      <c r="NYC1914" s="115">
        <v>19.489999999999998</v>
      </c>
      <c r="NYD1914" s="56">
        <v>18.98</v>
      </c>
      <c r="NYE1914" s="56">
        <v>17.5</v>
      </c>
      <c r="NYF1914" s="62">
        <v>13.28</v>
      </c>
      <c r="NYG1914" s="115">
        <v>19.489999999999998</v>
      </c>
      <c r="NYH1914" s="56">
        <v>18.98</v>
      </c>
      <c r="NYI1914" s="56">
        <v>17.5</v>
      </c>
      <c r="NYJ1914" s="62">
        <v>13.28</v>
      </c>
      <c r="NYK1914" s="115">
        <v>19.489999999999998</v>
      </c>
      <c r="NYL1914" s="56">
        <v>18.98</v>
      </c>
      <c r="NYM1914" s="56">
        <v>17.5</v>
      </c>
      <c r="NYN1914" s="62">
        <v>13.28</v>
      </c>
      <c r="NYO1914" s="115">
        <v>19.489999999999998</v>
      </c>
      <c r="NYP1914" s="56">
        <v>18.98</v>
      </c>
      <c r="NYQ1914" s="56">
        <v>17.5</v>
      </c>
      <c r="NYR1914" s="62">
        <v>13.28</v>
      </c>
      <c r="NYS1914" s="115">
        <v>19.489999999999998</v>
      </c>
      <c r="NYT1914" s="56">
        <v>18.98</v>
      </c>
      <c r="NYU1914" s="56">
        <v>17.5</v>
      </c>
      <c r="NYV1914" s="62">
        <v>13.28</v>
      </c>
      <c r="NYW1914" s="115">
        <v>19.489999999999998</v>
      </c>
      <c r="NYX1914" s="56">
        <v>18.98</v>
      </c>
      <c r="NYY1914" s="56">
        <v>17.5</v>
      </c>
      <c r="NYZ1914" s="62">
        <v>13.28</v>
      </c>
      <c r="NZA1914" s="115">
        <v>19.489999999999998</v>
      </c>
      <c r="NZB1914" s="56">
        <v>18.98</v>
      </c>
      <c r="NZC1914" s="56">
        <v>17.5</v>
      </c>
      <c r="NZD1914" s="62">
        <v>13.28</v>
      </c>
      <c r="NZE1914" s="115">
        <v>19.489999999999998</v>
      </c>
      <c r="NZF1914" s="56">
        <v>18.98</v>
      </c>
      <c r="NZG1914" s="56">
        <v>17.5</v>
      </c>
      <c r="NZH1914" s="62">
        <v>13.28</v>
      </c>
      <c r="NZI1914" s="115">
        <v>19.489999999999998</v>
      </c>
      <c r="NZJ1914" s="56">
        <v>18.98</v>
      </c>
      <c r="NZK1914" s="56">
        <v>17.5</v>
      </c>
      <c r="NZL1914" s="62">
        <v>13.28</v>
      </c>
      <c r="NZM1914" s="115">
        <v>19.489999999999998</v>
      </c>
      <c r="NZN1914" s="56">
        <v>18.98</v>
      </c>
      <c r="NZO1914" s="56">
        <v>17.5</v>
      </c>
      <c r="NZP1914" s="62">
        <v>13.28</v>
      </c>
      <c r="NZQ1914" s="115">
        <v>19.489999999999998</v>
      </c>
      <c r="NZR1914" s="56">
        <v>18.98</v>
      </c>
      <c r="NZS1914" s="56">
        <v>17.5</v>
      </c>
      <c r="NZT1914" s="62">
        <v>13.28</v>
      </c>
      <c r="NZU1914" s="115">
        <v>19.489999999999998</v>
      </c>
      <c r="NZV1914" s="56">
        <v>18.98</v>
      </c>
      <c r="NZW1914" s="56">
        <v>17.5</v>
      </c>
      <c r="NZX1914" s="62">
        <v>13.28</v>
      </c>
      <c r="NZY1914" s="115">
        <v>19.489999999999998</v>
      </c>
      <c r="NZZ1914" s="56">
        <v>18.98</v>
      </c>
      <c r="OAA1914" s="56">
        <v>17.5</v>
      </c>
      <c r="OAB1914" s="62">
        <v>13.28</v>
      </c>
      <c r="OAC1914" s="115">
        <v>19.489999999999998</v>
      </c>
      <c r="OAD1914" s="56">
        <v>18.98</v>
      </c>
      <c r="OAE1914" s="56">
        <v>17.5</v>
      </c>
      <c r="OAF1914" s="62">
        <v>13.28</v>
      </c>
      <c r="OAG1914" s="115">
        <v>19.489999999999998</v>
      </c>
      <c r="OAH1914" s="56">
        <v>18.98</v>
      </c>
      <c r="OAI1914" s="56">
        <v>17.5</v>
      </c>
      <c r="OAJ1914" s="62">
        <v>13.28</v>
      </c>
      <c r="OAK1914" s="115">
        <v>19.489999999999998</v>
      </c>
      <c r="OAL1914" s="56">
        <v>18.98</v>
      </c>
      <c r="OAM1914" s="56">
        <v>17.5</v>
      </c>
      <c r="OAN1914" s="62">
        <v>13.28</v>
      </c>
      <c r="OAO1914" s="115">
        <v>19.489999999999998</v>
      </c>
      <c r="OAP1914" s="56">
        <v>18.98</v>
      </c>
      <c r="OAQ1914" s="56">
        <v>17.5</v>
      </c>
      <c r="OAR1914" s="62">
        <v>13.28</v>
      </c>
      <c r="OAS1914" s="115">
        <v>19.489999999999998</v>
      </c>
      <c r="OAT1914" s="56">
        <v>18.98</v>
      </c>
      <c r="OAU1914" s="56">
        <v>17.5</v>
      </c>
      <c r="OAV1914" s="62">
        <v>13.28</v>
      </c>
      <c r="OAW1914" s="115">
        <v>19.489999999999998</v>
      </c>
      <c r="OAX1914" s="56">
        <v>18.98</v>
      </c>
      <c r="OAY1914" s="56">
        <v>17.5</v>
      </c>
      <c r="OAZ1914" s="62">
        <v>13.28</v>
      </c>
      <c r="OBA1914" s="115">
        <v>19.489999999999998</v>
      </c>
      <c r="OBB1914" s="56">
        <v>18.98</v>
      </c>
      <c r="OBC1914" s="56">
        <v>17.5</v>
      </c>
      <c r="OBD1914" s="62">
        <v>13.28</v>
      </c>
      <c r="OBE1914" s="115">
        <v>19.489999999999998</v>
      </c>
      <c r="OBF1914" s="56">
        <v>18.98</v>
      </c>
      <c r="OBG1914" s="56">
        <v>17.5</v>
      </c>
      <c r="OBH1914" s="62">
        <v>13.28</v>
      </c>
      <c r="OBI1914" s="115">
        <v>19.489999999999998</v>
      </c>
      <c r="OBJ1914" s="56">
        <v>18.98</v>
      </c>
      <c r="OBK1914" s="56">
        <v>17.5</v>
      </c>
      <c r="OBL1914" s="62">
        <v>13.28</v>
      </c>
      <c r="OBM1914" s="115">
        <v>19.489999999999998</v>
      </c>
      <c r="OBN1914" s="56">
        <v>18.98</v>
      </c>
      <c r="OBO1914" s="56">
        <v>17.5</v>
      </c>
      <c r="OBP1914" s="62">
        <v>13.28</v>
      </c>
      <c r="OBQ1914" s="115">
        <v>19.489999999999998</v>
      </c>
      <c r="OBR1914" s="56">
        <v>18.98</v>
      </c>
      <c r="OBS1914" s="56">
        <v>17.5</v>
      </c>
      <c r="OBT1914" s="62">
        <v>13.28</v>
      </c>
      <c r="OBU1914" s="115">
        <v>19.489999999999998</v>
      </c>
      <c r="OBV1914" s="56">
        <v>18.98</v>
      </c>
      <c r="OBW1914" s="56">
        <v>17.5</v>
      </c>
      <c r="OBX1914" s="62">
        <v>13.28</v>
      </c>
      <c r="OBY1914" s="115">
        <v>19.489999999999998</v>
      </c>
      <c r="OBZ1914" s="56">
        <v>18.98</v>
      </c>
      <c r="OCA1914" s="56">
        <v>17.5</v>
      </c>
      <c r="OCB1914" s="62">
        <v>13.28</v>
      </c>
      <c r="OCC1914" s="115">
        <v>19.489999999999998</v>
      </c>
      <c r="OCD1914" s="56">
        <v>18.98</v>
      </c>
      <c r="OCE1914" s="56">
        <v>17.5</v>
      </c>
      <c r="OCF1914" s="62">
        <v>13.28</v>
      </c>
      <c r="OCG1914" s="115">
        <v>19.489999999999998</v>
      </c>
      <c r="OCH1914" s="56">
        <v>18.98</v>
      </c>
      <c r="OCI1914" s="56">
        <v>17.5</v>
      </c>
      <c r="OCJ1914" s="62">
        <v>13.28</v>
      </c>
      <c r="OCK1914" s="115">
        <v>19.489999999999998</v>
      </c>
      <c r="OCL1914" s="56">
        <v>18.98</v>
      </c>
      <c r="OCM1914" s="56">
        <v>17.5</v>
      </c>
      <c r="OCN1914" s="62">
        <v>13.28</v>
      </c>
      <c r="OCO1914" s="115">
        <v>19.489999999999998</v>
      </c>
      <c r="OCP1914" s="56">
        <v>18.98</v>
      </c>
      <c r="OCQ1914" s="56">
        <v>17.5</v>
      </c>
      <c r="OCR1914" s="62">
        <v>13.28</v>
      </c>
      <c r="OCS1914" s="115">
        <v>19.489999999999998</v>
      </c>
      <c r="OCT1914" s="56">
        <v>18.98</v>
      </c>
      <c r="OCU1914" s="56">
        <v>17.5</v>
      </c>
      <c r="OCV1914" s="62">
        <v>13.28</v>
      </c>
      <c r="OCW1914" s="115">
        <v>19.489999999999998</v>
      </c>
      <c r="OCX1914" s="56">
        <v>18.98</v>
      </c>
      <c r="OCY1914" s="56">
        <v>17.5</v>
      </c>
      <c r="OCZ1914" s="62">
        <v>13.28</v>
      </c>
      <c r="ODA1914" s="115">
        <v>19.489999999999998</v>
      </c>
      <c r="ODB1914" s="56">
        <v>18.98</v>
      </c>
      <c r="ODC1914" s="56">
        <v>17.5</v>
      </c>
      <c r="ODD1914" s="62">
        <v>13.28</v>
      </c>
      <c r="ODE1914" s="115">
        <v>19.489999999999998</v>
      </c>
      <c r="ODF1914" s="56">
        <v>18.98</v>
      </c>
      <c r="ODG1914" s="56">
        <v>17.5</v>
      </c>
      <c r="ODH1914" s="62">
        <v>13.28</v>
      </c>
      <c r="ODI1914" s="115">
        <v>19.489999999999998</v>
      </c>
      <c r="ODJ1914" s="56">
        <v>18.98</v>
      </c>
      <c r="ODK1914" s="56">
        <v>17.5</v>
      </c>
      <c r="ODL1914" s="62">
        <v>13.28</v>
      </c>
      <c r="ODM1914" s="115">
        <v>19.489999999999998</v>
      </c>
      <c r="ODN1914" s="56">
        <v>18.98</v>
      </c>
      <c r="ODO1914" s="56">
        <v>17.5</v>
      </c>
      <c r="ODP1914" s="62">
        <v>13.28</v>
      </c>
      <c r="ODQ1914" s="115">
        <v>19.489999999999998</v>
      </c>
      <c r="ODR1914" s="56">
        <v>18.98</v>
      </c>
      <c r="ODS1914" s="56">
        <v>17.5</v>
      </c>
      <c r="ODT1914" s="62">
        <v>13.28</v>
      </c>
      <c r="ODU1914" s="115">
        <v>19.489999999999998</v>
      </c>
      <c r="ODV1914" s="56">
        <v>18.98</v>
      </c>
      <c r="ODW1914" s="56">
        <v>17.5</v>
      </c>
      <c r="ODX1914" s="62">
        <v>13.28</v>
      </c>
      <c r="ODY1914" s="115">
        <v>19.489999999999998</v>
      </c>
      <c r="ODZ1914" s="56">
        <v>18.98</v>
      </c>
      <c r="OEA1914" s="56">
        <v>17.5</v>
      </c>
      <c r="OEB1914" s="62">
        <v>13.28</v>
      </c>
      <c r="OEC1914" s="115">
        <v>19.489999999999998</v>
      </c>
      <c r="OED1914" s="56">
        <v>18.98</v>
      </c>
      <c r="OEE1914" s="56">
        <v>17.5</v>
      </c>
      <c r="OEF1914" s="62">
        <v>13.28</v>
      </c>
      <c r="OEG1914" s="115">
        <v>19.489999999999998</v>
      </c>
      <c r="OEH1914" s="56">
        <v>18.98</v>
      </c>
      <c r="OEI1914" s="56">
        <v>17.5</v>
      </c>
      <c r="OEJ1914" s="62">
        <v>13.28</v>
      </c>
      <c r="OEK1914" s="115">
        <v>19.489999999999998</v>
      </c>
      <c r="OEL1914" s="56">
        <v>18.98</v>
      </c>
      <c r="OEM1914" s="56">
        <v>17.5</v>
      </c>
      <c r="OEN1914" s="62">
        <v>13.28</v>
      </c>
      <c r="OEO1914" s="115">
        <v>19.489999999999998</v>
      </c>
      <c r="OEP1914" s="56">
        <v>18.98</v>
      </c>
      <c r="OEQ1914" s="56">
        <v>17.5</v>
      </c>
      <c r="OER1914" s="62">
        <v>13.28</v>
      </c>
      <c r="OES1914" s="115">
        <v>19.489999999999998</v>
      </c>
      <c r="OET1914" s="56">
        <v>18.98</v>
      </c>
      <c r="OEU1914" s="56">
        <v>17.5</v>
      </c>
      <c r="OEV1914" s="62">
        <v>13.28</v>
      </c>
      <c r="OEW1914" s="115">
        <v>19.489999999999998</v>
      </c>
      <c r="OEX1914" s="56">
        <v>18.98</v>
      </c>
      <c r="OEY1914" s="56">
        <v>17.5</v>
      </c>
      <c r="OEZ1914" s="62">
        <v>13.28</v>
      </c>
      <c r="OFA1914" s="115">
        <v>19.489999999999998</v>
      </c>
      <c r="OFB1914" s="56">
        <v>18.98</v>
      </c>
      <c r="OFC1914" s="56">
        <v>17.5</v>
      </c>
      <c r="OFD1914" s="62">
        <v>13.28</v>
      </c>
      <c r="OFE1914" s="115">
        <v>19.489999999999998</v>
      </c>
      <c r="OFF1914" s="56">
        <v>18.98</v>
      </c>
      <c r="OFG1914" s="56">
        <v>17.5</v>
      </c>
      <c r="OFH1914" s="62">
        <v>13.28</v>
      </c>
      <c r="OFI1914" s="115">
        <v>19.489999999999998</v>
      </c>
      <c r="OFJ1914" s="56">
        <v>18.98</v>
      </c>
      <c r="OFK1914" s="56">
        <v>17.5</v>
      </c>
      <c r="OFL1914" s="62">
        <v>13.28</v>
      </c>
      <c r="OFM1914" s="115">
        <v>19.489999999999998</v>
      </c>
      <c r="OFN1914" s="56">
        <v>18.98</v>
      </c>
      <c r="OFO1914" s="56">
        <v>17.5</v>
      </c>
      <c r="OFP1914" s="62">
        <v>13.28</v>
      </c>
      <c r="OFQ1914" s="115">
        <v>19.489999999999998</v>
      </c>
      <c r="OFR1914" s="56">
        <v>18.98</v>
      </c>
      <c r="OFS1914" s="56">
        <v>17.5</v>
      </c>
      <c r="OFT1914" s="62">
        <v>13.28</v>
      </c>
      <c r="OFU1914" s="115">
        <v>19.489999999999998</v>
      </c>
      <c r="OFV1914" s="56">
        <v>18.98</v>
      </c>
      <c r="OFW1914" s="56">
        <v>17.5</v>
      </c>
      <c r="OFX1914" s="62">
        <v>13.28</v>
      </c>
      <c r="OFY1914" s="115">
        <v>19.489999999999998</v>
      </c>
      <c r="OFZ1914" s="56">
        <v>18.98</v>
      </c>
      <c r="OGA1914" s="56">
        <v>17.5</v>
      </c>
      <c r="OGB1914" s="62">
        <v>13.28</v>
      </c>
      <c r="OGC1914" s="115">
        <v>19.489999999999998</v>
      </c>
      <c r="OGD1914" s="56">
        <v>18.98</v>
      </c>
      <c r="OGE1914" s="56">
        <v>17.5</v>
      </c>
      <c r="OGF1914" s="62">
        <v>13.28</v>
      </c>
      <c r="OGG1914" s="115">
        <v>19.489999999999998</v>
      </c>
      <c r="OGH1914" s="56">
        <v>18.98</v>
      </c>
      <c r="OGI1914" s="56">
        <v>17.5</v>
      </c>
      <c r="OGJ1914" s="62">
        <v>13.28</v>
      </c>
      <c r="OGK1914" s="115">
        <v>19.489999999999998</v>
      </c>
      <c r="OGL1914" s="56">
        <v>18.98</v>
      </c>
      <c r="OGM1914" s="56">
        <v>17.5</v>
      </c>
      <c r="OGN1914" s="62">
        <v>13.28</v>
      </c>
      <c r="OGO1914" s="115">
        <v>19.489999999999998</v>
      </c>
      <c r="OGP1914" s="56">
        <v>18.98</v>
      </c>
      <c r="OGQ1914" s="56">
        <v>17.5</v>
      </c>
      <c r="OGR1914" s="62">
        <v>13.28</v>
      </c>
      <c r="OGS1914" s="115">
        <v>19.489999999999998</v>
      </c>
      <c r="OGT1914" s="56">
        <v>18.98</v>
      </c>
      <c r="OGU1914" s="56">
        <v>17.5</v>
      </c>
      <c r="OGV1914" s="62">
        <v>13.28</v>
      </c>
      <c r="OGW1914" s="115">
        <v>19.489999999999998</v>
      </c>
      <c r="OGX1914" s="56">
        <v>18.98</v>
      </c>
      <c r="OGY1914" s="56">
        <v>17.5</v>
      </c>
      <c r="OGZ1914" s="62">
        <v>13.28</v>
      </c>
      <c r="OHA1914" s="115">
        <v>19.489999999999998</v>
      </c>
      <c r="OHB1914" s="56">
        <v>18.98</v>
      </c>
      <c r="OHC1914" s="56">
        <v>17.5</v>
      </c>
      <c r="OHD1914" s="62">
        <v>13.28</v>
      </c>
      <c r="OHE1914" s="115">
        <v>19.489999999999998</v>
      </c>
      <c r="OHF1914" s="56">
        <v>18.98</v>
      </c>
      <c r="OHG1914" s="56">
        <v>17.5</v>
      </c>
      <c r="OHH1914" s="62">
        <v>13.28</v>
      </c>
      <c r="OHI1914" s="115">
        <v>19.489999999999998</v>
      </c>
      <c r="OHJ1914" s="56">
        <v>18.98</v>
      </c>
      <c r="OHK1914" s="56">
        <v>17.5</v>
      </c>
      <c r="OHL1914" s="62">
        <v>13.28</v>
      </c>
      <c r="OHM1914" s="115">
        <v>19.489999999999998</v>
      </c>
      <c r="OHN1914" s="56">
        <v>18.98</v>
      </c>
      <c r="OHO1914" s="56">
        <v>17.5</v>
      </c>
      <c r="OHP1914" s="62">
        <v>13.28</v>
      </c>
      <c r="OHQ1914" s="115">
        <v>19.489999999999998</v>
      </c>
      <c r="OHR1914" s="56">
        <v>18.98</v>
      </c>
      <c r="OHS1914" s="56">
        <v>17.5</v>
      </c>
      <c r="OHT1914" s="62">
        <v>13.28</v>
      </c>
      <c r="OHU1914" s="115">
        <v>19.489999999999998</v>
      </c>
      <c r="OHV1914" s="56">
        <v>18.98</v>
      </c>
      <c r="OHW1914" s="56">
        <v>17.5</v>
      </c>
      <c r="OHX1914" s="62">
        <v>13.28</v>
      </c>
      <c r="OHY1914" s="115">
        <v>19.489999999999998</v>
      </c>
      <c r="OHZ1914" s="56">
        <v>18.98</v>
      </c>
      <c r="OIA1914" s="56">
        <v>17.5</v>
      </c>
      <c r="OIB1914" s="62">
        <v>13.28</v>
      </c>
      <c r="OIC1914" s="115">
        <v>19.489999999999998</v>
      </c>
      <c r="OID1914" s="56">
        <v>18.98</v>
      </c>
      <c r="OIE1914" s="56">
        <v>17.5</v>
      </c>
      <c r="OIF1914" s="62">
        <v>13.28</v>
      </c>
      <c r="OIG1914" s="115">
        <v>19.489999999999998</v>
      </c>
      <c r="OIH1914" s="56">
        <v>18.98</v>
      </c>
      <c r="OII1914" s="56">
        <v>17.5</v>
      </c>
      <c r="OIJ1914" s="62">
        <v>13.28</v>
      </c>
      <c r="OIK1914" s="115">
        <v>19.489999999999998</v>
      </c>
      <c r="OIL1914" s="56">
        <v>18.98</v>
      </c>
      <c r="OIM1914" s="56">
        <v>17.5</v>
      </c>
      <c r="OIN1914" s="62">
        <v>13.28</v>
      </c>
      <c r="OIO1914" s="115">
        <v>19.489999999999998</v>
      </c>
      <c r="OIP1914" s="56">
        <v>18.98</v>
      </c>
      <c r="OIQ1914" s="56">
        <v>17.5</v>
      </c>
      <c r="OIR1914" s="62">
        <v>13.28</v>
      </c>
      <c r="OIS1914" s="115">
        <v>19.489999999999998</v>
      </c>
      <c r="OIT1914" s="56">
        <v>18.98</v>
      </c>
      <c r="OIU1914" s="56">
        <v>17.5</v>
      </c>
      <c r="OIV1914" s="62">
        <v>13.28</v>
      </c>
      <c r="OIW1914" s="115">
        <v>19.489999999999998</v>
      </c>
      <c r="OIX1914" s="56">
        <v>18.98</v>
      </c>
      <c r="OIY1914" s="56">
        <v>17.5</v>
      </c>
      <c r="OIZ1914" s="62">
        <v>13.28</v>
      </c>
      <c r="OJA1914" s="115">
        <v>19.489999999999998</v>
      </c>
      <c r="OJB1914" s="56">
        <v>18.98</v>
      </c>
      <c r="OJC1914" s="56">
        <v>17.5</v>
      </c>
      <c r="OJD1914" s="62">
        <v>13.28</v>
      </c>
      <c r="OJE1914" s="115">
        <v>19.489999999999998</v>
      </c>
      <c r="OJF1914" s="56">
        <v>18.98</v>
      </c>
      <c r="OJG1914" s="56">
        <v>17.5</v>
      </c>
      <c r="OJH1914" s="62">
        <v>13.28</v>
      </c>
      <c r="OJI1914" s="115">
        <v>19.489999999999998</v>
      </c>
      <c r="OJJ1914" s="56">
        <v>18.98</v>
      </c>
      <c r="OJK1914" s="56">
        <v>17.5</v>
      </c>
      <c r="OJL1914" s="62">
        <v>13.28</v>
      </c>
      <c r="OJM1914" s="115">
        <v>19.489999999999998</v>
      </c>
      <c r="OJN1914" s="56">
        <v>18.98</v>
      </c>
      <c r="OJO1914" s="56">
        <v>17.5</v>
      </c>
      <c r="OJP1914" s="62">
        <v>13.28</v>
      </c>
      <c r="OJQ1914" s="115">
        <v>19.489999999999998</v>
      </c>
      <c r="OJR1914" s="56">
        <v>18.98</v>
      </c>
      <c r="OJS1914" s="56">
        <v>17.5</v>
      </c>
      <c r="OJT1914" s="62">
        <v>13.28</v>
      </c>
      <c r="OJU1914" s="115">
        <v>19.489999999999998</v>
      </c>
      <c r="OJV1914" s="56">
        <v>18.98</v>
      </c>
      <c r="OJW1914" s="56">
        <v>17.5</v>
      </c>
      <c r="OJX1914" s="62">
        <v>13.28</v>
      </c>
      <c r="OJY1914" s="115">
        <v>19.489999999999998</v>
      </c>
      <c r="OJZ1914" s="56">
        <v>18.98</v>
      </c>
      <c r="OKA1914" s="56">
        <v>17.5</v>
      </c>
      <c r="OKB1914" s="62">
        <v>13.28</v>
      </c>
      <c r="OKC1914" s="115">
        <v>19.489999999999998</v>
      </c>
      <c r="OKD1914" s="56">
        <v>18.98</v>
      </c>
      <c r="OKE1914" s="56">
        <v>17.5</v>
      </c>
      <c r="OKF1914" s="62">
        <v>13.28</v>
      </c>
      <c r="OKG1914" s="115">
        <v>19.489999999999998</v>
      </c>
      <c r="OKH1914" s="56">
        <v>18.98</v>
      </c>
      <c r="OKI1914" s="56">
        <v>17.5</v>
      </c>
      <c r="OKJ1914" s="62">
        <v>13.28</v>
      </c>
      <c r="OKK1914" s="115">
        <v>19.489999999999998</v>
      </c>
      <c r="OKL1914" s="56">
        <v>18.98</v>
      </c>
      <c r="OKM1914" s="56">
        <v>17.5</v>
      </c>
      <c r="OKN1914" s="62">
        <v>13.28</v>
      </c>
      <c r="OKO1914" s="115">
        <v>19.489999999999998</v>
      </c>
      <c r="OKP1914" s="56">
        <v>18.98</v>
      </c>
      <c r="OKQ1914" s="56">
        <v>17.5</v>
      </c>
      <c r="OKR1914" s="62">
        <v>13.28</v>
      </c>
      <c r="OKS1914" s="115">
        <v>19.489999999999998</v>
      </c>
      <c r="OKT1914" s="56">
        <v>18.98</v>
      </c>
      <c r="OKU1914" s="56">
        <v>17.5</v>
      </c>
      <c r="OKV1914" s="62">
        <v>13.28</v>
      </c>
      <c r="OKW1914" s="115">
        <v>19.489999999999998</v>
      </c>
      <c r="OKX1914" s="56">
        <v>18.98</v>
      </c>
      <c r="OKY1914" s="56">
        <v>17.5</v>
      </c>
      <c r="OKZ1914" s="62">
        <v>13.28</v>
      </c>
      <c r="OLA1914" s="115">
        <v>19.489999999999998</v>
      </c>
      <c r="OLB1914" s="56">
        <v>18.98</v>
      </c>
      <c r="OLC1914" s="56">
        <v>17.5</v>
      </c>
      <c r="OLD1914" s="62">
        <v>13.28</v>
      </c>
      <c r="OLE1914" s="115">
        <v>19.489999999999998</v>
      </c>
      <c r="OLF1914" s="56">
        <v>18.98</v>
      </c>
      <c r="OLG1914" s="56">
        <v>17.5</v>
      </c>
      <c r="OLH1914" s="62">
        <v>13.28</v>
      </c>
      <c r="OLI1914" s="115">
        <v>19.489999999999998</v>
      </c>
      <c r="OLJ1914" s="56">
        <v>18.98</v>
      </c>
      <c r="OLK1914" s="56">
        <v>17.5</v>
      </c>
      <c r="OLL1914" s="62">
        <v>13.28</v>
      </c>
      <c r="OLM1914" s="115">
        <v>19.489999999999998</v>
      </c>
      <c r="OLN1914" s="56">
        <v>18.98</v>
      </c>
      <c r="OLO1914" s="56">
        <v>17.5</v>
      </c>
      <c r="OLP1914" s="62">
        <v>13.28</v>
      </c>
      <c r="OLQ1914" s="115">
        <v>19.489999999999998</v>
      </c>
      <c r="OLR1914" s="56">
        <v>18.98</v>
      </c>
      <c r="OLS1914" s="56">
        <v>17.5</v>
      </c>
      <c r="OLT1914" s="62">
        <v>13.28</v>
      </c>
      <c r="OLU1914" s="115">
        <v>19.489999999999998</v>
      </c>
      <c r="OLV1914" s="56">
        <v>18.98</v>
      </c>
      <c r="OLW1914" s="56">
        <v>17.5</v>
      </c>
      <c r="OLX1914" s="62">
        <v>13.28</v>
      </c>
      <c r="OLY1914" s="115">
        <v>19.489999999999998</v>
      </c>
      <c r="OLZ1914" s="56">
        <v>18.98</v>
      </c>
      <c r="OMA1914" s="56">
        <v>17.5</v>
      </c>
      <c r="OMB1914" s="62">
        <v>13.28</v>
      </c>
      <c r="OMC1914" s="115">
        <v>19.489999999999998</v>
      </c>
      <c r="OMD1914" s="56">
        <v>18.98</v>
      </c>
      <c r="OME1914" s="56">
        <v>17.5</v>
      </c>
      <c r="OMF1914" s="62">
        <v>13.28</v>
      </c>
      <c r="OMG1914" s="115">
        <v>19.489999999999998</v>
      </c>
      <c r="OMH1914" s="56">
        <v>18.98</v>
      </c>
      <c r="OMI1914" s="56">
        <v>17.5</v>
      </c>
      <c r="OMJ1914" s="62">
        <v>13.28</v>
      </c>
      <c r="OMK1914" s="115">
        <v>19.489999999999998</v>
      </c>
      <c r="OML1914" s="56">
        <v>18.98</v>
      </c>
      <c r="OMM1914" s="56">
        <v>17.5</v>
      </c>
      <c r="OMN1914" s="62">
        <v>13.28</v>
      </c>
      <c r="OMO1914" s="115">
        <v>19.489999999999998</v>
      </c>
      <c r="OMP1914" s="56">
        <v>18.98</v>
      </c>
      <c r="OMQ1914" s="56">
        <v>17.5</v>
      </c>
      <c r="OMR1914" s="62">
        <v>13.28</v>
      </c>
      <c r="OMS1914" s="115">
        <v>19.489999999999998</v>
      </c>
      <c r="OMT1914" s="56">
        <v>18.98</v>
      </c>
      <c r="OMU1914" s="56">
        <v>17.5</v>
      </c>
      <c r="OMV1914" s="62">
        <v>13.28</v>
      </c>
      <c r="OMW1914" s="115">
        <v>19.489999999999998</v>
      </c>
      <c r="OMX1914" s="56">
        <v>18.98</v>
      </c>
      <c r="OMY1914" s="56">
        <v>17.5</v>
      </c>
      <c r="OMZ1914" s="62">
        <v>13.28</v>
      </c>
      <c r="ONA1914" s="115">
        <v>19.489999999999998</v>
      </c>
      <c r="ONB1914" s="56">
        <v>18.98</v>
      </c>
      <c r="ONC1914" s="56">
        <v>17.5</v>
      </c>
      <c r="OND1914" s="62">
        <v>13.28</v>
      </c>
      <c r="ONE1914" s="115">
        <v>19.489999999999998</v>
      </c>
      <c r="ONF1914" s="56">
        <v>18.98</v>
      </c>
      <c r="ONG1914" s="56">
        <v>17.5</v>
      </c>
      <c r="ONH1914" s="62">
        <v>13.28</v>
      </c>
      <c r="ONI1914" s="115">
        <v>19.489999999999998</v>
      </c>
      <c r="ONJ1914" s="56">
        <v>18.98</v>
      </c>
      <c r="ONK1914" s="56">
        <v>17.5</v>
      </c>
      <c r="ONL1914" s="62">
        <v>13.28</v>
      </c>
      <c r="ONM1914" s="115">
        <v>19.489999999999998</v>
      </c>
      <c r="ONN1914" s="56">
        <v>18.98</v>
      </c>
      <c r="ONO1914" s="56">
        <v>17.5</v>
      </c>
      <c r="ONP1914" s="62">
        <v>13.28</v>
      </c>
      <c r="ONQ1914" s="115">
        <v>19.489999999999998</v>
      </c>
      <c r="ONR1914" s="56">
        <v>18.98</v>
      </c>
      <c r="ONS1914" s="56">
        <v>17.5</v>
      </c>
      <c r="ONT1914" s="62">
        <v>13.28</v>
      </c>
      <c r="ONU1914" s="115">
        <v>19.489999999999998</v>
      </c>
      <c r="ONV1914" s="56">
        <v>18.98</v>
      </c>
      <c r="ONW1914" s="56">
        <v>17.5</v>
      </c>
      <c r="ONX1914" s="62">
        <v>13.28</v>
      </c>
      <c r="ONY1914" s="115">
        <v>19.489999999999998</v>
      </c>
      <c r="ONZ1914" s="56">
        <v>18.98</v>
      </c>
      <c r="OOA1914" s="56">
        <v>17.5</v>
      </c>
      <c r="OOB1914" s="62">
        <v>13.28</v>
      </c>
      <c r="OOC1914" s="115">
        <v>19.489999999999998</v>
      </c>
      <c r="OOD1914" s="56">
        <v>18.98</v>
      </c>
      <c r="OOE1914" s="56">
        <v>17.5</v>
      </c>
      <c r="OOF1914" s="62">
        <v>13.28</v>
      </c>
      <c r="OOG1914" s="115">
        <v>19.489999999999998</v>
      </c>
      <c r="OOH1914" s="56">
        <v>18.98</v>
      </c>
      <c r="OOI1914" s="56">
        <v>17.5</v>
      </c>
      <c r="OOJ1914" s="62">
        <v>13.28</v>
      </c>
      <c r="OOK1914" s="115">
        <v>19.489999999999998</v>
      </c>
      <c r="OOL1914" s="56">
        <v>18.98</v>
      </c>
      <c r="OOM1914" s="56">
        <v>17.5</v>
      </c>
      <c r="OON1914" s="62">
        <v>13.28</v>
      </c>
      <c r="OOO1914" s="115">
        <v>19.489999999999998</v>
      </c>
      <c r="OOP1914" s="56">
        <v>18.98</v>
      </c>
      <c r="OOQ1914" s="56">
        <v>17.5</v>
      </c>
      <c r="OOR1914" s="62">
        <v>13.28</v>
      </c>
      <c r="OOS1914" s="115">
        <v>19.489999999999998</v>
      </c>
      <c r="OOT1914" s="56">
        <v>18.98</v>
      </c>
      <c r="OOU1914" s="56">
        <v>17.5</v>
      </c>
      <c r="OOV1914" s="62">
        <v>13.28</v>
      </c>
      <c r="OOW1914" s="115">
        <v>19.489999999999998</v>
      </c>
      <c r="OOX1914" s="56">
        <v>18.98</v>
      </c>
      <c r="OOY1914" s="56">
        <v>17.5</v>
      </c>
      <c r="OOZ1914" s="62">
        <v>13.28</v>
      </c>
      <c r="OPA1914" s="115">
        <v>19.489999999999998</v>
      </c>
      <c r="OPB1914" s="56">
        <v>18.98</v>
      </c>
      <c r="OPC1914" s="56">
        <v>17.5</v>
      </c>
      <c r="OPD1914" s="62">
        <v>13.28</v>
      </c>
      <c r="OPE1914" s="115">
        <v>19.489999999999998</v>
      </c>
      <c r="OPF1914" s="56">
        <v>18.98</v>
      </c>
      <c r="OPG1914" s="56">
        <v>17.5</v>
      </c>
      <c r="OPH1914" s="62">
        <v>13.28</v>
      </c>
      <c r="OPI1914" s="115">
        <v>19.489999999999998</v>
      </c>
      <c r="OPJ1914" s="56">
        <v>18.98</v>
      </c>
      <c r="OPK1914" s="56">
        <v>17.5</v>
      </c>
      <c r="OPL1914" s="62">
        <v>13.28</v>
      </c>
      <c r="OPM1914" s="115">
        <v>19.489999999999998</v>
      </c>
      <c r="OPN1914" s="56">
        <v>18.98</v>
      </c>
      <c r="OPO1914" s="56">
        <v>17.5</v>
      </c>
      <c r="OPP1914" s="62">
        <v>13.28</v>
      </c>
      <c r="OPQ1914" s="115">
        <v>19.489999999999998</v>
      </c>
      <c r="OPR1914" s="56">
        <v>18.98</v>
      </c>
      <c r="OPS1914" s="56">
        <v>17.5</v>
      </c>
      <c r="OPT1914" s="62">
        <v>13.28</v>
      </c>
      <c r="OPU1914" s="115">
        <v>19.489999999999998</v>
      </c>
      <c r="OPV1914" s="56">
        <v>18.98</v>
      </c>
      <c r="OPW1914" s="56">
        <v>17.5</v>
      </c>
      <c r="OPX1914" s="62">
        <v>13.28</v>
      </c>
      <c r="OPY1914" s="115">
        <v>19.489999999999998</v>
      </c>
      <c r="OPZ1914" s="56">
        <v>18.98</v>
      </c>
      <c r="OQA1914" s="56">
        <v>17.5</v>
      </c>
      <c r="OQB1914" s="62">
        <v>13.28</v>
      </c>
      <c r="OQC1914" s="115">
        <v>19.489999999999998</v>
      </c>
      <c r="OQD1914" s="56">
        <v>18.98</v>
      </c>
      <c r="OQE1914" s="56">
        <v>17.5</v>
      </c>
      <c r="OQF1914" s="62">
        <v>13.28</v>
      </c>
      <c r="OQG1914" s="115">
        <v>19.489999999999998</v>
      </c>
      <c r="OQH1914" s="56">
        <v>18.98</v>
      </c>
      <c r="OQI1914" s="56">
        <v>17.5</v>
      </c>
      <c r="OQJ1914" s="62">
        <v>13.28</v>
      </c>
      <c r="OQK1914" s="115">
        <v>19.489999999999998</v>
      </c>
      <c r="OQL1914" s="56">
        <v>18.98</v>
      </c>
      <c r="OQM1914" s="56">
        <v>17.5</v>
      </c>
      <c r="OQN1914" s="62">
        <v>13.28</v>
      </c>
      <c r="OQO1914" s="115">
        <v>19.489999999999998</v>
      </c>
      <c r="OQP1914" s="56">
        <v>18.98</v>
      </c>
      <c r="OQQ1914" s="56">
        <v>17.5</v>
      </c>
      <c r="OQR1914" s="62">
        <v>13.28</v>
      </c>
      <c r="OQS1914" s="115">
        <v>19.489999999999998</v>
      </c>
      <c r="OQT1914" s="56">
        <v>18.98</v>
      </c>
      <c r="OQU1914" s="56">
        <v>17.5</v>
      </c>
      <c r="OQV1914" s="62">
        <v>13.28</v>
      </c>
      <c r="OQW1914" s="115">
        <v>19.489999999999998</v>
      </c>
      <c r="OQX1914" s="56">
        <v>18.98</v>
      </c>
      <c r="OQY1914" s="56">
        <v>17.5</v>
      </c>
      <c r="OQZ1914" s="62">
        <v>13.28</v>
      </c>
      <c r="ORA1914" s="115">
        <v>19.489999999999998</v>
      </c>
      <c r="ORB1914" s="56">
        <v>18.98</v>
      </c>
      <c r="ORC1914" s="56">
        <v>17.5</v>
      </c>
      <c r="ORD1914" s="62">
        <v>13.28</v>
      </c>
      <c r="ORE1914" s="115">
        <v>19.489999999999998</v>
      </c>
      <c r="ORF1914" s="56">
        <v>18.98</v>
      </c>
      <c r="ORG1914" s="56">
        <v>17.5</v>
      </c>
      <c r="ORH1914" s="62">
        <v>13.28</v>
      </c>
      <c r="ORI1914" s="115">
        <v>19.489999999999998</v>
      </c>
      <c r="ORJ1914" s="56">
        <v>18.98</v>
      </c>
      <c r="ORK1914" s="56">
        <v>17.5</v>
      </c>
      <c r="ORL1914" s="62">
        <v>13.28</v>
      </c>
      <c r="ORM1914" s="115">
        <v>19.489999999999998</v>
      </c>
      <c r="ORN1914" s="56">
        <v>18.98</v>
      </c>
      <c r="ORO1914" s="56">
        <v>17.5</v>
      </c>
      <c r="ORP1914" s="62">
        <v>13.28</v>
      </c>
      <c r="ORQ1914" s="115">
        <v>19.489999999999998</v>
      </c>
      <c r="ORR1914" s="56">
        <v>18.98</v>
      </c>
      <c r="ORS1914" s="56">
        <v>17.5</v>
      </c>
      <c r="ORT1914" s="62">
        <v>13.28</v>
      </c>
      <c r="ORU1914" s="115">
        <v>19.489999999999998</v>
      </c>
      <c r="ORV1914" s="56">
        <v>18.98</v>
      </c>
      <c r="ORW1914" s="56">
        <v>17.5</v>
      </c>
      <c r="ORX1914" s="62">
        <v>13.28</v>
      </c>
      <c r="ORY1914" s="115">
        <v>19.489999999999998</v>
      </c>
      <c r="ORZ1914" s="56">
        <v>18.98</v>
      </c>
      <c r="OSA1914" s="56">
        <v>17.5</v>
      </c>
      <c r="OSB1914" s="62">
        <v>13.28</v>
      </c>
      <c r="OSC1914" s="115">
        <v>19.489999999999998</v>
      </c>
      <c r="OSD1914" s="56">
        <v>18.98</v>
      </c>
      <c r="OSE1914" s="56">
        <v>17.5</v>
      </c>
      <c r="OSF1914" s="62">
        <v>13.28</v>
      </c>
      <c r="OSG1914" s="115">
        <v>19.489999999999998</v>
      </c>
      <c r="OSH1914" s="56">
        <v>18.98</v>
      </c>
      <c r="OSI1914" s="56">
        <v>17.5</v>
      </c>
      <c r="OSJ1914" s="62">
        <v>13.28</v>
      </c>
      <c r="OSK1914" s="115">
        <v>19.489999999999998</v>
      </c>
      <c r="OSL1914" s="56">
        <v>18.98</v>
      </c>
      <c r="OSM1914" s="56">
        <v>17.5</v>
      </c>
      <c r="OSN1914" s="62">
        <v>13.28</v>
      </c>
      <c r="OSO1914" s="115">
        <v>19.489999999999998</v>
      </c>
      <c r="OSP1914" s="56">
        <v>18.98</v>
      </c>
      <c r="OSQ1914" s="56">
        <v>17.5</v>
      </c>
      <c r="OSR1914" s="62">
        <v>13.28</v>
      </c>
      <c r="OSS1914" s="115">
        <v>19.489999999999998</v>
      </c>
      <c r="OST1914" s="56">
        <v>18.98</v>
      </c>
      <c r="OSU1914" s="56">
        <v>17.5</v>
      </c>
      <c r="OSV1914" s="62">
        <v>13.28</v>
      </c>
      <c r="OSW1914" s="115">
        <v>19.489999999999998</v>
      </c>
      <c r="OSX1914" s="56">
        <v>18.98</v>
      </c>
      <c r="OSY1914" s="56">
        <v>17.5</v>
      </c>
      <c r="OSZ1914" s="62">
        <v>13.28</v>
      </c>
      <c r="OTA1914" s="115">
        <v>19.489999999999998</v>
      </c>
      <c r="OTB1914" s="56">
        <v>18.98</v>
      </c>
      <c r="OTC1914" s="56">
        <v>17.5</v>
      </c>
      <c r="OTD1914" s="62">
        <v>13.28</v>
      </c>
      <c r="OTE1914" s="115">
        <v>19.489999999999998</v>
      </c>
      <c r="OTF1914" s="56">
        <v>18.98</v>
      </c>
      <c r="OTG1914" s="56">
        <v>17.5</v>
      </c>
      <c r="OTH1914" s="62">
        <v>13.28</v>
      </c>
      <c r="OTI1914" s="115">
        <v>19.489999999999998</v>
      </c>
      <c r="OTJ1914" s="56">
        <v>18.98</v>
      </c>
      <c r="OTK1914" s="56">
        <v>17.5</v>
      </c>
      <c r="OTL1914" s="62">
        <v>13.28</v>
      </c>
      <c r="OTM1914" s="115">
        <v>19.489999999999998</v>
      </c>
      <c r="OTN1914" s="56">
        <v>18.98</v>
      </c>
      <c r="OTO1914" s="56">
        <v>17.5</v>
      </c>
      <c r="OTP1914" s="62">
        <v>13.28</v>
      </c>
      <c r="OTQ1914" s="115">
        <v>19.489999999999998</v>
      </c>
      <c r="OTR1914" s="56">
        <v>18.98</v>
      </c>
      <c r="OTS1914" s="56">
        <v>17.5</v>
      </c>
      <c r="OTT1914" s="62">
        <v>13.28</v>
      </c>
      <c r="OTU1914" s="115">
        <v>19.489999999999998</v>
      </c>
      <c r="OTV1914" s="56">
        <v>18.98</v>
      </c>
      <c r="OTW1914" s="56">
        <v>17.5</v>
      </c>
      <c r="OTX1914" s="62">
        <v>13.28</v>
      </c>
      <c r="OTY1914" s="115">
        <v>19.489999999999998</v>
      </c>
      <c r="OTZ1914" s="56">
        <v>18.98</v>
      </c>
      <c r="OUA1914" s="56">
        <v>17.5</v>
      </c>
      <c r="OUB1914" s="62">
        <v>13.28</v>
      </c>
      <c r="OUC1914" s="115">
        <v>19.489999999999998</v>
      </c>
      <c r="OUD1914" s="56">
        <v>18.98</v>
      </c>
      <c r="OUE1914" s="56">
        <v>17.5</v>
      </c>
      <c r="OUF1914" s="62">
        <v>13.28</v>
      </c>
      <c r="OUG1914" s="115">
        <v>19.489999999999998</v>
      </c>
      <c r="OUH1914" s="56">
        <v>18.98</v>
      </c>
      <c r="OUI1914" s="56">
        <v>17.5</v>
      </c>
      <c r="OUJ1914" s="62">
        <v>13.28</v>
      </c>
      <c r="OUK1914" s="115">
        <v>19.489999999999998</v>
      </c>
      <c r="OUL1914" s="56">
        <v>18.98</v>
      </c>
      <c r="OUM1914" s="56">
        <v>17.5</v>
      </c>
      <c r="OUN1914" s="62">
        <v>13.28</v>
      </c>
      <c r="OUO1914" s="115">
        <v>19.489999999999998</v>
      </c>
      <c r="OUP1914" s="56">
        <v>18.98</v>
      </c>
      <c r="OUQ1914" s="56">
        <v>17.5</v>
      </c>
      <c r="OUR1914" s="62">
        <v>13.28</v>
      </c>
      <c r="OUS1914" s="115">
        <v>19.489999999999998</v>
      </c>
      <c r="OUT1914" s="56">
        <v>18.98</v>
      </c>
      <c r="OUU1914" s="56">
        <v>17.5</v>
      </c>
      <c r="OUV1914" s="62">
        <v>13.28</v>
      </c>
      <c r="OUW1914" s="115">
        <v>19.489999999999998</v>
      </c>
      <c r="OUX1914" s="56">
        <v>18.98</v>
      </c>
      <c r="OUY1914" s="56">
        <v>17.5</v>
      </c>
      <c r="OUZ1914" s="62">
        <v>13.28</v>
      </c>
      <c r="OVA1914" s="115">
        <v>19.489999999999998</v>
      </c>
      <c r="OVB1914" s="56">
        <v>18.98</v>
      </c>
      <c r="OVC1914" s="56">
        <v>17.5</v>
      </c>
      <c r="OVD1914" s="62">
        <v>13.28</v>
      </c>
      <c r="OVE1914" s="115">
        <v>19.489999999999998</v>
      </c>
      <c r="OVF1914" s="56">
        <v>18.98</v>
      </c>
      <c r="OVG1914" s="56">
        <v>17.5</v>
      </c>
      <c r="OVH1914" s="62">
        <v>13.28</v>
      </c>
      <c r="OVI1914" s="115">
        <v>19.489999999999998</v>
      </c>
      <c r="OVJ1914" s="56">
        <v>18.98</v>
      </c>
      <c r="OVK1914" s="56">
        <v>17.5</v>
      </c>
      <c r="OVL1914" s="62">
        <v>13.28</v>
      </c>
      <c r="OVM1914" s="115">
        <v>19.489999999999998</v>
      </c>
      <c r="OVN1914" s="56">
        <v>18.98</v>
      </c>
      <c r="OVO1914" s="56">
        <v>17.5</v>
      </c>
      <c r="OVP1914" s="62">
        <v>13.28</v>
      </c>
      <c r="OVQ1914" s="115">
        <v>19.489999999999998</v>
      </c>
      <c r="OVR1914" s="56">
        <v>18.98</v>
      </c>
      <c r="OVS1914" s="56">
        <v>17.5</v>
      </c>
      <c r="OVT1914" s="62">
        <v>13.28</v>
      </c>
      <c r="OVU1914" s="115">
        <v>19.489999999999998</v>
      </c>
      <c r="OVV1914" s="56">
        <v>18.98</v>
      </c>
      <c r="OVW1914" s="56">
        <v>17.5</v>
      </c>
      <c r="OVX1914" s="62">
        <v>13.28</v>
      </c>
      <c r="OVY1914" s="115">
        <v>19.489999999999998</v>
      </c>
      <c r="OVZ1914" s="56">
        <v>18.98</v>
      </c>
      <c r="OWA1914" s="56">
        <v>17.5</v>
      </c>
      <c r="OWB1914" s="62">
        <v>13.28</v>
      </c>
      <c r="OWC1914" s="115">
        <v>19.489999999999998</v>
      </c>
      <c r="OWD1914" s="56">
        <v>18.98</v>
      </c>
      <c r="OWE1914" s="56">
        <v>17.5</v>
      </c>
      <c r="OWF1914" s="62">
        <v>13.28</v>
      </c>
      <c r="OWG1914" s="115">
        <v>19.489999999999998</v>
      </c>
      <c r="OWH1914" s="56">
        <v>18.98</v>
      </c>
      <c r="OWI1914" s="56">
        <v>17.5</v>
      </c>
      <c r="OWJ1914" s="62">
        <v>13.28</v>
      </c>
      <c r="OWK1914" s="115">
        <v>19.489999999999998</v>
      </c>
      <c r="OWL1914" s="56">
        <v>18.98</v>
      </c>
      <c r="OWM1914" s="56">
        <v>17.5</v>
      </c>
      <c r="OWN1914" s="62">
        <v>13.28</v>
      </c>
      <c r="OWO1914" s="115">
        <v>19.489999999999998</v>
      </c>
      <c r="OWP1914" s="56">
        <v>18.98</v>
      </c>
      <c r="OWQ1914" s="56">
        <v>17.5</v>
      </c>
      <c r="OWR1914" s="62">
        <v>13.28</v>
      </c>
      <c r="OWS1914" s="115">
        <v>19.489999999999998</v>
      </c>
      <c r="OWT1914" s="56">
        <v>18.98</v>
      </c>
      <c r="OWU1914" s="56">
        <v>17.5</v>
      </c>
      <c r="OWV1914" s="62">
        <v>13.28</v>
      </c>
      <c r="OWW1914" s="115">
        <v>19.489999999999998</v>
      </c>
      <c r="OWX1914" s="56">
        <v>18.98</v>
      </c>
      <c r="OWY1914" s="56">
        <v>17.5</v>
      </c>
      <c r="OWZ1914" s="62">
        <v>13.28</v>
      </c>
      <c r="OXA1914" s="115">
        <v>19.489999999999998</v>
      </c>
      <c r="OXB1914" s="56">
        <v>18.98</v>
      </c>
      <c r="OXC1914" s="56">
        <v>17.5</v>
      </c>
      <c r="OXD1914" s="62">
        <v>13.28</v>
      </c>
      <c r="OXE1914" s="115">
        <v>19.489999999999998</v>
      </c>
      <c r="OXF1914" s="56">
        <v>18.98</v>
      </c>
      <c r="OXG1914" s="56">
        <v>17.5</v>
      </c>
      <c r="OXH1914" s="62">
        <v>13.28</v>
      </c>
      <c r="OXI1914" s="115">
        <v>19.489999999999998</v>
      </c>
      <c r="OXJ1914" s="56">
        <v>18.98</v>
      </c>
      <c r="OXK1914" s="56">
        <v>17.5</v>
      </c>
      <c r="OXL1914" s="62">
        <v>13.28</v>
      </c>
      <c r="OXM1914" s="115">
        <v>19.489999999999998</v>
      </c>
      <c r="OXN1914" s="56">
        <v>18.98</v>
      </c>
      <c r="OXO1914" s="56">
        <v>17.5</v>
      </c>
      <c r="OXP1914" s="62">
        <v>13.28</v>
      </c>
      <c r="OXQ1914" s="115">
        <v>19.489999999999998</v>
      </c>
      <c r="OXR1914" s="56">
        <v>18.98</v>
      </c>
      <c r="OXS1914" s="56">
        <v>17.5</v>
      </c>
      <c r="OXT1914" s="62">
        <v>13.28</v>
      </c>
      <c r="OXU1914" s="115">
        <v>19.489999999999998</v>
      </c>
      <c r="OXV1914" s="56">
        <v>18.98</v>
      </c>
      <c r="OXW1914" s="56">
        <v>17.5</v>
      </c>
      <c r="OXX1914" s="62">
        <v>13.28</v>
      </c>
      <c r="OXY1914" s="115">
        <v>19.489999999999998</v>
      </c>
      <c r="OXZ1914" s="56">
        <v>18.98</v>
      </c>
      <c r="OYA1914" s="56">
        <v>17.5</v>
      </c>
      <c r="OYB1914" s="62">
        <v>13.28</v>
      </c>
      <c r="OYC1914" s="115">
        <v>19.489999999999998</v>
      </c>
      <c r="OYD1914" s="56">
        <v>18.98</v>
      </c>
      <c r="OYE1914" s="56">
        <v>17.5</v>
      </c>
      <c r="OYF1914" s="62">
        <v>13.28</v>
      </c>
      <c r="OYG1914" s="115">
        <v>19.489999999999998</v>
      </c>
      <c r="OYH1914" s="56">
        <v>18.98</v>
      </c>
      <c r="OYI1914" s="56">
        <v>17.5</v>
      </c>
      <c r="OYJ1914" s="62">
        <v>13.28</v>
      </c>
      <c r="OYK1914" s="115">
        <v>19.489999999999998</v>
      </c>
      <c r="OYL1914" s="56">
        <v>18.98</v>
      </c>
      <c r="OYM1914" s="56">
        <v>17.5</v>
      </c>
      <c r="OYN1914" s="62">
        <v>13.28</v>
      </c>
      <c r="OYO1914" s="115">
        <v>19.489999999999998</v>
      </c>
      <c r="OYP1914" s="56">
        <v>18.98</v>
      </c>
      <c r="OYQ1914" s="56">
        <v>17.5</v>
      </c>
      <c r="OYR1914" s="62">
        <v>13.28</v>
      </c>
      <c r="OYS1914" s="115">
        <v>19.489999999999998</v>
      </c>
      <c r="OYT1914" s="56">
        <v>18.98</v>
      </c>
      <c r="OYU1914" s="56">
        <v>17.5</v>
      </c>
      <c r="OYV1914" s="62">
        <v>13.28</v>
      </c>
      <c r="OYW1914" s="115">
        <v>19.489999999999998</v>
      </c>
      <c r="OYX1914" s="56">
        <v>18.98</v>
      </c>
      <c r="OYY1914" s="56">
        <v>17.5</v>
      </c>
      <c r="OYZ1914" s="62">
        <v>13.28</v>
      </c>
      <c r="OZA1914" s="115">
        <v>19.489999999999998</v>
      </c>
      <c r="OZB1914" s="56">
        <v>18.98</v>
      </c>
      <c r="OZC1914" s="56">
        <v>17.5</v>
      </c>
      <c r="OZD1914" s="62">
        <v>13.28</v>
      </c>
      <c r="OZE1914" s="115">
        <v>19.489999999999998</v>
      </c>
      <c r="OZF1914" s="56">
        <v>18.98</v>
      </c>
      <c r="OZG1914" s="56">
        <v>17.5</v>
      </c>
      <c r="OZH1914" s="62">
        <v>13.28</v>
      </c>
      <c r="OZI1914" s="115">
        <v>19.489999999999998</v>
      </c>
      <c r="OZJ1914" s="56">
        <v>18.98</v>
      </c>
      <c r="OZK1914" s="56">
        <v>17.5</v>
      </c>
      <c r="OZL1914" s="62">
        <v>13.28</v>
      </c>
      <c r="OZM1914" s="115">
        <v>19.489999999999998</v>
      </c>
      <c r="OZN1914" s="56">
        <v>18.98</v>
      </c>
      <c r="OZO1914" s="56">
        <v>17.5</v>
      </c>
      <c r="OZP1914" s="62">
        <v>13.28</v>
      </c>
      <c r="OZQ1914" s="115">
        <v>19.489999999999998</v>
      </c>
      <c r="OZR1914" s="56">
        <v>18.98</v>
      </c>
      <c r="OZS1914" s="56">
        <v>17.5</v>
      </c>
      <c r="OZT1914" s="62">
        <v>13.28</v>
      </c>
      <c r="OZU1914" s="115">
        <v>19.489999999999998</v>
      </c>
      <c r="OZV1914" s="56">
        <v>18.98</v>
      </c>
      <c r="OZW1914" s="56">
        <v>17.5</v>
      </c>
      <c r="OZX1914" s="62">
        <v>13.28</v>
      </c>
      <c r="OZY1914" s="115">
        <v>19.489999999999998</v>
      </c>
      <c r="OZZ1914" s="56">
        <v>18.98</v>
      </c>
      <c r="PAA1914" s="56">
        <v>17.5</v>
      </c>
      <c r="PAB1914" s="62">
        <v>13.28</v>
      </c>
      <c r="PAC1914" s="115">
        <v>19.489999999999998</v>
      </c>
      <c r="PAD1914" s="56">
        <v>18.98</v>
      </c>
      <c r="PAE1914" s="56">
        <v>17.5</v>
      </c>
      <c r="PAF1914" s="62">
        <v>13.28</v>
      </c>
      <c r="PAG1914" s="115">
        <v>19.489999999999998</v>
      </c>
      <c r="PAH1914" s="56">
        <v>18.98</v>
      </c>
      <c r="PAI1914" s="56">
        <v>17.5</v>
      </c>
      <c r="PAJ1914" s="62">
        <v>13.28</v>
      </c>
      <c r="PAK1914" s="115">
        <v>19.489999999999998</v>
      </c>
      <c r="PAL1914" s="56">
        <v>18.98</v>
      </c>
      <c r="PAM1914" s="56">
        <v>17.5</v>
      </c>
      <c r="PAN1914" s="62">
        <v>13.28</v>
      </c>
      <c r="PAO1914" s="115">
        <v>19.489999999999998</v>
      </c>
      <c r="PAP1914" s="56">
        <v>18.98</v>
      </c>
      <c r="PAQ1914" s="56">
        <v>17.5</v>
      </c>
      <c r="PAR1914" s="62">
        <v>13.28</v>
      </c>
      <c r="PAS1914" s="115">
        <v>19.489999999999998</v>
      </c>
      <c r="PAT1914" s="56">
        <v>18.98</v>
      </c>
      <c r="PAU1914" s="56">
        <v>17.5</v>
      </c>
      <c r="PAV1914" s="62">
        <v>13.28</v>
      </c>
      <c r="PAW1914" s="115">
        <v>19.489999999999998</v>
      </c>
      <c r="PAX1914" s="56">
        <v>18.98</v>
      </c>
      <c r="PAY1914" s="56">
        <v>17.5</v>
      </c>
      <c r="PAZ1914" s="62">
        <v>13.28</v>
      </c>
      <c r="PBA1914" s="115">
        <v>19.489999999999998</v>
      </c>
      <c r="PBB1914" s="56">
        <v>18.98</v>
      </c>
      <c r="PBC1914" s="56">
        <v>17.5</v>
      </c>
      <c r="PBD1914" s="62">
        <v>13.28</v>
      </c>
      <c r="PBE1914" s="115">
        <v>19.489999999999998</v>
      </c>
      <c r="PBF1914" s="56">
        <v>18.98</v>
      </c>
      <c r="PBG1914" s="56">
        <v>17.5</v>
      </c>
      <c r="PBH1914" s="62">
        <v>13.28</v>
      </c>
      <c r="PBI1914" s="115">
        <v>19.489999999999998</v>
      </c>
      <c r="PBJ1914" s="56">
        <v>18.98</v>
      </c>
      <c r="PBK1914" s="56">
        <v>17.5</v>
      </c>
      <c r="PBL1914" s="62">
        <v>13.28</v>
      </c>
      <c r="PBM1914" s="115">
        <v>19.489999999999998</v>
      </c>
      <c r="PBN1914" s="56">
        <v>18.98</v>
      </c>
      <c r="PBO1914" s="56">
        <v>17.5</v>
      </c>
      <c r="PBP1914" s="62">
        <v>13.28</v>
      </c>
      <c r="PBQ1914" s="115">
        <v>19.489999999999998</v>
      </c>
      <c r="PBR1914" s="56">
        <v>18.98</v>
      </c>
      <c r="PBS1914" s="56">
        <v>17.5</v>
      </c>
      <c r="PBT1914" s="62">
        <v>13.28</v>
      </c>
      <c r="PBU1914" s="115">
        <v>19.489999999999998</v>
      </c>
      <c r="PBV1914" s="56">
        <v>18.98</v>
      </c>
      <c r="PBW1914" s="56">
        <v>17.5</v>
      </c>
      <c r="PBX1914" s="62">
        <v>13.28</v>
      </c>
      <c r="PBY1914" s="115">
        <v>19.489999999999998</v>
      </c>
      <c r="PBZ1914" s="56">
        <v>18.98</v>
      </c>
      <c r="PCA1914" s="56">
        <v>17.5</v>
      </c>
      <c r="PCB1914" s="62">
        <v>13.28</v>
      </c>
      <c r="PCC1914" s="115">
        <v>19.489999999999998</v>
      </c>
      <c r="PCD1914" s="56">
        <v>18.98</v>
      </c>
      <c r="PCE1914" s="56">
        <v>17.5</v>
      </c>
      <c r="PCF1914" s="62">
        <v>13.28</v>
      </c>
      <c r="PCG1914" s="115">
        <v>19.489999999999998</v>
      </c>
      <c r="PCH1914" s="56">
        <v>18.98</v>
      </c>
      <c r="PCI1914" s="56">
        <v>17.5</v>
      </c>
      <c r="PCJ1914" s="62">
        <v>13.28</v>
      </c>
      <c r="PCK1914" s="115">
        <v>19.489999999999998</v>
      </c>
      <c r="PCL1914" s="56">
        <v>18.98</v>
      </c>
      <c r="PCM1914" s="56">
        <v>17.5</v>
      </c>
      <c r="PCN1914" s="62">
        <v>13.28</v>
      </c>
      <c r="PCO1914" s="115">
        <v>19.489999999999998</v>
      </c>
      <c r="PCP1914" s="56">
        <v>18.98</v>
      </c>
      <c r="PCQ1914" s="56">
        <v>17.5</v>
      </c>
      <c r="PCR1914" s="62">
        <v>13.28</v>
      </c>
      <c r="PCS1914" s="115">
        <v>19.489999999999998</v>
      </c>
      <c r="PCT1914" s="56">
        <v>18.98</v>
      </c>
      <c r="PCU1914" s="56">
        <v>17.5</v>
      </c>
      <c r="PCV1914" s="62">
        <v>13.28</v>
      </c>
      <c r="PCW1914" s="115">
        <v>19.489999999999998</v>
      </c>
      <c r="PCX1914" s="56">
        <v>18.98</v>
      </c>
      <c r="PCY1914" s="56">
        <v>17.5</v>
      </c>
      <c r="PCZ1914" s="62">
        <v>13.28</v>
      </c>
      <c r="PDA1914" s="115">
        <v>19.489999999999998</v>
      </c>
      <c r="PDB1914" s="56">
        <v>18.98</v>
      </c>
      <c r="PDC1914" s="56">
        <v>17.5</v>
      </c>
      <c r="PDD1914" s="62">
        <v>13.28</v>
      </c>
      <c r="PDE1914" s="115">
        <v>19.489999999999998</v>
      </c>
      <c r="PDF1914" s="56">
        <v>18.98</v>
      </c>
      <c r="PDG1914" s="56">
        <v>17.5</v>
      </c>
      <c r="PDH1914" s="62">
        <v>13.28</v>
      </c>
      <c r="PDI1914" s="115">
        <v>19.489999999999998</v>
      </c>
      <c r="PDJ1914" s="56">
        <v>18.98</v>
      </c>
      <c r="PDK1914" s="56">
        <v>17.5</v>
      </c>
      <c r="PDL1914" s="62">
        <v>13.28</v>
      </c>
      <c r="PDM1914" s="115">
        <v>19.489999999999998</v>
      </c>
      <c r="PDN1914" s="56">
        <v>18.98</v>
      </c>
      <c r="PDO1914" s="56">
        <v>17.5</v>
      </c>
      <c r="PDP1914" s="62">
        <v>13.28</v>
      </c>
      <c r="PDQ1914" s="115">
        <v>19.489999999999998</v>
      </c>
      <c r="PDR1914" s="56">
        <v>18.98</v>
      </c>
      <c r="PDS1914" s="56">
        <v>17.5</v>
      </c>
      <c r="PDT1914" s="62">
        <v>13.28</v>
      </c>
      <c r="PDU1914" s="115">
        <v>19.489999999999998</v>
      </c>
      <c r="PDV1914" s="56">
        <v>18.98</v>
      </c>
      <c r="PDW1914" s="56">
        <v>17.5</v>
      </c>
      <c r="PDX1914" s="62">
        <v>13.28</v>
      </c>
      <c r="PDY1914" s="115">
        <v>19.489999999999998</v>
      </c>
      <c r="PDZ1914" s="56">
        <v>18.98</v>
      </c>
      <c r="PEA1914" s="56">
        <v>17.5</v>
      </c>
      <c r="PEB1914" s="62">
        <v>13.28</v>
      </c>
      <c r="PEC1914" s="115">
        <v>19.489999999999998</v>
      </c>
      <c r="PED1914" s="56">
        <v>18.98</v>
      </c>
      <c r="PEE1914" s="56">
        <v>17.5</v>
      </c>
      <c r="PEF1914" s="62">
        <v>13.28</v>
      </c>
      <c r="PEG1914" s="115">
        <v>19.489999999999998</v>
      </c>
      <c r="PEH1914" s="56">
        <v>18.98</v>
      </c>
      <c r="PEI1914" s="56">
        <v>17.5</v>
      </c>
      <c r="PEJ1914" s="62">
        <v>13.28</v>
      </c>
      <c r="PEK1914" s="115">
        <v>19.489999999999998</v>
      </c>
      <c r="PEL1914" s="56">
        <v>18.98</v>
      </c>
      <c r="PEM1914" s="56">
        <v>17.5</v>
      </c>
      <c r="PEN1914" s="62">
        <v>13.28</v>
      </c>
      <c r="PEO1914" s="115">
        <v>19.489999999999998</v>
      </c>
      <c r="PEP1914" s="56">
        <v>18.98</v>
      </c>
      <c r="PEQ1914" s="56">
        <v>17.5</v>
      </c>
      <c r="PER1914" s="62">
        <v>13.28</v>
      </c>
      <c r="PES1914" s="115">
        <v>19.489999999999998</v>
      </c>
      <c r="PET1914" s="56">
        <v>18.98</v>
      </c>
      <c r="PEU1914" s="56">
        <v>17.5</v>
      </c>
      <c r="PEV1914" s="62">
        <v>13.28</v>
      </c>
      <c r="PEW1914" s="115">
        <v>19.489999999999998</v>
      </c>
      <c r="PEX1914" s="56">
        <v>18.98</v>
      </c>
      <c r="PEY1914" s="56">
        <v>17.5</v>
      </c>
      <c r="PEZ1914" s="62">
        <v>13.28</v>
      </c>
      <c r="PFA1914" s="115">
        <v>19.489999999999998</v>
      </c>
      <c r="PFB1914" s="56">
        <v>18.98</v>
      </c>
      <c r="PFC1914" s="56">
        <v>17.5</v>
      </c>
      <c r="PFD1914" s="62">
        <v>13.28</v>
      </c>
      <c r="PFE1914" s="115">
        <v>19.489999999999998</v>
      </c>
      <c r="PFF1914" s="56">
        <v>18.98</v>
      </c>
      <c r="PFG1914" s="56">
        <v>17.5</v>
      </c>
      <c r="PFH1914" s="62">
        <v>13.28</v>
      </c>
      <c r="PFI1914" s="115">
        <v>19.489999999999998</v>
      </c>
      <c r="PFJ1914" s="56">
        <v>18.98</v>
      </c>
      <c r="PFK1914" s="56">
        <v>17.5</v>
      </c>
      <c r="PFL1914" s="62">
        <v>13.28</v>
      </c>
      <c r="PFM1914" s="115">
        <v>19.489999999999998</v>
      </c>
      <c r="PFN1914" s="56">
        <v>18.98</v>
      </c>
      <c r="PFO1914" s="56">
        <v>17.5</v>
      </c>
      <c r="PFP1914" s="62">
        <v>13.28</v>
      </c>
      <c r="PFQ1914" s="115">
        <v>19.489999999999998</v>
      </c>
      <c r="PFR1914" s="56">
        <v>18.98</v>
      </c>
      <c r="PFS1914" s="56">
        <v>17.5</v>
      </c>
      <c r="PFT1914" s="62">
        <v>13.28</v>
      </c>
      <c r="PFU1914" s="115">
        <v>19.489999999999998</v>
      </c>
      <c r="PFV1914" s="56">
        <v>18.98</v>
      </c>
      <c r="PFW1914" s="56">
        <v>17.5</v>
      </c>
      <c r="PFX1914" s="62">
        <v>13.28</v>
      </c>
      <c r="PFY1914" s="115">
        <v>19.489999999999998</v>
      </c>
      <c r="PFZ1914" s="56">
        <v>18.98</v>
      </c>
      <c r="PGA1914" s="56">
        <v>17.5</v>
      </c>
      <c r="PGB1914" s="62">
        <v>13.28</v>
      </c>
      <c r="PGC1914" s="115">
        <v>19.489999999999998</v>
      </c>
      <c r="PGD1914" s="56">
        <v>18.98</v>
      </c>
      <c r="PGE1914" s="56">
        <v>17.5</v>
      </c>
      <c r="PGF1914" s="62">
        <v>13.28</v>
      </c>
      <c r="PGG1914" s="115">
        <v>19.489999999999998</v>
      </c>
      <c r="PGH1914" s="56">
        <v>18.98</v>
      </c>
      <c r="PGI1914" s="56">
        <v>17.5</v>
      </c>
      <c r="PGJ1914" s="62">
        <v>13.28</v>
      </c>
      <c r="PGK1914" s="115">
        <v>19.489999999999998</v>
      </c>
      <c r="PGL1914" s="56">
        <v>18.98</v>
      </c>
      <c r="PGM1914" s="56">
        <v>17.5</v>
      </c>
      <c r="PGN1914" s="62">
        <v>13.28</v>
      </c>
      <c r="PGO1914" s="115">
        <v>19.489999999999998</v>
      </c>
      <c r="PGP1914" s="56">
        <v>18.98</v>
      </c>
      <c r="PGQ1914" s="56">
        <v>17.5</v>
      </c>
      <c r="PGR1914" s="62">
        <v>13.28</v>
      </c>
      <c r="PGS1914" s="115">
        <v>19.489999999999998</v>
      </c>
      <c r="PGT1914" s="56">
        <v>18.98</v>
      </c>
      <c r="PGU1914" s="56">
        <v>17.5</v>
      </c>
      <c r="PGV1914" s="62">
        <v>13.28</v>
      </c>
      <c r="PGW1914" s="115">
        <v>19.489999999999998</v>
      </c>
      <c r="PGX1914" s="56">
        <v>18.98</v>
      </c>
      <c r="PGY1914" s="56">
        <v>17.5</v>
      </c>
      <c r="PGZ1914" s="62">
        <v>13.28</v>
      </c>
      <c r="PHA1914" s="115">
        <v>19.489999999999998</v>
      </c>
      <c r="PHB1914" s="56">
        <v>18.98</v>
      </c>
      <c r="PHC1914" s="56">
        <v>17.5</v>
      </c>
      <c r="PHD1914" s="62">
        <v>13.28</v>
      </c>
      <c r="PHE1914" s="115">
        <v>19.489999999999998</v>
      </c>
      <c r="PHF1914" s="56">
        <v>18.98</v>
      </c>
      <c r="PHG1914" s="56">
        <v>17.5</v>
      </c>
      <c r="PHH1914" s="62">
        <v>13.28</v>
      </c>
      <c r="PHI1914" s="115">
        <v>19.489999999999998</v>
      </c>
      <c r="PHJ1914" s="56">
        <v>18.98</v>
      </c>
      <c r="PHK1914" s="56">
        <v>17.5</v>
      </c>
      <c r="PHL1914" s="62">
        <v>13.28</v>
      </c>
      <c r="PHM1914" s="115">
        <v>19.489999999999998</v>
      </c>
      <c r="PHN1914" s="56">
        <v>18.98</v>
      </c>
      <c r="PHO1914" s="56">
        <v>17.5</v>
      </c>
      <c r="PHP1914" s="62">
        <v>13.28</v>
      </c>
      <c r="PHQ1914" s="115">
        <v>19.489999999999998</v>
      </c>
      <c r="PHR1914" s="56">
        <v>18.98</v>
      </c>
      <c r="PHS1914" s="56">
        <v>17.5</v>
      </c>
      <c r="PHT1914" s="62">
        <v>13.28</v>
      </c>
      <c r="PHU1914" s="115">
        <v>19.489999999999998</v>
      </c>
      <c r="PHV1914" s="56">
        <v>18.98</v>
      </c>
      <c r="PHW1914" s="56">
        <v>17.5</v>
      </c>
      <c r="PHX1914" s="62">
        <v>13.28</v>
      </c>
      <c r="PHY1914" s="115">
        <v>19.489999999999998</v>
      </c>
      <c r="PHZ1914" s="56">
        <v>18.98</v>
      </c>
      <c r="PIA1914" s="56">
        <v>17.5</v>
      </c>
      <c r="PIB1914" s="62">
        <v>13.28</v>
      </c>
      <c r="PIC1914" s="115">
        <v>19.489999999999998</v>
      </c>
      <c r="PID1914" s="56">
        <v>18.98</v>
      </c>
      <c r="PIE1914" s="56">
        <v>17.5</v>
      </c>
      <c r="PIF1914" s="62">
        <v>13.28</v>
      </c>
      <c r="PIG1914" s="115">
        <v>19.489999999999998</v>
      </c>
      <c r="PIH1914" s="56">
        <v>18.98</v>
      </c>
      <c r="PII1914" s="56">
        <v>17.5</v>
      </c>
      <c r="PIJ1914" s="62">
        <v>13.28</v>
      </c>
      <c r="PIK1914" s="115">
        <v>19.489999999999998</v>
      </c>
      <c r="PIL1914" s="56">
        <v>18.98</v>
      </c>
      <c r="PIM1914" s="56">
        <v>17.5</v>
      </c>
      <c r="PIN1914" s="62">
        <v>13.28</v>
      </c>
      <c r="PIO1914" s="115">
        <v>19.489999999999998</v>
      </c>
      <c r="PIP1914" s="56">
        <v>18.98</v>
      </c>
      <c r="PIQ1914" s="56">
        <v>17.5</v>
      </c>
      <c r="PIR1914" s="62">
        <v>13.28</v>
      </c>
      <c r="PIS1914" s="115">
        <v>19.489999999999998</v>
      </c>
      <c r="PIT1914" s="56">
        <v>18.98</v>
      </c>
      <c r="PIU1914" s="56">
        <v>17.5</v>
      </c>
      <c r="PIV1914" s="62">
        <v>13.28</v>
      </c>
      <c r="PIW1914" s="115">
        <v>19.489999999999998</v>
      </c>
      <c r="PIX1914" s="56">
        <v>18.98</v>
      </c>
      <c r="PIY1914" s="56">
        <v>17.5</v>
      </c>
      <c r="PIZ1914" s="62">
        <v>13.28</v>
      </c>
      <c r="PJA1914" s="115">
        <v>19.489999999999998</v>
      </c>
      <c r="PJB1914" s="56">
        <v>18.98</v>
      </c>
      <c r="PJC1914" s="56">
        <v>17.5</v>
      </c>
      <c r="PJD1914" s="62">
        <v>13.28</v>
      </c>
      <c r="PJE1914" s="115">
        <v>19.489999999999998</v>
      </c>
      <c r="PJF1914" s="56">
        <v>18.98</v>
      </c>
      <c r="PJG1914" s="56">
        <v>17.5</v>
      </c>
      <c r="PJH1914" s="62">
        <v>13.28</v>
      </c>
      <c r="PJI1914" s="115">
        <v>19.489999999999998</v>
      </c>
      <c r="PJJ1914" s="56">
        <v>18.98</v>
      </c>
      <c r="PJK1914" s="56">
        <v>17.5</v>
      </c>
      <c r="PJL1914" s="62">
        <v>13.28</v>
      </c>
      <c r="PJM1914" s="115">
        <v>19.489999999999998</v>
      </c>
      <c r="PJN1914" s="56">
        <v>18.98</v>
      </c>
      <c r="PJO1914" s="56">
        <v>17.5</v>
      </c>
      <c r="PJP1914" s="62">
        <v>13.28</v>
      </c>
      <c r="PJQ1914" s="115">
        <v>19.489999999999998</v>
      </c>
      <c r="PJR1914" s="56">
        <v>18.98</v>
      </c>
      <c r="PJS1914" s="56">
        <v>17.5</v>
      </c>
      <c r="PJT1914" s="62">
        <v>13.28</v>
      </c>
      <c r="PJU1914" s="115">
        <v>19.489999999999998</v>
      </c>
      <c r="PJV1914" s="56">
        <v>18.98</v>
      </c>
      <c r="PJW1914" s="56">
        <v>17.5</v>
      </c>
      <c r="PJX1914" s="62">
        <v>13.28</v>
      </c>
      <c r="PJY1914" s="115">
        <v>19.489999999999998</v>
      </c>
      <c r="PJZ1914" s="56">
        <v>18.98</v>
      </c>
      <c r="PKA1914" s="56">
        <v>17.5</v>
      </c>
      <c r="PKB1914" s="62">
        <v>13.28</v>
      </c>
      <c r="PKC1914" s="115">
        <v>19.489999999999998</v>
      </c>
      <c r="PKD1914" s="56">
        <v>18.98</v>
      </c>
      <c r="PKE1914" s="56">
        <v>17.5</v>
      </c>
      <c r="PKF1914" s="62">
        <v>13.28</v>
      </c>
      <c r="PKG1914" s="115">
        <v>19.489999999999998</v>
      </c>
      <c r="PKH1914" s="56">
        <v>18.98</v>
      </c>
      <c r="PKI1914" s="56">
        <v>17.5</v>
      </c>
      <c r="PKJ1914" s="62">
        <v>13.28</v>
      </c>
      <c r="PKK1914" s="115">
        <v>19.489999999999998</v>
      </c>
      <c r="PKL1914" s="56">
        <v>18.98</v>
      </c>
      <c r="PKM1914" s="56">
        <v>17.5</v>
      </c>
      <c r="PKN1914" s="62">
        <v>13.28</v>
      </c>
      <c r="PKO1914" s="115">
        <v>19.489999999999998</v>
      </c>
      <c r="PKP1914" s="56">
        <v>18.98</v>
      </c>
      <c r="PKQ1914" s="56">
        <v>17.5</v>
      </c>
      <c r="PKR1914" s="62">
        <v>13.28</v>
      </c>
      <c r="PKS1914" s="115">
        <v>19.489999999999998</v>
      </c>
      <c r="PKT1914" s="56">
        <v>18.98</v>
      </c>
      <c r="PKU1914" s="56">
        <v>17.5</v>
      </c>
      <c r="PKV1914" s="62">
        <v>13.28</v>
      </c>
      <c r="PKW1914" s="115">
        <v>19.489999999999998</v>
      </c>
      <c r="PKX1914" s="56">
        <v>18.98</v>
      </c>
      <c r="PKY1914" s="56">
        <v>17.5</v>
      </c>
      <c r="PKZ1914" s="62">
        <v>13.28</v>
      </c>
      <c r="PLA1914" s="115">
        <v>19.489999999999998</v>
      </c>
      <c r="PLB1914" s="56">
        <v>18.98</v>
      </c>
      <c r="PLC1914" s="56">
        <v>17.5</v>
      </c>
      <c r="PLD1914" s="62">
        <v>13.28</v>
      </c>
      <c r="PLE1914" s="115">
        <v>19.489999999999998</v>
      </c>
      <c r="PLF1914" s="56">
        <v>18.98</v>
      </c>
      <c r="PLG1914" s="56">
        <v>17.5</v>
      </c>
      <c r="PLH1914" s="62">
        <v>13.28</v>
      </c>
      <c r="PLI1914" s="115">
        <v>19.489999999999998</v>
      </c>
      <c r="PLJ1914" s="56">
        <v>18.98</v>
      </c>
      <c r="PLK1914" s="56">
        <v>17.5</v>
      </c>
      <c r="PLL1914" s="62">
        <v>13.28</v>
      </c>
      <c r="PLM1914" s="115">
        <v>19.489999999999998</v>
      </c>
      <c r="PLN1914" s="56">
        <v>18.98</v>
      </c>
      <c r="PLO1914" s="56">
        <v>17.5</v>
      </c>
      <c r="PLP1914" s="62">
        <v>13.28</v>
      </c>
      <c r="PLQ1914" s="115">
        <v>19.489999999999998</v>
      </c>
      <c r="PLR1914" s="56">
        <v>18.98</v>
      </c>
      <c r="PLS1914" s="56">
        <v>17.5</v>
      </c>
      <c r="PLT1914" s="62">
        <v>13.28</v>
      </c>
      <c r="PLU1914" s="115">
        <v>19.489999999999998</v>
      </c>
      <c r="PLV1914" s="56">
        <v>18.98</v>
      </c>
      <c r="PLW1914" s="56">
        <v>17.5</v>
      </c>
      <c r="PLX1914" s="62">
        <v>13.28</v>
      </c>
      <c r="PLY1914" s="115">
        <v>19.489999999999998</v>
      </c>
      <c r="PLZ1914" s="56">
        <v>18.98</v>
      </c>
      <c r="PMA1914" s="56">
        <v>17.5</v>
      </c>
      <c r="PMB1914" s="62">
        <v>13.28</v>
      </c>
      <c r="PMC1914" s="115">
        <v>19.489999999999998</v>
      </c>
      <c r="PMD1914" s="56">
        <v>18.98</v>
      </c>
      <c r="PME1914" s="56">
        <v>17.5</v>
      </c>
      <c r="PMF1914" s="62">
        <v>13.28</v>
      </c>
      <c r="PMG1914" s="115">
        <v>19.489999999999998</v>
      </c>
      <c r="PMH1914" s="56">
        <v>18.98</v>
      </c>
      <c r="PMI1914" s="56">
        <v>17.5</v>
      </c>
      <c r="PMJ1914" s="62">
        <v>13.28</v>
      </c>
      <c r="PMK1914" s="115">
        <v>19.489999999999998</v>
      </c>
      <c r="PML1914" s="56">
        <v>18.98</v>
      </c>
      <c r="PMM1914" s="56">
        <v>17.5</v>
      </c>
      <c r="PMN1914" s="62">
        <v>13.28</v>
      </c>
      <c r="PMO1914" s="115">
        <v>19.489999999999998</v>
      </c>
      <c r="PMP1914" s="56">
        <v>18.98</v>
      </c>
      <c r="PMQ1914" s="56">
        <v>17.5</v>
      </c>
      <c r="PMR1914" s="62">
        <v>13.28</v>
      </c>
      <c r="PMS1914" s="115">
        <v>19.489999999999998</v>
      </c>
      <c r="PMT1914" s="56">
        <v>18.98</v>
      </c>
      <c r="PMU1914" s="56">
        <v>17.5</v>
      </c>
      <c r="PMV1914" s="62">
        <v>13.28</v>
      </c>
      <c r="PMW1914" s="115">
        <v>19.489999999999998</v>
      </c>
      <c r="PMX1914" s="56">
        <v>18.98</v>
      </c>
      <c r="PMY1914" s="56">
        <v>17.5</v>
      </c>
      <c r="PMZ1914" s="62">
        <v>13.28</v>
      </c>
      <c r="PNA1914" s="115">
        <v>19.489999999999998</v>
      </c>
      <c r="PNB1914" s="56">
        <v>18.98</v>
      </c>
      <c r="PNC1914" s="56">
        <v>17.5</v>
      </c>
      <c r="PND1914" s="62">
        <v>13.28</v>
      </c>
      <c r="PNE1914" s="115">
        <v>19.489999999999998</v>
      </c>
      <c r="PNF1914" s="56">
        <v>18.98</v>
      </c>
      <c r="PNG1914" s="56">
        <v>17.5</v>
      </c>
      <c r="PNH1914" s="62">
        <v>13.28</v>
      </c>
      <c r="PNI1914" s="115">
        <v>19.489999999999998</v>
      </c>
      <c r="PNJ1914" s="56">
        <v>18.98</v>
      </c>
      <c r="PNK1914" s="56">
        <v>17.5</v>
      </c>
      <c r="PNL1914" s="62">
        <v>13.28</v>
      </c>
      <c r="PNM1914" s="115">
        <v>19.489999999999998</v>
      </c>
      <c r="PNN1914" s="56">
        <v>18.98</v>
      </c>
      <c r="PNO1914" s="56">
        <v>17.5</v>
      </c>
      <c r="PNP1914" s="62">
        <v>13.28</v>
      </c>
      <c r="PNQ1914" s="115">
        <v>19.489999999999998</v>
      </c>
      <c r="PNR1914" s="56">
        <v>18.98</v>
      </c>
      <c r="PNS1914" s="56">
        <v>17.5</v>
      </c>
      <c r="PNT1914" s="62">
        <v>13.28</v>
      </c>
      <c r="PNU1914" s="115">
        <v>19.489999999999998</v>
      </c>
      <c r="PNV1914" s="56">
        <v>18.98</v>
      </c>
      <c r="PNW1914" s="56">
        <v>17.5</v>
      </c>
      <c r="PNX1914" s="62">
        <v>13.28</v>
      </c>
      <c r="PNY1914" s="115">
        <v>19.489999999999998</v>
      </c>
      <c r="PNZ1914" s="56">
        <v>18.98</v>
      </c>
      <c r="POA1914" s="56">
        <v>17.5</v>
      </c>
      <c r="POB1914" s="62">
        <v>13.28</v>
      </c>
      <c r="POC1914" s="115">
        <v>19.489999999999998</v>
      </c>
      <c r="POD1914" s="56">
        <v>18.98</v>
      </c>
      <c r="POE1914" s="56">
        <v>17.5</v>
      </c>
      <c r="POF1914" s="62">
        <v>13.28</v>
      </c>
      <c r="POG1914" s="115">
        <v>19.489999999999998</v>
      </c>
      <c r="POH1914" s="56">
        <v>18.98</v>
      </c>
      <c r="POI1914" s="56">
        <v>17.5</v>
      </c>
      <c r="POJ1914" s="62">
        <v>13.28</v>
      </c>
      <c r="POK1914" s="115">
        <v>19.489999999999998</v>
      </c>
      <c r="POL1914" s="56">
        <v>18.98</v>
      </c>
      <c r="POM1914" s="56">
        <v>17.5</v>
      </c>
      <c r="PON1914" s="62">
        <v>13.28</v>
      </c>
      <c r="POO1914" s="115">
        <v>19.489999999999998</v>
      </c>
      <c r="POP1914" s="56">
        <v>18.98</v>
      </c>
      <c r="POQ1914" s="56">
        <v>17.5</v>
      </c>
      <c r="POR1914" s="62">
        <v>13.28</v>
      </c>
      <c r="POS1914" s="115">
        <v>19.489999999999998</v>
      </c>
      <c r="POT1914" s="56">
        <v>18.98</v>
      </c>
      <c r="POU1914" s="56">
        <v>17.5</v>
      </c>
      <c r="POV1914" s="62">
        <v>13.28</v>
      </c>
      <c r="POW1914" s="115">
        <v>19.489999999999998</v>
      </c>
      <c r="POX1914" s="56">
        <v>18.98</v>
      </c>
      <c r="POY1914" s="56">
        <v>17.5</v>
      </c>
      <c r="POZ1914" s="62">
        <v>13.28</v>
      </c>
      <c r="PPA1914" s="115">
        <v>19.489999999999998</v>
      </c>
      <c r="PPB1914" s="56">
        <v>18.98</v>
      </c>
      <c r="PPC1914" s="56">
        <v>17.5</v>
      </c>
      <c r="PPD1914" s="62">
        <v>13.28</v>
      </c>
      <c r="PPE1914" s="115">
        <v>19.489999999999998</v>
      </c>
      <c r="PPF1914" s="56">
        <v>18.98</v>
      </c>
      <c r="PPG1914" s="56">
        <v>17.5</v>
      </c>
      <c r="PPH1914" s="62">
        <v>13.28</v>
      </c>
      <c r="PPI1914" s="115">
        <v>19.489999999999998</v>
      </c>
      <c r="PPJ1914" s="56">
        <v>18.98</v>
      </c>
      <c r="PPK1914" s="56">
        <v>17.5</v>
      </c>
      <c r="PPL1914" s="62">
        <v>13.28</v>
      </c>
      <c r="PPM1914" s="115">
        <v>19.489999999999998</v>
      </c>
      <c r="PPN1914" s="56">
        <v>18.98</v>
      </c>
      <c r="PPO1914" s="56">
        <v>17.5</v>
      </c>
      <c r="PPP1914" s="62">
        <v>13.28</v>
      </c>
      <c r="PPQ1914" s="115">
        <v>19.489999999999998</v>
      </c>
      <c r="PPR1914" s="56">
        <v>18.98</v>
      </c>
      <c r="PPS1914" s="56">
        <v>17.5</v>
      </c>
      <c r="PPT1914" s="62">
        <v>13.28</v>
      </c>
      <c r="PPU1914" s="115">
        <v>19.489999999999998</v>
      </c>
      <c r="PPV1914" s="56">
        <v>18.98</v>
      </c>
      <c r="PPW1914" s="56">
        <v>17.5</v>
      </c>
      <c r="PPX1914" s="62">
        <v>13.28</v>
      </c>
      <c r="PPY1914" s="115">
        <v>19.489999999999998</v>
      </c>
      <c r="PPZ1914" s="56">
        <v>18.98</v>
      </c>
      <c r="PQA1914" s="56">
        <v>17.5</v>
      </c>
      <c r="PQB1914" s="62">
        <v>13.28</v>
      </c>
      <c r="PQC1914" s="115">
        <v>19.489999999999998</v>
      </c>
      <c r="PQD1914" s="56">
        <v>18.98</v>
      </c>
      <c r="PQE1914" s="56">
        <v>17.5</v>
      </c>
      <c r="PQF1914" s="62">
        <v>13.28</v>
      </c>
      <c r="PQG1914" s="115">
        <v>19.489999999999998</v>
      </c>
      <c r="PQH1914" s="56">
        <v>18.98</v>
      </c>
      <c r="PQI1914" s="56">
        <v>17.5</v>
      </c>
      <c r="PQJ1914" s="62">
        <v>13.28</v>
      </c>
      <c r="PQK1914" s="115">
        <v>19.489999999999998</v>
      </c>
      <c r="PQL1914" s="56">
        <v>18.98</v>
      </c>
      <c r="PQM1914" s="56">
        <v>17.5</v>
      </c>
      <c r="PQN1914" s="62">
        <v>13.28</v>
      </c>
      <c r="PQO1914" s="115">
        <v>19.489999999999998</v>
      </c>
      <c r="PQP1914" s="56">
        <v>18.98</v>
      </c>
      <c r="PQQ1914" s="56">
        <v>17.5</v>
      </c>
      <c r="PQR1914" s="62">
        <v>13.28</v>
      </c>
      <c r="PQS1914" s="115">
        <v>19.489999999999998</v>
      </c>
      <c r="PQT1914" s="56">
        <v>18.98</v>
      </c>
      <c r="PQU1914" s="56">
        <v>17.5</v>
      </c>
      <c r="PQV1914" s="62">
        <v>13.28</v>
      </c>
      <c r="PQW1914" s="115">
        <v>19.489999999999998</v>
      </c>
      <c r="PQX1914" s="56">
        <v>18.98</v>
      </c>
      <c r="PQY1914" s="56">
        <v>17.5</v>
      </c>
      <c r="PQZ1914" s="62">
        <v>13.28</v>
      </c>
      <c r="PRA1914" s="115">
        <v>19.489999999999998</v>
      </c>
      <c r="PRB1914" s="56">
        <v>18.98</v>
      </c>
      <c r="PRC1914" s="56">
        <v>17.5</v>
      </c>
      <c r="PRD1914" s="62">
        <v>13.28</v>
      </c>
      <c r="PRE1914" s="115">
        <v>19.489999999999998</v>
      </c>
      <c r="PRF1914" s="56">
        <v>18.98</v>
      </c>
      <c r="PRG1914" s="56">
        <v>17.5</v>
      </c>
      <c r="PRH1914" s="62">
        <v>13.28</v>
      </c>
      <c r="PRI1914" s="115">
        <v>19.489999999999998</v>
      </c>
      <c r="PRJ1914" s="56">
        <v>18.98</v>
      </c>
      <c r="PRK1914" s="56">
        <v>17.5</v>
      </c>
      <c r="PRL1914" s="62">
        <v>13.28</v>
      </c>
      <c r="PRM1914" s="115">
        <v>19.489999999999998</v>
      </c>
      <c r="PRN1914" s="56">
        <v>18.98</v>
      </c>
      <c r="PRO1914" s="56">
        <v>17.5</v>
      </c>
      <c r="PRP1914" s="62">
        <v>13.28</v>
      </c>
      <c r="PRQ1914" s="115">
        <v>19.489999999999998</v>
      </c>
      <c r="PRR1914" s="56">
        <v>18.98</v>
      </c>
      <c r="PRS1914" s="56">
        <v>17.5</v>
      </c>
      <c r="PRT1914" s="62">
        <v>13.28</v>
      </c>
      <c r="PRU1914" s="115">
        <v>19.489999999999998</v>
      </c>
      <c r="PRV1914" s="56">
        <v>18.98</v>
      </c>
      <c r="PRW1914" s="56">
        <v>17.5</v>
      </c>
      <c r="PRX1914" s="62">
        <v>13.28</v>
      </c>
      <c r="PRY1914" s="115">
        <v>19.489999999999998</v>
      </c>
      <c r="PRZ1914" s="56">
        <v>18.98</v>
      </c>
      <c r="PSA1914" s="56">
        <v>17.5</v>
      </c>
      <c r="PSB1914" s="62">
        <v>13.28</v>
      </c>
      <c r="PSC1914" s="115">
        <v>19.489999999999998</v>
      </c>
      <c r="PSD1914" s="56">
        <v>18.98</v>
      </c>
      <c r="PSE1914" s="56">
        <v>17.5</v>
      </c>
      <c r="PSF1914" s="62">
        <v>13.28</v>
      </c>
      <c r="PSG1914" s="115">
        <v>19.489999999999998</v>
      </c>
      <c r="PSH1914" s="56">
        <v>18.98</v>
      </c>
      <c r="PSI1914" s="56">
        <v>17.5</v>
      </c>
      <c r="PSJ1914" s="62">
        <v>13.28</v>
      </c>
      <c r="PSK1914" s="115">
        <v>19.489999999999998</v>
      </c>
      <c r="PSL1914" s="56">
        <v>18.98</v>
      </c>
      <c r="PSM1914" s="56">
        <v>17.5</v>
      </c>
      <c r="PSN1914" s="62">
        <v>13.28</v>
      </c>
      <c r="PSO1914" s="115">
        <v>19.489999999999998</v>
      </c>
      <c r="PSP1914" s="56">
        <v>18.98</v>
      </c>
      <c r="PSQ1914" s="56">
        <v>17.5</v>
      </c>
      <c r="PSR1914" s="62">
        <v>13.28</v>
      </c>
      <c r="PSS1914" s="115">
        <v>19.489999999999998</v>
      </c>
      <c r="PST1914" s="56">
        <v>18.98</v>
      </c>
      <c r="PSU1914" s="56">
        <v>17.5</v>
      </c>
      <c r="PSV1914" s="62">
        <v>13.28</v>
      </c>
      <c r="PSW1914" s="115">
        <v>19.489999999999998</v>
      </c>
      <c r="PSX1914" s="56">
        <v>18.98</v>
      </c>
      <c r="PSY1914" s="56">
        <v>17.5</v>
      </c>
      <c r="PSZ1914" s="62">
        <v>13.28</v>
      </c>
      <c r="PTA1914" s="115">
        <v>19.489999999999998</v>
      </c>
      <c r="PTB1914" s="56">
        <v>18.98</v>
      </c>
      <c r="PTC1914" s="56">
        <v>17.5</v>
      </c>
      <c r="PTD1914" s="62">
        <v>13.28</v>
      </c>
      <c r="PTE1914" s="115">
        <v>19.489999999999998</v>
      </c>
      <c r="PTF1914" s="56">
        <v>18.98</v>
      </c>
      <c r="PTG1914" s="56">
        <v>17.5</v>
      </c>
      <c r="PTH1914" s="62">
        <v>13.28</v>
      </c>
      <c r="PTI1914" s="115">
        <v>19.489999999999998</v>
      </c>
      <c r="PTJ1914" s="56">
        <v>18.98</v>
      </c>
      <c r="PTK1914" s="56">
        <v>17.5</v>
      </c>
      <c r="PTL1914" s="62">
        <v>13.28</v>
      </c>
      <c r="PTM1914" s="115">
        <v>19.489999999999998</v>
      </c>
      <c r="PTN1914" s="56">
        <v>18.98</v>
      </c>
      <c r="PTO1914" s="56">
        <v>17.5</v>
      </c>
      <c r="PTP1914" s="62">
        <v>13.28</v>
      </c>
      <c r="PTQ1914" s="115">
        <v>19.489999999999998</v>
      </c>
      <c r="PTR1914" s="56">
        <v>18.98</v>
      </c>
      <c r="PTS1914" s="56">
        <v>17.5</v>
      </c>
      <c r="PTT1914" s="62">
        <v>13.28</v>
      </c>
      <c r="PTU1914" s="115">
        <v>19.489999999999998</v>
      </c>
      <c r="PTV1914" s="56">
        <v>18.98</v>
      </c>
      <c r="PTW1914" s="56">
        <v>17.5</v>
      </c>
      <c r="PTX1914" s="62">
        <v>13.28</v>
      </c>
      <c r="PTY1914" s="115">
        <v>19.489999999999998</v>
      </c>
      <c r="PTZ1914" s="56">
        <v>18.98</v>
      </c>
      <c r="PUA1914" s="56">
        <v>17.5</v>
      </c>
      <c r="PUB1914" s="62">
        <v>13.28</v>
      </c>
      <c r="PUC1914" s="115">
        <v>19.489999999999998</v>
      </c>
      <c r="PUD1914" s="56">
        <v>18.98</v>
      </c>
      <c r="PUE1914" s="56">
        <v>17.5</v>
      </c>
      <c r="PUF1914" s="62">
        <v>13.28</v>
      </c>
      <c r="PUG1914" s="115">
        <v>19.489999999999998</v>
      </c>
      <c r="PUH1914" s="56">
        <v>18.98</v>
      </c>
      <c r="PUI1914" s="56">
        <v>17.5</v>
      </c>
      <c r="PUJ1914" s="62">
        <v>13.28</v>
      </c>
      <c r="PUK1914" s="115">
        <v>19.489999999999998</v>
      </c>
      <c r="PUL1914" s="56">
        <v>18.98</v>
      </c>
      <c r="PUM1914" s="56">
        <v>17.5</v>
      </c>
      <c r="PUN1914" s="62">
        <v>13.28</v>
      </c>
      <c r="PUO1914" s="115">
        <v>19.489999999999998</v>
      </c>
      <c r="PUP1914" s="56">
        <v>18.98</v>
      </c>
      <c r="PUQ1914" s="56">
        <v>17.5</v>
      </c>
      <c r="PUR1914" s="62">
        <v>13.28</v>
      </c>
      <c r="PUS1914" s="115">
        <v>19.489999999999998</v>
      </c>
      <c r="PUT1914" s="56">
        <v>18.98</v>
      </c>
      <c r="PUU1914" s="56">
        <v>17.5</v>
      </c>
      <c r="PUV1914" s="62">
        <v>13.28</v>
      </c>
      <c r="PUW1914" s="115">
        <v>19.489999999999998</v>
      </c>
      <c r="PUX1914" s="56">
        <v>18.98</v>
      </c>
      <c r="PUY1914" s="56">
        <v>17.5</v>
      </c>
      <c r="PUZ1914" s="62">
        <v>13.28</v>
      </c>
      <c r="PVA1914" s="115">
        <v>19.489999999999998</v>
      </c>
      <c r="PVB1914" s="56">
        <v>18.98</v>
      </c>
      <c r="PVC1914" s="56">
        <v>17.5</v>
      </c>
      <c r="PVD1914" s="62">
        <v>13.28</v>
      </c>
      <c r="PVE1914" s="115">
        <v>19.489999999999998</v>
      </c>
      <c r="PVF1914" s="56">
        <v>18.98</v>
      </c>
      <c r="PVG1914" s="56">
        <v>17.5</v>
      </c>
      <c r="PVH1914" s="62">
        <v>13.28</v>
      </c>
      <c r="PVI1914" s="115">
        <v>19.489999999999998</v>
      </c>
      <c r="PVJ1914" s="56">
        <v>18.98</v>
      </c>
      <c r="PVK1914" s="56">
        <v>17.5</v>
      </c>
      <c r="PVL1914" s="62">
        <v>13.28</v>
      </c>
      <c r="PVM1914" s="115">
        <v>19.489999999999998</v>
      </c>
      <c r="PVN1914" s="56">
        <v>18.98</v>
      </c>
      <c r="PVO1914" s="56">
        <v>17.5</v>
      </c>
      <c r="PVP1914" s="62">
        <v>13.28</v>
      </c>
      <c r="PVQ1914" s="115">
        <v>19.489999999999998</v>
      </c>
      <c r="PVR1914" s="56">
        <v>18.98</v>
      </c>
      <c r="PVS1914" s="56">
        <v>17.5</v>
      </c>
      <c r="PVT1914" s="62">
        <v>13.28</v>
      </c>
      <c r="PVU1914" s="115">
        <v>19.489999999999998</v>
      </c>
      <c r="PVV1914" s="56">
        <v>18.98</v>
      </c>
      <c r="PVW1914" s="56">
        <v>17.5</v>
      </c>
      <c r="PVX1914" s="62">
        <v>13.28</v>
      </c>
      <c r="PVY1914" s="115">
        <v>19.489999999999998</v>
      </c>
      <c r="PVZ1914" s="56">
        <v>18.98</v>
      </c>
      <c r="PWA1914" s="56">
        <v>17.5</v>
      </c>
      <c r="PWB1914" s="62">
        <v>13.28</v>
      </c>
      <c r="PWC1914" s="115">
        <v>19.489999999999998</v>
      </c>
      <c r="PWD1914" s="56">
        <v>18.98</v>
      </c>
      <c r="PWE1914" s="56">
        <v>17.5</v>
      </c>
      <c r="PWF1914" s="62">
        <v>13.28</v>
      </c>
      <c r="PWG1914" s="115">
        <v>19.489999999999998</v>
      </c>
      <c r="PWH1914" s="56">
        <v>18.98</v>
      </c>
      <c r="PWI1914" s="56">
        <v>17.5</v>
      </c>
      <c r="PWJ1914" s="62">
        <v>13.28</v>
      </c>
      <c r="PWK1914" s="115">
        <v>19.489999999999998</v>
      </c>
      <c r="PWL1914" s="56">
        <v>18.98</v>
      </c>
      <c r="PWM1914" s="56">
        <v>17.5</v>
      </c>
      <c r="PWN1914" s="62">
        <v>13.28</v>
      </c>
      <c r="PWO1914" s="115">
        <v>19.489999999999998</v>
      </c>
      <c r="PWP1914" s="56">
        <v>18.98</v>
      </c>
      <c r="PWQ1914" s="56">
        <v>17.5</v>
      </c>
      <c r="PWR1914" s="62">
        <v>13.28</v>
      </c>
      <c r="PWS1914" s="115">
        <v>19.489999999999998</v>
      </c>
      <c r="PWT1914" s="56">
        <v>18.98</v>
      </c>
      <c r="PWU1914" s="56">
        <v>17.5</v>
      </c>
      <c r="PWV1914" s="62">
        <v>13.28</v>
      </c>
      <c r="PWW1914" s="115">
        <v>19.489999999999998</v>
      </c>
      <c r="PWX1914" s="56">
        <v>18.98</v>
      </c>
      <c r="PWY1914" s="56">
        <v>17.5</v>
      </c>
      <c r="PWZ1914" s="62">
        <v>13.28</v>
      </c>
      <c r="PXA1914" s="115">
        <v>19.489999999999998</v>
      </c>
      <c r="PXB1914" s="56">
        <v>18.98</v>
      </c>
      <c r="PXC1914" s="56">
        <v>17.5</v>
      </c>
      <c r="PXD1914" s="62">
        <v>13.28</v>
      </c>
      <c r="PXE1914" s="115">
        <v>19.489999999999998</v>
      </c>
      <c r="PXF1914" s="56">
        <v>18.98</v>
      </c>
      <c r="PXG1914" s="56">
        <v>17.5</v>
      </c>
      <c r="PXH1914" s="62">
        <v>13.28</v>
      </c>
      <c r="PXI1914" s="115">
        <v>19.489999999999998</v>
      </c>
      <c r="PXJ1914" s="56">
        <v>18.98</v>
      </c>
      <c r="PXK1914" s="56">
        <v>17.5</v>
      </c>
      <c r="PXL1914" s="62">
        <v>13.28</v>
      </c>
      <c r="PXM1914" s="115">
        <v>19.489999999999998</v>
      </c>
      <c r="PXN1914" s="56">
        <v>18.98</v>
      </c>
      <c r="PXO1914" s="56">
        <v>17.5</v>
      </c>
      <c r="PXP1914" s="62">
        <v>13.28</v>
      </c>
      <c r="PXQ1914" s="115">
        <v>19.489999999999998</v>
      </c>
      <c r="PXR1914" s="56">
        <v>18.98</v>
      </c>
      <c r="PXS1914" s="56">
        <v>17.5</v>
      </c>
      <c r="PXT1914" s="62">
        <v>13.28</v>
      </c>
      <c r="PXU1914" s="115">
        <v>19.489999999999998</v>
      </c>
      <c r="PXV1914" s="56">
        <v>18.98</v>
      </c>
      <c r="PXW1914" s="56">
        <v>17.5</v>
      </c>
      <c r="PXX1914" s="62">
        <v>13.28</v>
      </c>
      <c r="PXY1914" s="115">
        <v>19.489999999999998</v>
      </c>
      <c r="PXZ1914" s="56">
        <v>18.98</v>
      </c>
      <c r="PYA1914" s="56">
        <v>17.5</v>
      </c>
      <c r="PYB1914" s="62">
        <v>13.28</v>
      </c>
      <c r="PYC1914" s="115">
        <v>19.489999999999998</v>
      </c>
      <c r="PYD1914" s="56">
        <v>18.98</v>
      </c>
      <c r="PYE1914" s="56">
        <v>17.5</v>
      </c>
      <c r="PYF1914" s="62">
        <v>13.28</v>
      </c>
      <c r="PYG1914" s="115">
        <v>19.489999999999998</v>
      </c>
      <c r="PYH1914" s="56">
        <v>18.98</v>
      </c>
      <c r="PYI1914" s="56">
        <v>17.5</v>
      </c>
      <c r="PYJ1914" s="62">
        <v>13.28</v>
      </c>
      <c r="PYK1914" s="115">
        <v>19.489999999999998</v>
      </c>
      <c r="PYL1914" s="56">
        <v>18.98</v>
      </c>
      <c r="PYM1914" s="56">
        <v>17.5</v>
      </c>
      <c r="PYN1914" s="62">
        <v>13.28</v>
      </c>
      <c r="PYO1914" s="115">
        <v>19.489999999999998</v>
      </c>
      <c r="PYP1914" s="56">
        <v>18.98</v>
      </c>
      <c r="PYQ1914" s="56">
        <v>17.5</v>
      </c>
      <c r="PYR1914" s="62">
        <v>13.28</v>
      </c>
      <c r="PYS1914" s="115">
        <v>19.489999999999998</v>
      </c>
      <c r="PYT1914" s="56">
        <v>18.98</v>
      </c>
      <c r="PYU1914" s="56">
        <v>17.5</v>
      </c>
      <c r="PYV1914" s="62">
        <v>13.28</v>
      </c>
      <c r="PYW1914" s="115">
        <v>19.489999999999998</v>
      </c>
      <c r="PYX1914" s="56">
        <v>18.98</v>
      </c>
      <c r="PYY1914" s="56">
        <v>17.5</v>
      </c>
      <c r="PYZ1914" s="62">
        <v>13.28</v>
      </c>
      <c r="PZA1914" s="115">
        <v>19.489999999999998</v>
      </c>
      <c r="PZB1914" s="56">
        <v>18.98</v>
      </c>
      <c r="PZC1914" s="56">
        <v>17.5</v>
      </c>
      <c r="PZD1914" s="62">
        <v>13.28</v>
      </c>
      <c r="PZE1914" s="115">
        <v>19.489999999999998</v>
      </c>
      <c r="PZF1914" s="56">
        <v>18.98</v>
      </c>
      <c r="PZG1914" s="56">
        <v>17.5</v>
      </c>
      <c r="PZH1914" s="62">
        <v>13.28</v>
      </c>
      <c r="PZI1914" s="115">
        <v>19.489999999999998</v>
      </c>
      <c r="PZJ1914" s="56">
        <v>18.98</v>
      </c>
      <c r="PZK1914" s="56">
        <v>17.5</v>
      </c>
      <c r="PZL1914" s="62">
        <v>13.28</v>
      </c>
      <c r="PZM1914" s="115">
        <v>19.489999999999998</v>
      </c>
      <c r="PZN1914" s="56">
        <v>18.98</v>
      </c>
      <c r="PZO1914" s="56">
        <v>17.5</v>
      </c>
      <c r="PZP1914" s="62">
        <v>13.28</v>
      </c>
      <c r="PZQ1914" s="115">
        <v>19.489999999999998</v>
      </c>
      <c r="PZR1914" s="56">
        <v>18.98</v>
      </c>
      <c r="PZS1914" s="56">
        <v>17.5</v>
      </c>
      <c r="PZT1914" s="62">
        <v>13.28</v>
      </c>
      <c r="PZU1914" s="115">
        <v>19.489999999999998</v>
      </c>
      <c r="PZV1914" s="56">
        <v>18.98</v>
      </c>
      <c r="PZW1914" s="56">
        <v>17.5</v>
      </c>
      <c r="PZX1914" s="62">
        <v>13.28</v>
      </c>
      <c r="PZY1914" s="115">
        <v>19.489999999999998</v>
      </c>
      <c r="PZZ1914" s="56">
        <v>18.98</v>
      </c>
      <c r="QAA1914" s="56">
        <v>17.5</v>
      </c>
      <c r="QAB1914" s="62">
        <v>13.28</v>
      </c>
      <c r="QAC1914" s="115">
        <v>19.489999999999998</v>
      </c>
      <c r="QAD1914" s="56">
        <v>18.98</v>
      </c>
      <c r="QAE1914" s="56">
        <v>17.5</v>
      </c>
      <c r="QAF1914" s="62">
        <v>13.28</v>
      </c>
      <c r="QAG1914" s="115">
        <v>19.489999999999998</v>
      </c>
      <c r="QAH1914" s="56">
        <v>18.98</v>
      </c>
      <c r="QAI1914" s="56">
        <v>17.5</v>
      </c>
      <c r="QAJ1914" s="62">
        <v>13.28</v>
      </c>
      <c r="QAK1914" s="115">
        <v>19.489999999999998</v>
      </c>
      <c r="QAL1914" s="56">
        <v>18.98</v>
      </c>
      <c r="QAM1914" s="56">
        <v>17.5</v>
      </c>
      <c r="QAN1914" s="62">
        <v>13.28</v>
      </c>
      <c r="QAO1914" s="115">
        <v>19.489999999999998</v>
      </c>
      <c r="QAP1914" s="56">
        <v>18.98</v>
      </c>
      <c r="QAQ1914" s="56">
        <v>17.5</v>
      </c>
      <c r="QAR1914" s="62">
        <v>13.28</v>
      </c>
      <c r="QAS1914" s="115">
        <v>19.489999999999998</v>
      </c>
      <c r="QAT1914" s="56">
        <v>18.98</v>
      </c>
      <c r="QAU1914" s="56">
        <v>17.5</v>
      </c>
      <c r="QAV1914" s="62">
        <v>13.28</v>
      </c>
      <c r="QAW1914" s="115">
        <v>19.489999999999998</v>
      </c>
      <c r="QAX1914" s="56">
        <v>18.98</v>
      </c>
      <c r="QAY1914" s="56">
        <v>17.5</v>
      </c>
      <c r="QAZ1914" s="62">
        <v>13.28</v>
      </c>
      <c r="QBA1914" s="115">
        <v>19.489999999999998</v>
      </c>
      <c r="QBB1914" s="56">
        <v>18.98</v>
      </c>
      <c r="QBC1914" s="56">
        <v>17.5</v>
      </c>
      <c r="QBD1914" s="62">
        <v>13.28</v>
      </c>
      <c r="QBE1914" s="115">
        <v>19.489999999999998</v>
      </c>
      <c r="QBF1914" s="56">
        <v>18.98</v>
      </c>
      <c r="QBG1914" s="56">
        <v>17.5</v>
      </c>
      <c r="QBH1914" s="62">
        <v>13.28</v>
      </c>
      <c r="QBI1914" s="115">
        <v>19.489999999999998</v>
      </c>
      <c r="QBJ1914" s="56">
        <v>18.98</v>
      </c>
      <c r="QBK1914" s="56">
        <v>17.5</v>
      </c>
      <c r="QBL1914" s="62">
        <v>13.28</v>
      </c>
      <c r="QBM1914" s="115">
        <v>19.489999999999998</v>
      </c>
      <c r="QBN1914" s="56">
        <v>18.98</v>
      </c>
      <c r="QBO1914" s="56">
        <v>17.5</v>
      </c>
      <c r="QBP1914" s="62">
        <v>13.28</v>
      </c>
      <c r="QBQ1914" s="115">
        <v>19.489999999999998</v>
      </c>
      <c r="QBR1914" s="56">
        <v>18.98</v>
      </c>
      <c r="QBS1914" s="56">
        <v>17.5</v>
      </c>
      <c r="QBT1914" s="62">
        <v>13.28</v>
      </c>
      <c r="QBU1914" s="115">
        <v>19.489999999999998</v>
      </c>
      <c r="QBV1914" s="56">
        <v>18.98</v>
      </c>
      <c r="QBW1914" s="56">
        <v>17.5</v>
      </c>
      <c r="QBX1914" s="62">
        <v>13.28</v>
      </c>
      <c r="QBY1914" s="115">
        <v>19.489999999999998</v>
      </c>
      <c r="QBZ1914" s="56">
        <v>18.98</v>
      </c>
      <c r="QCA1914" s="56">
        <v>17.5</v>
      </c>
      <c r="QCB1914" s="62">
        <v>13.28</v>
      </c>
      <c r="QCC1914" s="115">
        <v>19.489999999999998</v>
      </c>
      <c r="QCD1914" s="56">
        <v>18.98</v>
      </c>
      <c r="QCE1914" s="56">
        <v>17.5</v>
      </c>
      <c r="QCF1914" s="62">
        <v>13.28</v>
      </c>
      <c r="QCG1914" s="115">
        <v>19.489999999999998</v>
      </c>
      <c r="QCH1914" s="56">
        <v>18.98</v>
      </c>
      <c r="QCI1914" s="56">
        <v>17.5</v>
      </c>
      <c r="QCJ1914" s="62">
        <v>13.28</v>
      </c>
      <c r="QCK1914" s="115">
        <v>19.489999999999998</v>
      </c>
      <c r="QCL1914" s="56">
        <v>18.98</v>
      </c>
      <c r="QCM1914" s="56">
        <v>17.5</v>
      </c>
      <c r="QCN1914" s="62">
        <v>13.28</v>
      </c>
      <c r="QCO1914" s="115">
        <v>19.489999999999998</v>
      </c>
      <c r="QCP1914" s="56">
        <v>18.98</v>
      </c>
      <c r="QCQ1914" s="56">
        <v>17.5</v>
      </c>
      <c r="QCR1914" s="62">
        <v>13.28</v>
      </c>
      <c r="QCS1914" s="115">
        <v>19.489999999999998</v>
      </c>
      <c r="QCT1914" s="56">
        <v>18.98</v>
      </c>
      <c r="QCU1914" s="56">
        <v>17.5</v>
      </c>
      <c r="QCV1914" s="62">
        <v>13.28</v>
      </c>
      <c r="QCW1914" s="115">
        <v>19.489999999999998</v>
      </c>
      <c r="QCX1914" s="56">
        <v>18.98</v>
      </c>
      <c r="QCY1914" s="56">
        <v>17.5</v>
      </c>
      <c r="QCZ1914" s="62">
        <v>13.28</v>
      </c>
      <c r="QDA1914" s="115">
        <v>19.489999999999998</v>
      </c>
      <c r="QDB1914" s="56">
        <v>18.98</v>
      </c>
      <c r="QDC1914" s="56">
        <v>17.5</v>
      </c>
      <c r="QDD1914" s="62">
        <v>13.28</v>
      </c>
      <c r="QDE1914" s="115">
        <v>19.489999999999998</v>
      </c>
      <c r="QDF1914" s="56">
        <v>18.98</v>
      </c>
      <c r="QDG1914" s="56">
        <v>17.5</v>
      </c>
      <c r="QDH1914" s="62">
        <v>13.28</v>
      </c>
      <c r="QDI1914" s="115">
        <v>19.489999999999998</v>
      </c>
      <c r="QDJ1914" s="56">
        <v>18.98</v>
      </c>
      <c r="QDK1914" s="56">
        <v>17.5</v>
      </c>
      <c r="QDL1914" s="62">
        <v>13.28</v>
      </c>
      <c r="QDM1914" s="115">
        <v>19.489999999999998</v>
      </c>
      <c r="QDN1914" s="56">
        <v>18.98</v>
      </c>
      <c r="QDO1914" s="56">
        <v>17.5</v>
      </c>
      <c r="QDP1914" s="62">
        <v>13.28</v>
      </c>
      <c r="QDQ1914" s="115">
        <v>19.489999999999998</v>
      </c>
      <c r="QDR1914" s="56">
        <v>18.98</v>
      </c>
      <c r="QDS1914" s="56">
        <v>17.5</v>
      </c>
      <c r="QDT1914" s="62">
        <v>13.28</v>
      </c>
      <c r="QDU1914" s="115">
        <v>19.489999999999998</v>
      </c>
      <c r="QDV1914" s="56">
        <v>18.98</v>
      </c>
      <c r="QDW1914" s="56">
        <v>17.5</v>
      </c>
      <c r="QDX1914" s="62">
        <v>13.28</v>
      </c>
      <c r="QDY1914" s="115">
        <v>19.489999999999998</v>
      </c>
      <c r="QDZ1914" s="56">
        <v>18.98</v>
      </c>
      <c r="QEA1914" s="56">
        <v>17.5</v>
      </c>
      <c r="QEB1914" s="62">
        <v>13.28</v>
      </c>
      <c r="QEC1914" s="115">
        <v>19.489999999999998</v>
      </c>
      <c r="QED1914" s="56">
        <v>18.98</v>
      </c>
      <c r="QEE1914" s="56">
        <v>17.5</v>
      </c>
      <c r="QEF1914" s="62">
        <v>13.28</v>
      </c>
      <c r="QEG1914" s="115">
        <v>19.489999999999998</v>
      </c>
      <c r="QEH1914" s="56">
        <v>18.98</v>
      </c>
      <c r="QEI1914" s="56">
        <v>17.5</v>
      </c>
      <c r="QEJ1914" s="62">
        <v>13.28</v>
      </c>
      <c r="QEK1914" s="115">
        <v>19.489999999999998</v>
      </c>
      <c r="QEL1914" s="56">
        <v>18.98</v>
      </c>
      <c r="QEM1914" s="56">
        <v>17.5</v>
      </c>
      <c r="QEN1914" s="62">
        <v>13.28</v>
      </c>
      <c r="QEO1914" s="115">
        <v>19.489999999999998</v>
      </c>
      <c r="QEP1914" s="56">
        <v>18.98</v>
      </c>
      <c r="QEQ1914" s="56">
        <v>17.5</v>
      </c>
      <c r="QER1914" s="62">
        <v>13.28</v>
      </c>
      <c r="QES1914" s="115">
        <v>19.489999999999998</v>
      </c>
      <c r="QET1914" s="56">
        <v>18.98</v>
      </c>
      <c r="QEU1914" s="56">
        <v>17.5</v>
      </c>
      <c r="QEV1914" s="62">
        <v>13.28</v>
      </c>
      <c r="QEW1914" s="115">
        <v>19.489999999999998</v>
      </c>
      <c r="QEX1914" s="56">
        <v>18.98</v>
      </c>
      <c r="QEY1914" s="56">
        <v>17.5</v>
      </c>
      <c r="QEZ1914" s="62">
        <v>13.28</v>
      </c>
      <c r="QFA1914" s="115">
        <v>19.489999999999998</v>
      </c>
      <c r="QFB1914" s="56">
        <v>18.98</v>
      </c>
      <c r="QFC1914" s="56">
        <v>17.5</v>
      </c>
      <c r="QFD1914" s="62">
        <v>13.28</v>
      </c>
      <c r="QFE1914" s="115">
        <v>19.489999999999998</v>
      </c>
      <c r="QFF1914" s="56">
        <v>18.98</v>
      </c>
      <c r="QFG1914" s="56">
        <v>17.5</v>
      </c>
      <c r="QFH1914" s="62">
        <v>13.28</v>
      </c>
      <c r="QFI1914" s="115">
        <v>19.489999999999998</v>
      </c>
      <c r="QFJ1914" s="56">
        <v>18.98</v>
      </c>
      <c r="QFK1914" s="56">
        <v>17.5</v>
      </c>
      <c r="QFL1914" s="62">
        <v>13.28</v>
      </c>
      <c r="QFM1914" s="115">
        <v>19.489999999999998</v>
      </c>
      <c r="QFN1914" s="56">
        <v>18.98</v>
      </c>
      <c r="QFO1914" s="56">
        <v>17.5</v>
      </c>
      <c r="QFP1914" s="62">
        <v>13.28</v>
      </c>
      <c r="QFQ1914" s="115">
        <v>19.489999999999998</v>
      </c>
      <c r="QFR1914" s="56">
        <v>18.98</v>
      </c>
      <c r="QFS1914" s="56">
        <v>17.5</v>
      </c>
      <c r="QFT1914" s="62">
        <v>13.28</v>
      </c>
      <c r="QFU1914" s="115">
        <v>19.489999999999998</v>
      </c>
      <c r="QFV1914" s="56">
        <v>18.98</v>
      </c>
      <c r="QFW1914" s="56">
        <v>17.5</v>
      </c>
      <c r="QFX1914" s="62">
        <v>13.28</v>
      </c>
      <c r="QFY1914" s="115">
        <v>19.489999999999998</v>
      </c>
      <c r="QFZ1914" s="56">
        <v>18.98</v>
      </c>
      <c r="QGA1914" s="56">
        <v>17.5</v>
      </c>
      <c r="QGB1914" s="62">
        <v>13.28</v>
      </c>
      <c r="QGC1914" s="115">
        <v>19.489999999999998</v>
      </c>
      <c r="QGD1914" s="56">
        <v>18.98</v>
      </c>
      <c r="QGE1914" s="56">
        <v>17.5</v>
      </c>
      <c r="QGF1914" s="62">
        <v>13.28</v>
      </c>
      <c r="QGG1914" s="115">
        <v>19.489999999999998</v>
      </c>
      <c r="QGH1914" s="56">
        <v>18.98</v>
      </c>
      <c r="QGI1914" s="56">
        <v>17.5</v>
      </c>
      <c r="QGJ1914" s="62">
        <v>13.28</v>
      </c>
      <c r="QGK1914" s="115">
        <v>19.489999999999998</v>
      </c>
      <c r="QGL1914" s="56">
        <v>18.98</v>
      </c>
      <c r="QGM1914" s="56">
        <v>17.5</v>
      </c>
      <c r="QGN1914" s="62">
        <v>13.28</v>
      </c>
      <c r="QGO1914" s="115">
        <v>19.489999999999998</v>
      </c>
      <c r="QGP1914" s="56">
        <v>18.98</v>
      </c>
      <c r="QGQ1914" s="56">
        <v>17.5</v>
      </c>
      <c r="QGR1914" s="62">
        <v>13.28</v>
      </c>
      <c r="QGS1914" s="115">
        <v>19.489999999999998</v>
      </c>
      <c r="QGT1914" s="56">
        <v>18.98</v>
      </c>
      <c r="QGU1914" s="56">
        <v>17.5</v>
      </c>
      <c r="QGV1914" s="62">
        <v>13.28</v>
      </c>
      <c r="QGW1914" s="115">
        <v>19.489999999999998</v>
      </c>
      <c r="QGX1914" s="56">
        <v>18.98</v>
      </c>
      <c r="QGY1914" s="56">
        <v>17.5</v>
      </c>
      <c r="QGZ1914" s="62">
        <v>13.28</v>
      </c>
      <c r="QHA1914" s="115">
        <v>19.489999999999998</v>
      </c>
      <c r="QHB1914" s="56">
        <v>18.98</v>
      </c>
      <c r="QHC1914" s="56">
        <v>17.5</v>
      </c>
      <c r="QHD1914" s="62">
        <v>13.28</v>
      </c>
      <c r="QHE1914" s="115">
        <v>19.489999999999998</v>
      </c>
      <c r="QHF1914" s="56">
        <v>18.98</v>
      </c>
      <c r="QHG1914" s="56">
        <v>17.5</v>
      </c>
      <c r="QHH1914" s="62">
        <v>13.28</v>
      </c>
      <c r="QHI1914" s="115">
        <v>19.489999999999998</v>
      </c>
      <c r="QHJ1914" s="56">
        <v>18.98</v>
      </c>
      <c r="QHK1914" s="56">
        <v>17.5</v>
      </c>
      <c r="QHL1914" s="62">
        <v>13.28</v>
      </c>
      <c r="QHM1914" s="115">
        <v>19.489999999999998</v>
      </c>
      <c r="QHN1914" s="56">
        <v>18.98</v>
      </c>
      <c r="QHO1914" s="56">
        <v>17.5</v>
      </c>
      <c r="QHP1914" s="62">
        <v>13.28</v>
      </c>
      <c r="QHQ1914" s="115">
        <v>19.489999999999998</v>
      </c>
      <c r="QHR1914" s="56">
        <v>18.98</v>
      </c>
      <c r="QHS1914" s="56">
        <v>17.5</v>
      </c>
      <c r="QHT1914" s="62">
        <v>13.28</v>
      </c>
      <c r="QHU1914" s="115">
        <v>19.489999999999998</v>
      </c>
      <c r="QHV1914" s="56">
        <v>18.98</v>
      </c>
      <c r="QHW1914" s="56">
        <v>17.5</v>
      </c>
      <c r="QHX1914" s="62">
        <v>13.28</v>
      </c>
      <c r="QHY1914" s="115">
        <v>19.489999999999998</v>
      </c>
      <c r="QHZ1914" s="56">
        <v>18.98</v>
      </c>
      <c r="QIA1914" s="56">
        <v>17.5</v>
      </c>
      <c r="QIB1914" s="62">
        <v>13.28</v>
      </c>
      <c r="QIC1914" s="115">
        <v>19.489999999999998</v>
      </c>
      <c r="QID1914" s="56">
        <v>18.98</v>
      </c>
      <c r="QIE1914" s="56">
        <v>17.5</v>
      </c>
      <c r="QIF1914" s="62">
        <v>13.28</v>
      </c>
      <c r="QIG1914" s="115">
        <v>19.489999999999998</v>
      </c>
      <c r="QIH1914" s="56">
        <v>18.98</v>
      </c>
      <c r="QII1914" s="56">
        <v>17.5</v>
      </c>
      <c r="QIJ1914" s="62">
        <v>13.28</v>
      </c>
      <c r="QIK1914" s="115">
        <v>19.489999999999998</v>
      </c>
      <c r="QIL1914" s="56">
        <v>18.98</v>
      </c>
      <c r="QIM1914" s="56">
        <v>17.5</v>
      </c>
      <c r="QIN1914" s="62">
        <v>13.28</v>
      </c>
      <c r="QIO1914" s="115">
        <v>19.489999999999998</v>
      </c>
      <c r="QIP1914" s="56">
        <v>18.98</v>
      </c>
      <c r="QIQ1914" s="56">
        <v>17.5</v>
      </c>
      <c r="QIR1914" s="62">
        <v>13.28</v>
      </c>
      <c r="QIS1914" s="115">
        <v>19.489999999999998</v>
      </c>
      <c r="QIT1914" s="56">
        <v>18.98</v>
      </c>
      <c r="QIU1914" s="56">
        <v>17.5</v>
      </c>
      <c r="QIV1914" s="62">
        <v>13.28</v>
      </c>
      <c r="QIW1914" s="115">
        <v>19.489999999999998</v>
      </c>
      <c r="QIX1914" s="56">
        <v>18.98</v>
      </c>
      <c r="QIY1914" s="56">
        <v>17.5</v>
      </c>
      <c r="QIZ1914" s="62">
        <v>13.28</v>
      </c>
      <c r="QJA1914" s="115">
        <v>19.489999999999998</v>
      </c>
      <c r="QJB1914" s="56">
        <v>18.98</v>
      </c>
      <c r="QJC1914" s="56">
        <v>17.5</v>
      </c>
      <c r="QJD1914" s="62">
        <v>13.28</v>
      </c>
      <c r="QJE1914" s="115">
        <v>19.489999999999998</v>
      </c>
      <c r="QJF1914" s="56">
        <v>18.98</v>
      </c>
      <c r="QJG1914" s="56">
        <v>17.5</v>
      </c>
      <c r="QJH1914" s="62">
        <v>13.28</v>
      </c>
      <c r="QJI1914" s="115">
        <v>19.489999999999998</v>
      </c>
      <c r="QJJ1914" s="56">
        <v>18.98</v>
      </c>
      <c r="QJK1914" s="56">
        <v>17.5</v>
      </c>
      <c r="QJL1914" s="62">
        <v>13.28</v>
      </c>
      <c r="QJM1914" s="115">
        <v>19.489999999999998</v>
      </c>
      <c r="QJN1914" s="56">
        <v>18.98</v>
      </c>
      <c r="QJO1914" s="56">
        <v>17.5</v>
      </c>
      <c r="QJP1914" s="62">
        <v>13.28</v>
      </c>
      <c r="QJQ1914" s="115">
        <v>19.489999999999998</v>
      </c>
      <c r="QJR1914" s="56">
        <v>18.98</v>
      </c>
      <c r="QJS1914" s="56">
        <v>17.5</v>
      </c>
      <c r="QJT1914" s="62">
        <v>13.28</v>
      </c>
      <c r="QJU1914" s="115">
        <v>19.489999999999998</v>
      </c>
      <c r="QJV1914" s="56">
        <v>18.98</v>
      </c>
      <c r="QJW1914" s="56">
        <v>17.5</v>
      </c>
      <c r="QJX1914" s="62">
        <v>13.28</v>
      </c>
      <c r="QJY1914" s="115">
        <v>19.489999999999998</v>
      </c>
      <c r="QJZ1914" s="56">
        <v>18.98</v>
      </c>
      <c r="QKA1914" s="56">
        <v>17.5</v>
      </c>
      <c r="QKB1914" s="62">
        <v>13.28</v>
      </c>
      <c r="QKC1914" s="115">
        <v>19.489999999999998</v>
      </c>
      <c r="QKD1914" s="56">
        <v>18.98</v>
      </c>
      <c r="QKE1914" s="56">
        <v>17.5</v>
      </c>
      <c r="QKF1914" s="62">
        <v>13.28</v>
      </c>
      <c r="QKG1914" s="115">
        <v>19.489999999999998</v>
      </c>
      <c r="QKH1914" s="56">
        <v>18.98</v>
      </c>
      <c r="QKI1914" s="56">
        <v>17.5</v>
      </c>
      <c r="QKJ1914" s="62">
        <v>13.28</v>
      </c>
      <c r="QKK1914" s="115">
        <v>19.489999999999998</v>
      </c>
      <c r="QKL1914" s="56">
        <v>18.98</v>
      </c>
      <c r="QKM1914" s="56">
        <v>17.5</v>
      </c>
      <c r="QKN1914" s="62">
        <v>13.28</v>
      </c>
      <c r="QKO1914" s="115">
        <v>19.489999999999998</v>
      </c>
      <c r="QKP1914" s="56">
        <v>18.98</v>
      </c>
      <c r="QKQ1914" s="56">
        <v>17.5</v>
      </c>
      <c r="QKR1914" s="62">
        <v>13.28</v>
      </c>
      <c r="QKS1914" s="115">
        <v>19.489999999999998</v>
      </c>
      <c r="QKT1914" s="56">
        <v>18.98</v>
      </c>
      <c r="QKU1914" s="56">
        <v>17.5</v>
      </c>
      <c r="QKV1914" s="62">
        <v>13.28</v>
      </c>
      <c r="QKW1914" s="115">
        <v>19.489999999999998</v>
      </c>
      <c r="QKX1914" s="56">
        <v>18.98</v>
      </c>
      <c r="QKY1914" s="56">
        <v>17.5</v>
      </c>
      <c r="QKZ1914" s="62">
        <v>13.28</v>
      </c>
      <c r="QLA1914" s="115">
        <v>19.489999999999998</v>
      </c>
      <c r="QLB1914" s="56">
        <v>18.98</v>
      </c>
      <c r="QLC1914" s="56">
        <v>17.5</v>
      </c>
      <c r="QLD1914" s="62">
        <v>13.28</v>
      </c>
      <c r="QLE1914" s="115">
        <v>19.489999999999998</v>
      </c>
      <c r="QLF1914" s="56">
        <v>18.98</v>
      </c>
      <c r="QLG1914" s="56">
        <v>17.5</v>
      </c>
      <c r="QLH1914" s="62">
        <v>13.28</v>
      </c>
      <c r="QLI1914" s="115">
        <v>19.489999999999998</v>
      </c>
      <c r="QLJ1914" s="56">
        <v>18.98</v>
      </c>
      <c r="QLK1914" s="56">
        <v>17.5</v>
      </c>
      <c r="QLL1914" s="62">
        <v>13.28</v>
      </c>
      <c r="QLM1914" s="115">
        <v>19.489999999999998</v>
      </c>
      <c r="QLN1914" s="56">
        <v>18.98</v>
      </c>
      <c r="QLO1914" s="56">
        <v>17.5</v>
      </c>
      <c r="QLP1914" s="62">
        <v>13.28</v>
      </c>
      <c r="QLQ1914" s="115">
        <v>19.489999999999998</v>
      </c>
      <c r="QLR1914" s="56">
        <v>18.98</v>
      </c>
      <c r="QLS1914" s="56">
        <v>17.5</v>
      </c>
      <c r="QLT1914" s="62">
        <v>13.28</v>
      </c>
      <c r="QLU1914" s="115">
        <v>19.489999999999998</v>
      </c>
      <c r="QLV1914" s="56">
        <v>18.98</v>
      </c>
      <c r="QLW1914" s="56">
        <v>17.5</v>
      </c>
      <c r="QLX1914" s="62">
        <v>13.28</v>
      </c>
      <c r="QLY1914" s="115">
        <v>19.489999999999998</v>
      </c>
      <c r="QLZ1914" s="56">
        <v>18.98</v>
      </c>
      <c r="QMA1914" s="56">
        <v>17.5</v>
      </c>
      <c r="QMB1914" s="62">
        <v>13.28</v>
      </c>
      <c r="QMC1914" s="115">
        <v>19.489999999999998</v>
      </c>
      <c r="QMD1914" s="56">
        <v>18.98</v>
      </c>
      <c r="QME1914" s="56">
        <v>17.5</v>
      </c>
      <c r="QMF1914" s="62">
        <v>13.28</v>
      </c>
      <c r="QMG1914" s="115">
        <v>19.489999999999998</v>
      </c>
      <c r="QMH1914" s="56">
        <v>18.98</v>
      </c>
      <c r="QMI1914" s="56">
        <v>17.5</v>
      </c>
      <c r="QMJ1914" s="62">
        <v>13.28</v>
      </c>
      <c r="QMK1914" s="115">
        <v>19.489999999999998</v>
      </c>
      <c r="QML1914" s="56">
        <v>18.98</v>
      </c>
      <c r="QMM1914" s="56">
        <v>17.5</v>
      </c>
      <c r="QMN1914" s="62">
        <v>13.28</v>
      </c>
      <c r="QMO1914" s="115">
        <v>19.489999999999998</v>
      </c>
      <c r="QMP1914" s="56">
        <v>18.98</v>
      </c>
      <c r="QMQ1914" s="56">
        <v>17.5</v>
      </c>
      <c r="QMR1914" s="62">
        <v>13.28</v>
      </c>
      <c r="QMS1914" s="115">
        <v>19.489999999999998</v>
      </c>
      <c r="QMT1914" s="56">
        <v>18.98</v>
      </c>
      <c r="QMU1914" s="56">
        <v>17.5</v>
      </c>
      <c r="QMV1914" s="62">
        <v>13.28</v>
      </c>
      <c r="QMW1914" s="115">
        <v>19.489999999999998</v>
      </c>
      <c r="QMX1914" s="56">
        <v>18.98</v>
      </c>
      <c r="QMY1914" s="56">
        <v>17.5</v>
      </c>
      <c r="QMZ1914" s="62">
        <v>13.28</v>
      </c>
      <c r="QNA1914" s="115">
        <v>19.489999999999998</v>
      </c>
      <c r="QNB1914" s="56">
        <v>18.98</v>
      </c>
      <c r="QNC1914" s="56">
        <v>17.5</v>
      </c>
      <c r="QND1914" s="62">
        <v>13.28</v>
      </c>
      <c r="QNE1914" s="115">
        <v>19.489999999999998</v>
      </c>
      <c r="QNF1914" s="56">
        <v>18.98</v>
      </c>
      <c r="QNG1914" s="56">
        <v>17.5</v>
      </c>
      <c r="QNH1914" s="62">
        <v>13.28</v>
      </c>
      <c r="QNI1914" s="115">
        <v>19.489999999999998</v>
      </c>
      <c r="QNJ1914" s="56">
        <v>18.98</v>
      </c>
      <c r="QNK1914" s="56">
        <v>17.5</v>
      </c>
      <c r="QNL1914" s="62">
        <v>13.28</v>
      </c>
      <c r="QNM1914" s="115">
        <v>19.489999999999998</v>
      </c>
      <c r="QNN1914" s="56">
        <v>18.98</v>
      </c>
      <c r="QNO1914" s="56">
        <v>17.5</v>
      </c>
      <c r="QNP1914" s="62">
        <v>13.28</v>
      </c>
      <c r="QNQ1914" s="115">
        <v>19.489999999999998</v>
      </c>
      <c r="QNR1914" s="56">
        <v>18.98</v>
      </c>
      <c r="QNS1914" s="56">
        <v>17.5</v>
      </c>
      <c r="QNT1914" s="62">
        <v>13.28</v>
      </c>
      <c r="QNU1914" s="115">
        <v>19.489999999999998</v>
      </c>
      <c r="QNV1914" s="56">
        <v>18.98</v>
      </c>
      <c r="QNW1914" s="56">
        <v>17.5</v>
      </c>
      <c r="QNX1914" s="62">
        <v>13.28</v>
      </c>
      <c r="QNY1914" s="115">
        <v>19.489999999999998</v>
      </c>
      <c r="QNZ1914" s="56">
        <v>18.98</v>
      </c>
      <c r="QOA1914" s="56">
        <v>17.5</v>
      </c>
      <c r="QOB1914" s="62">
        <v>13.28</v>
      </c>
      <c r="QOC1914" s="115">
        <v>19.489999999999998</v>
      </c>
      <c r="QOD1914" s="56">
        <v>18.98</v>
      </c>
      <c r="QOE1914" s="56">
        <v>17.5</v>
      </c>
      <c r="QOF1914" s="62">
        <v>13.28</v>
      </c>
      <c r="QOG1914" s="115">
        <v>19.489999999999998</v>
      </c>
      <c r="QOH1914" s="56">
        <v>18.98</v>
      </c>
      <c r="QOI1914" s="56">
        <v>17.5</v>
      </c>
      <c r="QOJ1914" s="62">
        <v>13.28</v>
      </c>
      <c r="QOK1914" s="115">
        <v>19.489999999999998</v>
      </c>
      <c r="QOL1914" s="56">
        <v>18.98</v>
      </c>
      <c r="QOM1914" s="56">
        <v>17.5</v>
      </c>
      <c r="QON1914" s="62">
        <v>13.28</v>
      </c>
      <c r="QOO1914" s="115">
        <v>19.489999999999998</v>
      </c>
      <c r="QOP1914" s="56">
        <v>18.98</v>
      </c>
      <c r="QOQ1914" s="56">
        <v>17.5</v>
      </c>
      <c r="QOR1914" s="62">
        <v>13.28</v>
      </c>
      <c r="QOS1914" s="115">
        <v>19.489999999999998</v>
      </c>
      <c r="QOT1914" s="56">
        <v>18.98</v>
      </c>
      <c r="QOU1914" s="56">
        <v>17.5</v>
      </c>
      <c r="QOV1914" s="62">
        <v>13.28</v>
      </c>
      <c r="QOW1914" s="115">
        <v>19.489999999999998</v>
      </c>
      <c r="QOX1914" s="56">
        <v>18.98</v>
      </c>
      <c r="QOY1914" s="56">
        <v>17.5</v>
      </c>
      <c r="QOZ1914" s="62">
        <v>13.28</v>
      </c>
      <c r="QPA1914" s="115">
        <v>19.489999999999998</v>
      </c>
      <c r="QPB1914" s="56">
        <v>18.98</v>
      </c>
      <c r="QPC1914" s="56">
        <v>17.5</v>
      </c>
      <c r="QPD1914" s="62">
        <v>13.28</v>
      </c>
      <c r="QPE1914" s="115">
        <v>19.489999999999998</v>
      </c>
      <c r="QPF1914" s="56">
        <v>18.98</v>
      </c>
      <c r="QPG1914" s="56">
        <v>17.5</v>
      </c>
      <c r="QPH1914" s="62">
        <v>13.28</v>
      </c>
      <c r="QPI1914" s="115">
        <v>19.489999999999998</v>
      </c>
      <c r="QPJ1914" s="56">
        <v>18.98</v>
      </c>
      <c r="QPK1914" s="56">
        <v>17.5</v>
      </c>
      <c r="QPL1914" s="62">
        <v>13.28</v>
      </c>
      <c r="QPM1914" s="115">
        <v>19.489999999999998</v>
      </c>
      <c r="QPN1914" s="56">
        <v>18.98</v>
      </c>
      <c r="QPO1914" s="56">
        <v>17.5</v>
      </c>
      <c r="QPP1914" s="62">
        <v>13.28</v>
      </c>
      <c r="QPQ1914" s="115">
        <v>19.489999999999998</v>
      </c>
      <c r="QPR1914" s="56">
        <v>18.98</v>
      </c>
      <c r="QPS1914" s="56">
        <v>17.5</v>
      </c>
      <c r="QPT1914" s="62">
        <v>13.28</v>
      </c>
      <c r="QPU1914" s="115">
        <v>19.489999999999998</v>
      </c>
      <c r="QPV1914" s="56">
        <v>18.98</v>
      </c>
      <c r="QPW1914" s="56">
        <v>17.5</v>
      </c>
      <c r="QPX1914" s="62">
        <v>13.28</v>
      </c>
      <c r="QPY1914" s="115">
        <v>19.489999999999998</v>
      </c>
      <c r="QPZ1914" s="56">
        <v>18.98</v>
      </c>
      <c r="QQA1914" s="56">
        <v>17.5</v>
      </c>
      <c r="QQB1914" s="62">
        <v>13.28</v>
      </c>
      <c r="QQC1914" s="115">
        <v>19.489999999999998</v>
      </c>
      <c r="QQD1914" s="56">
        <v>18.98</v>
      </c>
      <c r="QQE1914" s="56">
        <v>17.5</v>
      </c>
      <c r="QQF1914" s="62">
        <v>13.28</v>
      </c>
      <c r="QQG1914" s="115">
        <v>19.489999999999998</v>
      </c>
      <c r="QQH1914" s="56">
        <v>18.98</v>
      </c>
      <c r="QQI1914" s="56">
        <v>17.5</v>
      </c>
      <c r="QQJ1914" s="62">
        <v>13.28</v>
      </c>
      <c r="QQK1914" s="115">
        <v>19.489999999999998</v>
      </c>
      <c r="QQL1914" s="56">
        <v>18.98</v>
      </c>
      <c r="QQM1914" s="56">
        <v>17.5</v>
      </c>
      <c r="QQN1914" s="62">
        <v>13.28</v>
      </c>
      <c r="QQO1914" s="115">
        <v>19.489999999999998</v>
      </c>
      <c r="QQP1914" s="56">
        <v>18.98</v>
      </c>
      <c r="QQQ1914" s="56">
        <v>17.5</v>
      </c>
      <c r="QQR1914" s="62">
        <v>13.28</v>
      </c>
      <c r="QQS1914" s="115">
        <v>19.489999999999998</v>
      </c>
      <c r="QQT1914" s="56">
        <v>18.98</v>
      </c>
      <c r="QQU1914" s="56">
        <v>17.5</v>
      </c>
      <c r="QQV1914" s="62">
        <v>13.28</v>
      </c>
      <c r="QQW1914" s="115">
        <v>19.489999999999998</v>
      </c>
      <c r="QQX1914" s="56">
        <v>18.98</v>
      </c>
      <c r="QQY1914" s="56">
        <v>17.5</v>
      </c>
      <c r="QQZ1914" s="62">
        <v>13.28</v>
      </c>
      <c r="QRA1914" s="115">
        <v>19.489999999999998</v>
      </c>
      <c r="QRB1914" s="56">
        <v>18.98</v>
      </c>
      <c r="QRC1914" s="56">
        <v>17.5</v>
      </c>
      <c r="QRD1914" s="62">
        <v>13.28</v>
      </c>
      <c r="QRE1914" s="115">
        <v>19.489999999999998</v>
      </c>
      <c r="QRF1914" s="56">
        <v>18.98</v>
      </c>
      <c r="QRG1914" s="56">
        <v>17.5</v>
      </c>
      <c r="QRH1914" s="62">
        <v>13.28</v>
      </c>
      <c r="QRI1914" s="115">
        <v>19.489999999999998</v>
      </c>
      <c r="QRJ1914" s="56">
        <v>18.98</v>
      </c>
      <c r="QRK1914" s="56">
        <v>17.5</v>
      </c>
      <c r="QRL1914" s="62">
        <v>13.28</v>
      </c>
      <c r="QRM1914" s="115">
        <v>19.489999999999998</v>
      </c>
      <c r="QRN1914" s="56">
        <v>18.98</v>
      </c>
      <c r="QRO1914" s="56">
        <v>17.5</v>
      </c>
      <c r="QRP1914" s="62">
        <v>13.28</v>
      </c>
      <c r="QRQ1914" s="115">
        <v>19.489999999999998</v>
      </c>
      <c r="QRR1914" s="56">
        <v>18.98</v>
      </c>
      <c r="QRS1914" s="56">
        <v>17.5</v>
      </c>
      <c r="QRT1914" s="62">
        <v>13.28</v>
      </c>
      <c r="QRU1914" s="115">
        <v>19.489999999999998</v>
      </c>
      <c r="QRV1914" s="56">
        <v>18.98</v>
      </c>
      <c r="QRW1914" s="56">
        <v>17.5</v>
      </c>
      <c r="QRX1914" s="62">
        <v>13.28</v>
      </c>
      <c r="QRY1914" s="115">
        <v>19.489999999999998</v>
      </c>
      <c r="QRZ1914" s="56">
        <v>18.98</v>
      </c>
      <c r="QSA1914" s="56">
        <v>17.5</v>
      </c>
      <c r="QSB1914" s="62">
        <v>13.28</v>
      </c>
      <c r="QSC1914" s="115">
        <v>19.489999999999998</v>
      </c>
      <c r="QSD1914" s="56">
        <v>18.98</v>
      </c>
      <c r="QSE1914" s="56">
        <v>17.5</v>
      </c>
      <c r="QSF1914" s="62">
        <v>13.28</v>
      </c>
      <c r="QSG1914" s="115">
        <v>19.489999999999998</v>
      </c>
      <c r="QSH1914" s="56">
        <v>18.98</v>
      </c>
      <c r="QSI1914" s="56">
        <v>17.5</v>
      </c>
      <c r="QSJ1914" s="62">
        <v>13.28</v>
      </c>
      <c r="QSK1914" s="115">
        <v>19.489999999999998</v>
      </c>
      <c r="QSL1914" s="56">
        <v>18.98</v>
      </c>
      <c r="QSM1914" s="56">
        <v>17.5</v>
      </c>
      <c r="QSN1914" s="62">
        <v>13.28</v>
      </c>
      <c r="QSO1914" s="115">
        <v>19.489999999999998</v>
      </c>
      <c r="QSP1914" s="56">
        <v>18.98</v>
      </c>
      <c r="QSQ1914" s="56">
        <v>17.5</v>
      </c>
      <c r="QSR1914" s="62">
        <v>13.28</v>
      </c>
      <c r="QSS1914" s="115">
        <v>19.489999999999998</v>
      </c>
      <c r="QST1914" s="56">
        <v>18.98</v>
      </c>
      <c r="QSU1914" s="56">
        <v>17.5</v>
      </c>
      <c r="QSV1914" s="62">
        <v>13.28</v>
      </c>
      <c r="QSW1914" s="115">
        <v>19.489999999999998</v>
      </c>
      <c r="QSX1914" s="56">
        <v>18.98</v>
      </c>
      <c r="QSY1914" s="56">
        <v>17.5</v>
      </c>
      <c r="QSZ1914" s="62">
        <v>13.28</v>
      </c>
      <c r="QTA1914" s="115">
        <v>19.489999999999998</v>
      </c>
      <c r="QTB1914" s="56">
        <v>18.98</v>
      </c>
      <c r="QTC1914" s="56">
        <v>17.5</v>
      </c>
      <c r="QTD1914" s="62">
        <v>13.28</v>
      </c>
      <c r="QTE1914" s="115">
        <v>19.489999999999998</v>
      </c>
      <c r="QTF1914" s="56">
        <v>18.98</v>
      </c>
      <c r="QTG1914" s="56">
        <v>17.5</v>
      </c>
      <c r="QTH1914" s="62">
        <v>13.28</v>
      </c>
      <c r="QTI1914" s="115">
        <v>19.489999999999998</v>
      </c>
      <c r="QTJ1914" s="56">
        <v>18.98</v>
      </c>
      <c r="QTK1914" s="56">
        <v>17.5</v>
      </c>
      <c r="QTL1914" s="62">
        <v>13.28</v>
      </c>
      <c r="QTM1914" s="115">
        <v>19.489999999999998</v>
      </c>
      <c r="QTN1914" s="56">
        <v>18.98</v>
      </c>
      <c r="QTO1914" s="56">
        <v>17.5</v>
      </c>
      <c r="QTP1914" s="62">
        <v>13.28</v>
      </c>
      <c r="QTQ1914" s="115">
        <v>19.489999999999998</v>
      </c>
      <c r="QTR1914" s="56">
        <v>18.98</v>
      </c>
      <c r="QTS1914" s="56">
        <v>17.5</v>
      </c>
      <c r="QTT1914" s="62">
        <v>13.28</v>
      </c>
      <c r="QTU1914" s="115">
        <v>19.489999999999998</v>
      </c>
      <c r="QTV1914" s="56">
        <v>18.98</v>
      </c>
      <c r="QTW1914" s="56">
        <v>17.5</v>
      </c>
      <c r="QTX1914" s="62">
        <v>13.28</v>
      </c>
      <c r="QTY1914" s="115">
        <v>19.489999999999998</v>
      </c>
      <c r="QTZ1914" s="56">
        <v>18.98</v>
      </c>
      <c r="QUA1914" s="56">
        <v>17.5</v>
      </c>
      <c r="QUB1914" s="62">
        <v>13.28</v>
      </c>
      <c r="QUC1914" s="115">
        <v>19.489999999999998</v>
      </c>
      <c r="QUD1914" s="56">
        <v>18.98</v>
      </c>
      <c r="QUE1914" s="56">
        <v>17.5</v>
      </c>
      <c r="QUF1914" s="62">
        <v>13.28</v>
      </c>
      <c r="QUG1914" s="115">
        <v>19.489999999999998</v>
      </c>
      <c r="QUH1914" s="56">
        <v>18.98</v>
      </c>
      <c r="QUI1914" s="56">
        <v>17.5</v>
      </c>
      <c r="QUJ1914" s="62">
        <v>13.28</v>
      </c>
      <c r="QUK1914" s="115">
        <v>19.489999999999998</v>
      </c>
      <c r="QUL1914" s="56">
        <v>18.98</v>
      </c>
      <c r="QUM1914" s="56">
        <v>17.5</v>
      </c>
      <c r="QUN1914" s="62">
        <v>13.28</v>
      </c>
      <c r="QUO1914" s="115">
        <v>19.489999999999998</v>
      </c>
      <c r="QUP1914" s="56">
        <v>18.98</v>
      </c>
      <c r="QUQ1914" s="56">
        <v>17.5</v>
      </c>
      <c r="QUR1914" s="62">
        <v>13.28</v>
      </c>
      <c r="QUS1914" s="115">
        <v>19.489999999999998</v>
      </c>
      <c r="QUT1914" s="56">
        <v>18.98</v>
      </c>
      <c r="QUU1914" s="56">
        <v>17.5</v>
      </c>
      <c r="QUV1914" s="62">
        <v>13.28</v>
      </c>
      <c r="QUW1914" s="115">
        <v>19.489999999999998</v>
      </c>
      <c r="QUX1914" s="56">
        <v>18.98</v>
      </c>
      <c r="QUY1914" s="56">
        <v>17.5</v>
      </c>
      <c r="QUZ1914" s="62">
        <v>13.28</v>
      </c>
      <c r="QVA1914" s="115">
        <v>19.489999999999998</v>
      </c>
      <c r="QVB1914" s="56">
        <v>18.98</v>
      </c>
      <c r="QVC1914" s="56">
        <v>17.5</v>
      </c>
      <c r="QVD1914" s="62">
        <v>13.28</v>
      </c>
      <c r="QVE1914" s="115">
        <v>19.489999999999998</v>
      </c>
      <c r="QVF1914" s="56">
        <v>18.98</v>
      </c>
      <c r="QVG1914" s="56">
        <v>17.5</v>
      </c>
      <c r="QVH1914" s="62">
        <v>13.28</v>
      </c>
      <c r="QVI1914" s="115">
        <v>19.489999999999998</v>
      </c>
      <c r="QVJ1914" s="56">
        <v>18.98</v>
      </c>
      <c r="QVK1914" s="56">
        <v>17.5</v>
      </c>
      <c r="QVL1914" s="62">
        <v>13.28</v>
      </c>
      <c r="QVM1914" s="115">
        <v>19.489999999999998</v>
      </c>
      <c r="QVN1914" s="56">
        <v>18.98</v>
      </c>
      <c r="QVO1914" s="56">
        <v>17.5</v>
      </c>
      <c r="QVP1914" s="62">
        <v>13.28</v>
      </c>
      <c r="QVQ1914" s="115">
        <v>19.489999999999998</v>
      </c>
      <c r="QVR1914" s="56">
        <v>18.98</v>
      </c>
      <c r="QVS1914" s="56">
        <v>17.5</v>
      </c>
      <c r="QVT1914" s="62">
        <v>13.28</v>
      </c>
      <c r="QVU1914" s="115">
        <v>19.489999999999998</v>
      </c>
      <c r="QVV1914" s="56">
        <v>18.98</v>
      </c>
      <c r="QVW1914" s="56">
        <v>17.5</v>
      </c>
      <c r="QVX1914" s="62">
        <v>13.28</v>
      </c>
      <c r="QVY1914" s="115">
        <v>19.489999999999998</v>
      </c>
      <c r="QVZ1914" s="56">
        <v>18.98</v>
      </c>
      <c r="QWA1914" s="56">
        <v>17.5</v>
      </c>
      <c r="QWB1914" s="62">
        <v>13.28</v>
      </c>
      <c r="QWC1914" s="115">
        <v>19.489999999999998</v>
      </c>
      <c r="QWD1914" s="56">
        <v>18.98</v>
      </c>
      <c r="QWE1914" s="56">
        <v>17.5</v>
      </c>
      <c r="QWF1914" s="62">
        <v>13.28</v>
      </c>
      <c r="QWG1914" s="115">
        <v>19.489999999999998</v>
      </c>
      <c r="QWH1914" s="56">
        <v>18.98</v>
      </c>
      <c r="QWI1914" s="56">
        <v>17.5</v>
      </c>
      <c r="QWJ1914" s="62">
        <v>13.28</v>
      </c>
      <c r="QWK1914" s="115">
        <v>19.489999999999998</v>
      </c>
      <c r="QWL1914" s="56">
        <v>18.98</v>
      </c>
      <c r="QWM1914" s="56">
        <v>17.5</v>
      </c>
      <c r="QWN1914" s="62">
        <v>13.28</v>
      </c>
      <c r="QWO1914" s="115">
        <v>19.489999999999998</v>
      </c>
      <c r="QWP1914" s="56">
        <v>18.98</v>
      </c>
      <c r="QWQ1914" s="56">
        <v>17.5</v>
      </c>
      <c r="QWR1914" s="62">
        <v>13.28</v>
      </c>
      <c r="QWS1914" s="115">
        <v>19.489999999999998</v>
      </c>
      <c r="QWT1914" s="56">
        <v>18.98</v>
      </c>
      <c r="QWU1914" s="56">
        <v>17.5</v>
      </c>
      <c r="QWV1914" s="62">
        <v>13.28</v>
      </c>
      <c r="QWW1914" s="115">
        <v>19.489999999999998</v>
      </c>
      <c r="QWX1914" s="56">
        <v>18.98</v>
      </c>
      <c r="QWY1914" s="56">
        <v>17.5</v>
      </c>
      <c r="QWZ1914" s="62">
        <v>13.28</v>
      </c>
      <c r="QXA1914" s="115">
        <v>19.489999999999998</v>
      </c>
      <c r="QXB1914" s="56">
        <v>18.98</v>
      </c>
      <c r="QXC1914" s="56">
        <v>17.5</v>
      </c>
      <c r="QXD1914" s="62">
        <v>13.28</v>
      </c>
      <c r="QXE1914" s="115">
        <v>19.489999999999998</v>
      </c>
      <c r="QXF1914" s="56">
        <v>18.98</v>
      </c>
      <c r="QXG1914" s="56">
        <v>17.5</v>
      </c>
      <c r="QXH1914" s="62">
        <v>13.28</v>
      </c>
      <c r="QXI1914" s="115">
        <v>19.489999999999998</v>
      </c>
      <c r="QXJ1914" s="56">
        <v>18.98</v>
      </c>
      <c r="QXK1914" s="56">
        <v>17.5</v>
      </c>
      <c r="QXL1914" s="62">
        <v>13.28</v>
      </c>
      <c r="QXM1914" s="115">
        <v>19.489999999999998</v>
      </c>
      <c r="QXN1914" s="56">
        <v>18.98</v>
      </c>
      <c r="QXO1914" s="56">
        <v>17.5</v>
      </c>
      <c r="QXP1914" s="62">
        <v>13.28</v>
      </c>
      <c r="QXQ1914" s="115">
        <v>19.489999999999998</v>
      </c>
      <c r="QXR1914" s="56">
        <v>18.98</v>
      </c>
      <c r="QXS1914" s="56">
        <v>17.5</v>
      </c>
      <c r="QXT1914" s="62">
        <v>13.28</v>
      </c>
      <c r="QXU1914" s="115">
        <v>19.489999999999998</v>
      </c>
      <c r="QXV1914" s="56">
        <v>18.98</v>
      </c>
      <c r="QXW1914" s="56">
        <v>17.5</v>
      </c>
      <c r="QXX1914" s="62">
        <v>13.28</v>
      </c>
      <c r="QXY1914" s="115">
        <v>19.489999999999998</v>
      </c>
      <c r="QXZ1914" s="56">
        <v>18.98</v>
      </c>
      <c r="QYA1914" s="56">
        <v>17.5</v>
      </c>
      <c r="QYB1914" s="62">
        <v>13.28</v>
      </c>
      <c r="QYC1914" s="115">
        <v>19.489999999999998</v>
      </c>
      <c r="QYD1914" s="56">
        <v>18.98</v>
      </c>
      <c r="QYE1914" s="56">
        <v>17.5</v>
      </c>
      <c r="QYF1914" s="62">
        <v>13.28</v>
      </c>
      <c r="QYG1914" s="115">
        <v>19.489999999999998</v>
      </c>
      <c r="QYH1914" s="56">
        <v>18.98</v>
      </c>
      <c r="QYI1914" s="56">
        <v>17.5</v>
      </c>
      <c r="QYJ1914" s="62">
        <v>13.28</v>
      </c>
      <c r="QYK1914" s="115">
        <v>19.489999999999998</v>
      </c>
      <c r="QYL1914" s="56">
        <v>18.98</v>
      </c>
      <c r="QYM1914" s="56">
        <v>17.5</v>
      </c>
      <c r="QYN1914" s="62">
        <v>13.28</v>
      </c>
      <c r="QYO1914" s="115">
        <v>19.489999999999998</v>
      </c>
      <c r="QYP1914" s="56">
        <v>18.98</v>
      </c>
      <c r="QYQ1914" s="56">
        <v>17.5</v>
      </c>
      <c r="QYR1914" s="62">
        <v>13.28</v>
      </c>
      <c r="QYS1914" s="115">
        <v>19.489999999999998</v>
      </c>
      <c r="QYT1914" s="56">
        <v>18.98</v>
      </c>
      <c r="QYU1914" s="56">
        <v>17.5</v>
      </c>
      <c r="QYV1914" s="62">
        <v>13.28</v>
      </c>
      <c r="QYW1914" s="115">
        <v>19.489999999999998</v>
      </c>
      <c r="QYX1914" s="56">
        <v>18.98</v>
      </c>
      <c r="QYY1914" s="56">
        <v>17.5</v>
      </c>
      <c r="QYZ1914" s="62">
        <v>13.28</v>
      </c>
      <c r="QZA1914" s="115">
        <v>19.489999999999998</v>
      </c>
      <c r="QZB1914" s="56">
        <v>18.98</v>
      </c>
      <c r="QZC1914" s="56">
        <v>17.5</v>
      </c>
      <c r="QZD1914" s="62">
        <v>13.28</v>
      </c>
      <c r="QZE1914" s="115">
        <v>19.489999999999998</v>
      </c>
      <c r="QZF1914" s="56">
        <v>18.98</v>
      </c>
      <c r="QZG1914" s="56">
        <v>17.5</v>
      </c>
      <c r="QZH1914" s="62">
        <v>13.28</v>
      </c>
      <c r="QZI1914" s="115">
        <v>19.489999999999998</v>
      </c>
      <c r="QZJ1914" s="56">
        <v>18.98</v>
      </c>
      <c r="QZK1914" s="56">
        <v>17.5</v>
      </c>
      <c r="QZL1914" s="62">
        <v>13.28</v>
      </c>
      <c r="QZM1914" s="115">
        <v>19.489999999999998</v>
      </c>
      <c r="QZN1914" s="56">
        <v>18.98</v>
      </c>
      <c r="QZO1914" s="56">
        <v>17.5</v>
      </c>
      <c r="QZP1914" s="62">
        <v>13.28</v>
      </c>
      <c r="QZQ1914" s="115">
        <v>19.489999999999998</v>
      </c>
      <c r="QZR1914" s="56">
        <v>18.98</v>
      </c>
      <c r="QZS1914" s="56">
        <v>17.5</v>
      </c>
      <c r="QZT1914" s="62">
        <v>13.28</v>
      </c>
      <c r="QZU1914" s="115">
        <v>19.489999999999998</v>
      </c>
      <c r="QZV1914" s="56">
        <v>18.98</v>
      </c>
      <c r="QZW1914" s="56">
        <v>17.5</v>
      </c>
      <c r="QZX1914" s="62">
        <v>13.28</v>
      </c>
      <c r="QZY1914" s="115">
        <v>19.489999999999998</v>
      </c>
      <c r="QZZ1914" s="56">
        <v>18.98</v>
      </c>
      <c r="RAA1914" s="56">
        <v>17.5</v>
      </c>
      <c r="RAB1914" s="62">
        <v>13.28</v>
      </c>
      <c r="RAC1914" s="115">
        <v>19.489999999999998</v>
      </c>
      <c r="RAD1914" s="56">
        <v>18.98</v>
      </c>
      <c r="RAE1914" s="56">
        <v>17.5</v>
      </c>
      <c r="RAF1914" s="62">
        <v>13.28</v>
      </c>
      <c r="RAG1914" s="115">
        <v>19.489999999999998</v>
      </c>
      <c r="RAH1914" s="56">
        <v>18.98</v>
      </c>
      <c r="RAI1914" s="56">
        <v>17.5</v>
      </c>
      <c r="RAJ1914" s="62">
        <v>13.28</v>
      </c>
      <c r="RAK1914" s="115">
        <v>19.489999999999998</v>
      </c>
      <c r="RAL1914" s="56">
        <v>18.98</v>
      </c>
      <c r="RAM1914" s="56">
        <v>17.5</v>
      </c>
      <c r="RAN1914" s="62">
        <v>13.28</v>
      </c>
      <c r="RAO1914" s="115">
        <v>19.489999999999998</v>
      </c>
      <c r="RAP1914" s="56">
        <v>18.98</v>
      </c>
      <c r="RAQ1914" s="56">
        <v>17.5</v>
      </c>
      <c r="RAR1914" s="62">
        <v>13.28</v>
      </c>
      <c r="RAS1914" s="115">
        <v>19.489999999999998</v>
      </c>
      <c r="RAT1914" s="56">
        <v>18.98</v>
      </c>
      <c r="RAU1914" s="56">
        <v>17.5</v>
      </c>
      <c r="RAV1914" s="62">
        <v>13.28</v>
      </c>
      <c r="RAW1914" s="115">
        <v>19.489999999999998</v>
      </c>
      <c r="RAX1914" s="56">
        <v>18.98</v>
      </c>
      <c r="RAY1914" s="56">
        <v>17.5</v>
      </c>
      <c r="RAZ1914" s="62">
        <v>13.28</v>
      </c>
      <c r="RBA1914" s="115">
        <v>19.489999999999998</v>
      </c>
      <c r="RBB1914" s="56">
        <v>18.98</v>
      </c>
      <c r="RBC1914" s="56">
        <v>17.5</v>
      </c>
      <c r="RBD1914" s="62">
        <v>13.28</v>
      </c>
      <c r="RBE1914" s="115">
        <v>19.489999999999998</v>
      </c>
      <c r="RBF1914" s="56">
        <v>18.98</v>
      </c>
      <c r="RBG1914" s="56">
        <v>17.5</v>
      </c>
      <c r="RBH1914" s="62">
        <v>13.28</v>
      </c>
      <c r="RBI1914" s="115">
        <v>19.489999999999998</v>
      </c>
      <c r="RBJ1914" s="56">
        <v>18.98</v>
      </c>
      <c r="RBK1914" s="56">
        <v>17.5</v>
      </c>
      <c r="RBL1914" s="62">
        <v>13.28</v>
      </c>
      <c r="RBM1914" s="115">
        <v>19.489999999999998</v>
      </c>
      <c r="RBN1914" s="56">
        <v>18.98</v>
      </c>
      <c r="RBO1914" s="56">
        <v>17.5</v>
      </c>
      <c r="RBP1914" s="62">
        <v>13.28</v>
      </c>
      <c r="RBQ1914" s="115">
        <v>19.489999999999998</v>
      </c>
      <c r="RBR1914" s="56">
        <v>18.98</v>
      </c>
      <c r="RBS1914" s="56">
        <v>17.5</v>
      </c>
      <c r="RBT1914" s="62">
        <v>13.28</v>
      </c>
      <c r="RBU1914" s="115">
        <v>19.489999999999998</v>
      </c>
      <c r="RBV1914" s="56">
        <v>18.98</v>
      </c>
      <c r="RBW1914" s="56">
        <v>17.5</v>
      </c>
      <c r="RBX1914" s="62">
        <v>13.28</v>
      </c>
      <c r="RBY1914" s="115">
        <v>19.489999999999998</v>
      </c>
      <c r="RBZ1914" s="56">
        <v>18.98</v>
      </c>
      <c r="RCA1914" s="56">
        <v>17.5</v>
      </c>
      <c r="RCB1914" s="62">
        <v>13.28</v>
      </c>
      <c r="RCC1914" s="115">
        <v>19.489999999999998</v>
      </c>
      <c r="RCD1914" s="56">
        <v>18.98</v>
      </c>
      <c r="RCE1914" s="56">
        <v>17.5</v>
      </c>
      <c r="RCF1914" s="62">
        <v>13.28</v>
      </c>
      <c r="RCG1914" s="115">
        <v>19.489999999999998</v>
      </c>
      <c r="RCH1914" s="56">
        <v>18.98</v>
      </c>
      <c r="RCI1914" s="56">
        <v>17.5</v>
      </c>
      <c r="RCJ1914" s="62">
        <v>13.28</v>
      </c>
      <c r="RCK1914" s="115">
        <v>19.489999999999998</v>
      </c>
      <c r="RCL1914" s="56">
        <v>18.98</v>
      </c>
      <c r="RCM1914" s="56">
        <v>17.5</v>
      </c>
      <c r="RCN1914" s="62">
        <v>13.28</v>
      </c>
      <c r="RCO1914" s="115">
        <v>19.489999999999998</v>
      </c>
      <c r="RCP1914" s="56">
        <v>18.98</v>
      </c>
      <c r="RCQ1914" s="56">
        <v>17.5</v>
      </c>
      <c r="RCR1914" s="62">
        <v>13.28</v>
      </c>
      <c r="RCS1914" s="115">
        <v>19.489999999999998</v>
      </c>
      <c r="RCT1914" s="56">
        <v>18.98</v>
      </c>
      <c r="RCU1914" s="56">
        <v>17.5</v>
      </c>
      <c r="RCV1914" s="62">
        <v>13.28</v>
      </c>
      <c r="RCW1914" s="115">
        <v>19.489999999999998</v>
      </c>
      <c r="RCX1914" s="56">
        <v>18.98</v>
      </c>
      <c r="RCY1914" s="56">
        <v>17.5</v>
      </c>
      <c r="RCZ1914" s="62">
        <v>13.28</v>
      </c>
      <c r="RDA1914" s="115">
        <v>19.489999999999998</v>
      </c>
      <c r="RDB1914" s="56">
        <v>18.98</v>
      </c>
      <c r="RDC1914" s="56">
        <v>17.5</v>
      </c>
      <c r="RDD1914" s="62">
        <v>13.28</v>
      </c>
      <c r="RDE1914" s="115">
        <v>19.489999999999998</v>
      </c>
      <c r="RDF1914" s="56">
        <v>18.98</v>
      </c>
      <c r="RDG1914" s="56">
        <v>17.5</v>
      </c>
      <c r="RDH1914" s="62">
        <v>13.28</v>
      </c>
      <c r="RDI1914" s="115">
        <v>19.489999999999998</v>
      </c>
      <c r="RDJ1914" s="56">
        <v>18.98</v>
      </c>
      <c r="RDK1914" s="56">
        <v>17.5</v>
      </c>
      <c r="RDL1914" s="62">
        <v>13.28</v>
      </c>
      <c r="RDM1914" s="115">
        <v>19.489999999999998</v>
      </c>
      <c r="RDN1914" s="56">
        <v>18.98</v>
      </c>
      <c r="RDO1914" s="56">
        <v>17.5</v>
      </c>
      <c r="RDP1914" s="62">
        <v>13.28</v>
      </c>
      <c r="RDQ1914" s="115">
        <v>19.489999999999998</v>
      </c>
      <c r="RDR1914" s="56">
        <v>18.98</v>
      </c>
      <c r="RDS1914" s="56">
        <v>17.5</v>
      </c>
      <c r="RDT1914" s="62">
        <v>13.28</v>
      </c>
      <c r="RDU1914" s="115">
        <v>19.489999999999998</v>
      </c>
      <c r="RDV1914" s="56">
        <v>18.98</v>
      </c>
      <c r="RDW1914" s="56">
        <v>17.5</v>
      </c>
      <c r="RDX1914" s="62">
        <v>13.28</v>
      </c>
      <c r="RDY1914" s="115">
        <v>19.489999999999998</v>
      </c>
      <c r="RDZ1914" s="56">
        <v>18.98</v>
      </c>
      <c r="REA1914" s="56">
        <v>17.5</v>
      </c>
      <c r="REB1914" s="62">
        <v>13.28</v>
      </c>
      <c r="REC1914" s="115">
        <v>19.489999999999998</v>
      </c>
      <c r="RED1914" s="56">
        <v>18.98</v>
      </c>
      <c r="REE1914" s="56">
        <v>17.5</v>
      </c>
      <c r="REF1914" s="62">
        <v>13.28</v>
      </c>
      <c r="REG1914" s="115">
        <v>19.489999999999998</v>
      </c>
      <c r="REH1914" s="56">
        <v>18.98</v>
      </c>
      <c r="REI1914" s="56">
        <v>17.5</v>
      </c>
      <c r="REJ1914" s="62">
        <v>13.28</v>
      </c>
      <c r="REK1914" s="115">
        <v>19.489999999999998</v>
      </c>
      <c r="REL1914" s="56">
        <v>18.98</v>
      </c>
      <c r="REM1914" s="56">
        <v>17.5</v>
      </c>
      <c r="REN1914" s="62">
        <v>13.28</v>
      </c>
      <c r="REO1914" s="115">
        <v>19.489999999999998</v>
      </c>
      <c r="REP1914" s="56">
        <v>18.98</v>
      </c>
      <c r="REQ1914" s="56">
        <v>17.5</v>
      </c>
      <c r="RER1914" s="62">
        <v>13.28</v>
      </c>
      <c r="RES1914" s="115">
        <v>19.489999999999998</v>
      </c>
      <c r="RET1914" s="56">
        <v>18.98</v>
      </c>
      <c r="REU1914" s="56">
        <v>17.5</v>
      </c>
      <c r="REV1914" s="62">
        <v>13.28</v>
      </c>
      <c r="REW1914" s="115">
        <v>19.489999999999998</v>
      </c>
      <c r="REX1914" s="56">
        <v>18.98</v>
      </c>
      <c r="REY1914" s="56">
        <v>17.5</v>
      </c>
      <c r="REZ1914" s="62">
        <v>13.28</v>
      </c>
      <c r="RFA1914" s="115">
        <v>19.489999999999998</v>
      </c>
      <c r="RFB1914" s="56">
        <v>18.98</v>
      </c>
      <c r="RFC1914" s="56">
        <v>17.5</v>
      </c>
      <c r="RFD1914" s="62">
        <v>13.28</v>
      </c>
      <c r="RFE1914" s="115">
        <v>19.489999999999998</v>
      </c>
      <c r="RFF1914" s="56">
        <v>18.98</v>
      </c>
      <c r="RFG1914" s="56">
        <v>17.5</v>
      </c>
      <c r="RFH1914" s="62">
        <v>13.28</v>
      </c>
      <c r="RFI1914" s="115">
        <v>19.489999999999998</v>
      </c>
      <c r="RFJ1914" s="56">
        <v>18.98</v>
      </c>
      <c r="RFK1914" s="56">
        <v>17.5</v>
      </c>
      <c r="RFL1914" s="62">
        <v>13.28</v>
      </c>
      <c r="RFM1914" s="115">
        <v>19.489999999999998</v>
      </c>
      <c r="RFN1914" s="56">
        <v>18.98</v>
      </c>
      <c r="RFO1914" s="56">
        <v>17.5</v>
      </c>
      <c r="RFP1914" s="62">
        <v>13.28</v>
      </c>
      <c r="RFQ1914" s="115">
        <v>19.489999999999998</v>
      </c>
      <c r="RFR1914" s="56">
        <v>18.98</v>
      </c>
      <c r="RFS1914" s="56">
        <v>17.5</v>
      </c>
      <c r="RFT1914" s="62">
        <v>13.28</v>
      </c>
      <c r="RFU1914" s="115">
        <v>19.489999999999998</v>
      </c>
      <c r="RFV1914" s="56">
        <v>18.98</v>
      </c>
      <c r="RFW1914" s="56">
        <v>17.5</v>
      </c>
      <c r="RFX1914" s="62">
        <v>13.28</v>
      </c>
      <c r="RFY1914" s="115">
        <v>19.489999999999998</v>
      </c>
      <c r="RFZ1914" s="56">
        <v>18.98</v>
      </c>
      <c r="RGA1914" s="56">
        <v>17.5</v>
      </c>
      <c r="RGB1914" s="62">
        <v>13.28</v>
      </c>
      <c r="RGC1914" s="115">
        <v>19.489999999999998</v>
      </c>
      <c r="RGD1914" s="56">
        <v>18.98</v>
      </c>
      <c r="RGE1914" s="56">
        <v>17.5</v>
      </c>
      <c r="RGF1914" s="62">
        <v>13.28</v>
      </c>
      <c r="RGG1914" s="115">
        <v>19.489999999999998</v>
      </c>
      <c r="RGH1914" s="56">
        <v>18.98</v>
      </c>
      <c r="RGI1914" s="56">
        <v>17.5</v>
      </c>
      <c r="RGJ1914" s="62">
        <v>13.28</v>
      </c>
      <c r="RGK1914" s="115">
        <v>19.489999999999998</v>
      </c>
      <c r="RGL1914" s="56">
        <v>18.98</v>
      </c>
      <c r="RGM1914" s="56">
        <v>17.5</v>
      </c>
      <c r="RGN1914" s="62">
        <v>13.28</v>
      </c>
      <c r="RGO1914" s="115">
        <v>19.489999999999998</v>
      </c>
      <c r="RGP1914" s="56">
        <v>18.98</v>
      </c>
      <c r="RGQ1914" s="56">
        <v>17.5</v>
      </c>
      <c r="RGR1914" s="62">
        <v>13.28</v>
      </c>
      <c r="RGS1914" s="115">
        <v>19.489999999999998</v>
      </c>
      <c r="RGT1914" s="56">
        <v>18.98</v>
      </c>
      <c r="RGU1914" s="56">
        <v>17.5</v>
      </c>
      <c r="RGV1914" s="62">
        <v>13.28</v>
      </c>
      <c r="RGW1914" s="115">
        <v>19.489999999999998</v>
      </c>
      <c r="RGX1914" s="56">
        <v>18.98</v>
      </c>
      <c r="RGY1914" s="56">
        <v>17.5</v>
      </c>
      <c r="RGZ1914" s="62">
        <v>13.28</v>
      </c>
      <c r="RHA1914" s="115">
        <v>19.489999999999998</v>
      </c>
      <c r="RHB1914" s="56">
        <v>18.98</v>
      </c>
      <c r="RHC1914" s="56">
        <v>17.5</v>
      </c>
      <c r="RHD1914" s="62">
        <v>13.28</v>
      </c>
      <c r="RHE1914" s="115">
        <v>19.489999999999998</v>
      </c>
      <c r="RHF1914" s="56">
        <v>18.98</v>
      </c>
      <c r="RHG1914" s="56">
        <v>17.5</v>
      </c>
      <c r="RHH1914" s="62">
        <v>13.28</v>
      </c>
      <c r="RHI1914" s="115">
        <v>19.489999999999998</v>
      </c>
      <c r="RHJ1914" s="56">
        <v>18.98</v>
      </c>
      <c r="RHK1914" s="56">
        <v>17.5</v>
      </c>
      <c r="RHL1914" s="62">
        <v>13.28</v>
      </c>
      <c r="RHM1914" s="115">
        <v>19.489999999999998</v>
      </c>
      <c r="RHN1914" s="56">
        <v>18.98</v>
      </c>
      <c r="RHO1914" s="56">
        <v>17.5</v>
      </c>
      <c r="RHP1914" s="62">
        <v>13.28</v>
      </c>
      <c r="RHQ1914" s="115">
        <v>19.489999999999998</v>
      </c>
      <c r="RHR1914" s="56">
        <v>18.98</v>
      </c>
      <c r="RHS1914" s="56">
        <v>17.5</v>
      </c>
      <c r="RHT1914" s="62">
        <v>13.28</v>
      </c>
      <c r="RHU1914" s="115">
        <v>19.489999999999998</v>
      </c>
      <c r="RHV1914" s="56">
        <v>18.98</v>
      </c>
      <c r="RHW1914" s="56">
        <v>17.5</v>
      </c>
      <c r="RHX1914" s="62">
        <v>13.28</v>
      </c>
      <c r="RHY1914" s="115">
        <v>19.489999999999998</v>
      </c>
      <c r="RHZ1914" s="56">
        <v>18.98</v>
      </c>
      <c r="RIA1914" s="56">
        <v>17.5</v>
      </c>
      <c r="RIB1914" s="62">
        <v>13.28</v>
      </c>
      <c r="RIC1914" s="115">
        <v>19.489999999999998</v>
      </c>
      <c r="RID1914" s="56">
        <v>18.98</v>
      </c>
      <c r="RIE1914" s="56">
        <v>17.5</v>
      </c>
      <c r="RIF1914" s="62">
        <v>13.28</v>
      </c>
      <c r="RIG1914" s="115">
        <v>19.489999999999998</v>
      </c>
      <c r="RIH1914" s="56">
        <v>18.98</v>
      </c>
      <c r="RII1914" s="56">
        <v>17.5</v>
      </c>
      <c r="RIJ1914" s="62">
        <v>13.28</v>
      </c>
      <c r="RIK1914" s="115">
        <v>19.489999999999998</v>
      </c>
      <c r="RIL1914" s="56">
        <v>18.98</v>
      </c>
      <c r="RIM1914" s="56">
        <v>17.5</v>
      </c>
      <c r="RIN1914" s="62">
        <v>13.28</v>
      </c>
      <c r="RIO1914" s="115">
        <v>19.489999999999998</v>
      </c>
      <c r="RIP1914" s="56">
        <v>18.98</v>
      </c>
      <c r="RIQ1914" s="56">
        <v>17.5</v>
      </c>
      <c r="RIR1914" s="62">
        <v>13.28</v>
      </c>
      <c r="RIS1914" s="115">
        <v>19.489999999999998</v>
      </c>
      <c r="RIT1914" s="56">
        <v>18.98</v>
      </c>
      <c r="RIU1914" s="56">
        <v>17.5</v>
      </c>
      <c r="RIV1914" s="62">
        <v>13.28</v>
      </c>
      <c r="RIW1914" s="115">
        <v>19.489999999999998</v>
      </c>
      <c r="RIX1914" s="56">
        <v>18.98</v>
      </c>
      <c r="RIY1914" s="56">
        <v>17.5</v>
      </c>
      <c r="RIZ1914" s="62">
        <v>13.28</v>
      </c>
      <c r="RJA1914" s="115">
        <v>19.489999999999998</v>
      </c>
      <c r="RJB1914" s="56">
        <v>18.98</v>
      </c>
      <c r="RJC1914" s="56">
        <v>17.5</v>
      </c>
      <c r="RJD1914" s="62">
        <v>13.28</v>
      </c>
      <c r="RJE1914" s="115">
        <v>19.489999999999998</v>
      </c>
      <c r="RJF1914" s="56">
        <v>18.98</v>
      </c>
      <c r="RJG1914" s="56">
        <v>17.5</v>
      </c>
      <c r="RJH1914" s="62">
        <v>13.28</v>
      </c>
      <c r="RJI1914" s="115">
        <v>19.489999999999998</v>
      </c>
      <c r="RJJ1914" s="56">
        <v>18.98</v>
      </c>
      <c r="RJK1914" s="56">
        <v>17.5</v>
      </c>
      <c r="RJL1914" s="62">
        <v>13.28</v>
      </c>
      <c r="RJM1914" s="115">
        <v>19.489999999999998</v>
      </c>
      <c r="RJN1914" s="56">
        <v>18.98</v>
      </c>
      <c r="RJO1914" s="56">
        <v>17.5</v>
      </c>
      <c r="RJP1914" s="62">
        <v>13.28</v>
      </c>
      <c r="RJQ1914" s="115">
        <v>19.489999999999998</v>
      </c>
      <c r="RJR1914" s="56">
        <v>18.98</v>
      </c>
      <c r="RJS1914" s="56">
        <v>17.5</v>
      </c>
      <c r="RJT1914" s="62">
        <v>13.28</v>
      </c>
      <c r="RJU1914" s="115">
        <v>19.489999999999998</v>
      </c>
      <c r="RJV1914" s="56">
        <v>18.98</v>
      </c>
      <c r="RJW1914" s="56">
        <v>17.5</v>
      </c>
      <c r="RJX1914" s="62">
        <v>13.28</v>
      </c>
      <c r="RJY1914" s="115">
        <v>19.489999999999998</v>
      </c>
      <c r="RJZ1914" s="56">
        <v>18.98</v>
      </c>
      <c r="RKA1914" s="56">
        <v>17.5</v>
      </c>
      <c r="RKB1914" s="62">
        <v>13.28</v>
      </c>
      <c r="RKC1914" s="115">
        <v>19.489999999999998</v>
      </c>
      <c r="RKD1914" s="56">
        <v>18.98</v>
      </c>
      <c r="RKE1914" s="56">
        <v>17.5</v>
      </c>
      <c r="RKF1914" s="62">
        <v>13.28</v>
      </c>
      <c r="RKG1914" s="115">
        <v>19.489999999999998</v>
      </c>
      <c r="RKH1914" s="56">
        <v>18.98</v>
      </c>
      <c r="RKI1914" s="56">
        <v>17.5</v>
      </c>
      <c r="RKJ1914" s="62">
        <v>13.28</v>
      </c>
      <c r="RKK1914" s="115">
        <v>19.489999999999998</v>
      </c>
      <c r="RKL1914" s="56">
        <v>18.98</v>
      </c>
      <c r="RKM1914" s="56">
        <v>17.5</v>
      </c>
      <c r="RKN1914" s="62">
        <v>13.28</v>
      </c>
      <c r="RKO1914" s="115">
        <v>19.489999999999998</v>
      </c>
      <c r="RKP1914" s="56">
        <v>18.98</v>
      </c>
      <c r="RKQ1914" s="56">
        <v>17.5</v>
      </c>
      <c r="RKR1914" s="62">
        <v>13.28</v>
      </c>
      <c r="RKS1914" s="115">
        <v>19.489999999999998</v>
      </c>
      <c r="RKT1914" s="56">
        <v>18.98</v>
      </c>
      <c r="RKU1914" s="56">
        <v>17.5</v>
      </c>
      <c r="RKV1914" s="62">
        <v>13.28</v>
      </c>
      <c r="RKW1914" s="115">
        <v>19.489999999999998</v>
      </c>
      <c r="RKX1914" s="56">
        <v>18.98</v>
      </c>
      <c r="RKY1914" s="56">
        <v>17.5</v>
      </c>
      <c r="RKZ1914" s="62">
        <v>13.28</v>
      </c>
      <c r="RLA1914" s="115">
        <v>19.489999999999998</v>
      </c>
      <c r="RLB1914" s="56">
        <v>18.98</v>
      </c>
      <c r="RLC1914" s="56">
        <v>17.5</v>
      </c>
      <c r="RLD1914" s="62">
        <v>13.28</v>
      </c>
      <c r="RLE1914" s="115">
        <v>19.489999999999998</v>
      </c>
      <c r="RLF1914" s="56">
        <v>18.98</v>
      </c>
      <c r="RLG1914" s="56">
        <v>17.5</v>
      </c>
      <c r="RLH1914" s="62">
        <v>13.28</v>
      </c>
      <c r="RLI1914" s="115">
        <v>19.489999999999998</v>
      </c>
      <c r="RLJ1914" s="56">
        <v>18.98</v>
      </c>
      <c r="RLK1914" s="56">
        <v>17.5</v>
      </c>
      <c r="RLL1914" s="62">
        <v>13.28</v>
      </c>
      <c r="RLM1914" s="115">
        <v>19.489999999999998</v>
      </c>
      <c r="RLN1914" s="56">
        <v>18.98</v>
      </c>
      <c r="RLO1914" s="56">
        <v>17.5</v>
      </c>
      <c r="RLP1914" s="62">
        <v>13.28</v>
      </c>
      <c r="RLQ1914" s="115">
        <v>19.489999999999998</v>
      </c>
      <c r="RLR1914" s="56">
        <v>18.98</v>
      </c>
      <c r="RLS1914" s="56">
        <v>17.5</v>
      </c>
      <c r="RLT1914" s="62">
        <v>13.28</v>
      </c>
      <c r="RLU1914" s="115">
        <v>19.489999999999998</v>
      </c>
      <c r="RLV1914" s="56">
        <v>18.98</v>
      </c>
      <c r="RLW1914" s="56">
        <v>17.5</v>
      </c>
      <c r="RLX1914" s="62">
        <v>13.28</v>
      </c>
      <c r="RLY1914" s="115">
        <v>19.489999999999998</v>
      </c>
      <c r="RLZ1914" s="56">
        <v>18.98</v>
      </c>
      <c r="RMA1914" s="56">
        <v>17.5</v>
      </c>
      <c r="RMB1914" s="62">
        <v>13.28</v>
      </c>
      <c r="RMC1914" s="115">
        <v>19.489999999999998</v>
      </c>
      <c r="RMD1914" s="56">
        <v>18.98</v>
      </c>
      <c r="RME1914" s="56">
        <v>17.5</v>
      </c>
      <c r="RMF1914" s="62">
        <v>13.28</v>
      </c>
      <c r="RMG1914" s="115">
        <v>19.489999999999998</v>
      </c>
      <c r="RMH1914" s="56">
        <v>18.98</v>
      </c>
      <c r="RMI1914" s="56">
        <v>17.5</v>
      </c>
      <c r="RMJ1914" s="62">
        <v>13.28</v>
      </c>
      <c r="RMK1914" s="115">
        <v>19.489999999999998</v>
      </c>
      <c r="RML1914" s="56">
        <v>18.98</v>
      </c>
      <c r="RMM1914" s="56">
        <v>17.5</v>
      </c>
      <c r="RMN1914" s="62">
        <v>13.28</v>
      </c>
      <c r="RMO1914" s="115">
        <v>19.489999999999998</v>
      </c>
      <c r="RMP1914" s="56">
        <v>18.98</v>
      </c>
      <c r="RMQ1914" s="56">
        <v>17.5</v>
      </c>
      <c r="RMR1914" s="62">
        <v>13.28</v>
      </c>
      <c r="RMS1914" s="115">
        <v>19.489999999999998</v>
      </c>
      <c r="RMT1914" s="56">
        <v>18.98</v>
      </c>
      <c r="RMU1914" s="56">
        <v>17.5</v>
      </c>
      <c r="RMV1914" s="62">
        <v>13.28</v>
      </c>
      <c r="RMW1914" s="115">
        <v>19.489999999999998</v>
      </c>
      <c r="RMX1914" s="56">
        <v>18.98</v>
      </c>
      <c r="RMY1914" s="56">
        <v>17.5</v>
      </c>
      <c r="RMZ1914" s="62">
        <v>13.28</v>
      </c>
      <c r="RNA1914" s="115">
        <v>19.489999999999998</v>
      </c>
      <c r="RNB1914" s="56">
        <v>18.98</v>
      </c>
      <c r="RNC1914" s="56">
        <v>17.5</v>
      </c>
      <c r="RND1914" s="62">
        <v>13.28</v>
      </c>
      <c r="RNE1914" s="115">
        <v>19.489999999999998</v>
      </c>
      <c r="RNF1914" s="56">
        <v>18.98</v>
      </c>
      <c r="RNG1914" s="56">
        <v>17.5</v>
      </c>
      <c r="RNH1914" s="62">
        <v>13.28</v>
      </c>
      <c r="RNI1914" s="115">
        <v>19.489999999999998</v>
      </c>
      <c r="RNJ1914" s="56">
        <v>18.98</v>
      </c>
      <c r="RNK1914" s="56">
        <v>17.5</v>
      </c>
      <c r="RNL1914" s="62">
        <v>13.28</v>
      </c>
      <c r="RNM1914" s="115">
        <v>19.489999999999998</v>
      </c>
      <c r="RNN1914" s="56">
        <v>18.98</v>
      </c>
      <c r="RNO1914" s="56">
        <v>17.5</v>
      </c>
      <c r="RNP1914" s="62">
        <v>13.28</v>
      </c>
      <c r="RNQ1914" s="115">
        <v>19.489999999999998</v>
      </c>
      <c r="RNR1914" s="56">
        <v>18.98</v>
      </c>
      <c r="RNS1914" s="56">
        <v>17.5</v>
      </c>
      <c r="RNT1914" s="62">
        <v>13.28</v>
      </c>
      <c r="RNU1914" s="115">
        <v>19.489999999999998</v>
      </c>
      <c r="RNV1914" s="56">
        <v>18.98</v>
      </c>
      <c r="RNW1914" s="56">
        <v>17.5</v>
      </c>
      <c r="RNX1914" s="62">
        <v>13.28</v>
      </c>
      <c r="RNY1914" s="115">
        <v>19.489999999999998</v>
      </c>
      <c r="RNZ1914" s="56">
        <v>18.98</v>
      </c>
      <c r="ROA1914" s="56">
        <v>17.5</v>
      </c>
      <c r="ROB1914" s="62">
        <v>13.28</v>
      </c>
      <c r="ROC1914" s="115">
        <v>19.489999999999998</v>
      </c>
      <c r="ROD1914" s="56">
        <v>18.98</v>
      </c>
      <c r="ROE1914" s="56">
        <v>17.5</v>
      </c>
      <c r="ROF1914" s="62">
        <v>13.28</v>
      </c>
      <c r="ROG1914" s="115">
        <v>19.489999999999998</v>
      </c>
      <c r="ROH1914" s="56">
        <v>18.98</v>
      </c>
      <c r="ROI1914" s="56">
        <v>17.5</v>
      </c>
      <c r="ROJ1914" s="62">
        <v>13.28</v>
      </c>
      <c r="ROK1914" s="115">
        <v>19.489999999999998</v>
      </c>
      <c r="ROL1914" s="56">
        <v>18.98</v>
      </c>
      <c r="ROM1914" s="56">
        <v>17.5</v>
      </c>
      <c r="RON1914" s="62">
        <v>13.28</v>
      </c>
      <c r="ROO1914" s="115">
        <v>19.489999999999998</v>
      </c>
      <c r="ROP1914" s="56">
        <v>18.98</v>
      </c>
      <c r="ROQ1914" s="56">
        <v>17.5</v>
      </c>
      <c r="ROR1914" s="62">
        <v>13.28</v>
      </c>
      <c r="ROS1914" s="115">
        <v>19.489999999999998</v>
      </c>
      <c r="ROT1914" s="56">
        <v>18.98</v>
      </c>
      <c r="ROU1914" s="56">
        <v>17.5</v>
      </c>
      <c r="ROV1914" s="62">
        <v>13.28</v>
      </c>
      <c r="ROW1914" s="115">
        <v>19.489999999999998</v>
      </c>
      <c r="ROX1914" s="56">
        <v>18.98</v>
      </c>
      <c r="ROY1914" s="56">
        <v>17.5</v>
      </c>
      <c r="ROZ1914" s="62">
        <v>13.28</v>
      </c>
      <c r="RPA1914" s="115">
        <v>19.489999999999998</v>
      </c>
      <c r="RPB1914" s="56">
        <v>18.98</v>
      </c>
      <c r="RPC1914" s="56">
        <v>17.5</v>
      </c>
      <c r="RPD1914" s="62">
        <v>13.28</v>
      </c>
      <c r="RPE1914" s="115">
        <v>19.489999999999998</v>
      </c>
      <c r="RPF1914" s="56">
        <v>18.98</v>
      </c>
      <c r="RPG1914" s="56">
        <v>17.5</v>
      </c>
      <c r="RPH1914" s="62">
        <v>13.28</v>
      </c>
      <c r="RPI1914" s="115">
        <v>19.489999999999998</v>
      </c>
      <c r="RPJ1914" s="56">
        <v>18.98</v>
      </c>
      <c r="RPK1914" s="56">
        <v>17.5</v>
      </c>
      <c r="RPL1914" s="62">
        <v>13.28</v>
      </c>
      <c r="RPM1914" s="115">
        <v>19.489999999999998</v>
      </c>
      <c r="RPN1914" s="56">
        <v>18.98</v>
      </c>
      <c r="RPO1914" s="56">
        <v>17.5</v>
      </c>
      <c r="RPP1914" s="62">
        <v>13.28</v>
      </c>
      <c r="RPQ1914" s="115">
        <v>19.489999999999998</v>
      </c>
      <c r="RPR1914" s="56">
        <v>18.98</v>
      </c>
      <c r="RPS1914" s="56">
        <v>17.5</v>
      </c>
      <c r="RPT1914" s="62">
        <v>13.28</v>
      </c>
      <c r="RPU1914" s="115">
        <v>19.489999999999998</v>
      </c>
      <c r="RPV1914" s="56">
        <v>18.98</v>
      </c>
      <c r="RPW1914" s="56">
        <v>17.5</v>
      </c>
      <c r="RPX1914" s="62">
        <v>13.28</v>
      </c>
      <c r="RPY1914" s="115">
        <v>19.489999999999998</v>
      </c>
      <c r="RPZ1914" s="56">
        <v>18.98</v>
      </c>
      <c r="RQA1914" s="56">
        <v>17.5</v>
      </c>
      <c r="RQB1914" s="62">
        <v>13.28</v>
      </c>
      <c r="RQC1914" s="115">
        <v>19.489999999999998</v>
      </c>
      <c r="RQD1914" s="56">
        <v>18.98</v>
      </c>
      <c r="RQE1914" s="56">
        <v>17.5</v>
      </c>
      <c r="RQF1914" s="62">
        <v>13.28</v>
      </c>
      <c r="RQG1914" s="115">
        <v>19.489999999999998</v>
      </c>
      <c r="RQH1914" s="56">
        <v>18.98</v>
      </c>
      <c r="RQI1914" s="56">
        <v>17.5</v>
      </c>
      <c r="RQJ1914" s="62">
        <v>13.28</v>
      </c>
      <c r="RQK1914" s="115">
        <v>19.489999999999998</v>
      </c>
      <c r="RQL1914" s="56">
        <v>18.98</v>
      </c>
      <c r="RQM1914" s="56">
        <v>17.5</v>
      </c>
      <c r="RQN1914" s="62">
        <v>13.28</v>
      </c>
      <c r="RQO1914" s="115">
        <v>19.489999999999998</v>
      </c>
      <c r="RQP1914" s="56">
        <v>18.98</v>
      </c>
      <c r="RQQ1914" s="56">
        <v>17.5</v>
      </c>
      <c r="RQR1914" s="62">
        <v>13.28</v>
      </c>
      <c r="RQS1914" s="115">
        <v>19.489999999999998</v>
      </c>
      <c r="RQT1914" s="56">
        <v>18.98</v>
      </c>
      <c r="RQU1914" s="56">
        <v>17.5</v>
      </c>
      <c r="RQV1914" s="62">
        <v>13.28</v>
      </c>
      <c r="RQW1914" s="115">
        <v>19.489999999999998</v>
      </c>
      <c r="RQX1914" s="56">
        <v>18.98</v>
      </c>
      <c r="RQY1914" s="56">
        <v>17.5</v>
      </c>
      <c r="RQZ1914" s="62">
        <v>13.28</v>
      </c>
      <c r="RRA1914" s="115">
        <v>19.489999999999998</v>
      </c>
      <c r="RRB1914" s="56">
        <v>18.98</v>
      </c>
      <c r="RRC1914" s="56">
        <v>17.5</v>
      </c>
      <c r="RRD1914" s="62">
        <v>13.28</v>
      </c>
      <c r="RRE1914" s="115">
        <v>19.489999999999998</v>
      </c>
      <c r="RRF1914" s="56">
        <v>18.98</v>
      </c>
      <c r="RRG1914" s="56">
        <v>17.5</v>
      </c>
      <c r="RRH1914" s="62">
        <v>13.28</v>
      </c>
      <c r="RRI1914" s="115">
        <v>19.489999999999998</v>
      </c>
      <c r="RRJ1914" s="56">
        <v>18.98</v>
      </c>
      <c r="RRK1914" s="56">
        <v>17.5</v>
      </c>
      <c r="RRL1914" s="62">
        <v>13.28</v>
      </c>
      <c r="RRM1914" s="115">
        <v>19.489999999999998</v>
      </c>
      <c r="RRN1914" s="56">
        <v>18.98</v>
      </c>
      <c r="RRO1914" s="56">
        <v>17.5</v>
      </c>
      <c r="RRP1914" s="62">
        <v>13.28</v>
      </c>
      <c r="RRQ1914" s="115">
        <v>19.489999999999998</v>
      </c>
      <c r="RRR1914" s="56">
        <v>18.98</v>
      </c>
      <c r="RRS1914" s="56">
        <v>17.5</v>
      </c>
      <c r="RRT1914" s="62">
        <v>13.28</v>
      </c>
      <c r="RRU1914" s="115">
        <v>19.489999999999998</v>
      </c>
      <c r="RRV1914" s="56">
        <v>18.98</v>
      </c>
      <c r="RRW1914" s="56">
        <v>17.5</v>
      </c>
      <c r="RRX1914" s="62">
        <v>13.28</v>
      </c>
      <c r="RRY1914" s="115">
        <v>19.489999999999998</v>
      </c>
      <c r="RRZ1914" s="56">
        <v>18.98</v>
      </c>
      <c r="RSA1914" s="56">
        <v>17.5</v>
      </c>
      <c r="RSB1914" s="62">
        <v>13.28</v>
      </c>
      <c r="RSC1914" s="115">
        <v>19.489999999999998</v>
      </c>
      <c r="RSD1914" s="56">
        <v>18.98</v>
      </c>
      <c r="RSE1914" s="56">
        <v>17.5</v>
      </c>
      <c r="RSF1914" s="62">
        <v>13.28</v>
      </c>
      <c r="RSG1914" s="115">
        <v>19.489999999999998</v>
      </c>
      <c r="RSH1914" s="56">
        <v>18.98</v>
      </c>
      <c r="RSI1914" s="56">
        <v>17.5</v>
      </c>
      <c r="RSJ1914" s="62">
        <v>13.28</v>
      </c>
      <c r="RSK1914" s="115">
        <v>19.489999999999998</v>
      </c>
      <c r="RSL1914" s="56">
        <v>18.98</v>
      </c>
      <c r="RSM1914" s="56">
        <v>17.5</v>
      </c>
      <c r="RSN1914" s="62">
        <v>13.28</v>
      </c>
      <c r="RSO1914" s="115">
        <v>19.489999999999998</v>
      </c>
      <c r="RSP1914" s="56">
        <v>18.98</v>
      </c>
      <c r="RSQ1914" s="56">
        <v>17.5</v>
      </c>
      <c r="RSR1914" s="62">
        <v>13.28</v>
      </c>
      <c r="RSS1914" s="115">
        <v>19.489999999999998</v>
      </c>
      <c r="RST1914" s="56">
        <v>18.98</v>
      </c>
      <c r="RSU1914" s="56">
        <v>17.5</v>
      </c>
      <c r="RSV1914" s="62">
        <v>13.28</v>
      </c>
      <c r="RSW1914" s="115">
        <v>19.489999999999998</v>
      </c>
      <c r="RSX1914" s="56">
        <v>18.98</v>
      </c>
      <c r="RSY1914" s="56">
        <v>17.5</v>
      </c>
      <c r="RSZ1914" s="62">
        <v>13.28</v>
      </c>
      <c r="RTA1914" s="115">
        <v>19.489999999999998</v>
      </c>
      <c r="RTB1914" s="56">
        <v>18.98</v>
      </c>
      <c r="RTC1914" s="56">
        <v>17.5</v>
      </c>
      <c r="RTD1914" s="62">
        <v>13.28</v>
      </c>
      <c r="RTE1914" s="115">
        <v>19.489999999999998</v>
      </c>
      <c r="RTF1914" s="56">
        <v>18.98</v>
      </c>
      <c r="RTG1914" s="56">
        <v>17.5</v>
      </c>
      <c r="RTH1914" s="62">
        <v>13.28</v>
      </c>
      <c r="RTI1914" s="115">
        <v>19.489999999999998</v>
      </c>
      <c r="RTJ1914" s="56">
        <v>18.98</v>
      </c>
      <c r="RTK1914" s="56">
        <v>17.5</v>
      </c>
      <c r="RTL1914" s="62">
        <v>13.28</v>
      </c>
      <c r="RTM1914" s="115">
        <v>19.489999999999998</v>
      </c>
      <c r="RTN1914" s="56">
        <v>18.98</v>
      </c>
      <c r="RTO1914" s="56">
        <v>17.5</v>
      </c>
      <c r="RTP1914" s="62">
        <v>13.28</v>
      </c>
      <c r="RTQ1914" s="115">
        <v>19.489999999999998</v>
      </c>
      <c r="RTR1914" s="56">
        <v>18.98</v>
      </c>
      <c r="RTS1914" s="56">
        <v>17.5</v>
      </c>
      <c r="RTT1914" s="62">
        <v>13.28</v>
      </c>
      <c r="RTU1914" s="115">
        <v>19.489999999999998</v>
      </c>
      <c r="RTV1914" s="56">
        <v>18.98</v>
      </c>
      <c r="RTW1914" s="56">
        <v>17.5</v>
      </c>
      <c r="RTX1914" s="62">
        <v>13.28</v>
      </c>
      <c r="RTY1914" s="115">
        <v>19.489999999999998</v>
      </c>
      <c r="RTZ1914" s="56">
        <v>18.98</v>
      </c>
      <c r="RUA1914" s="56">
        <v>17.5</v>
      </c>
      <c r="RUB1914" s="62">
        <v>13.28</v>
      </c>
      <c r="RUC1914" s="115">
        <v>19.489999999999998</v>
      </c>
      <c r="RUD1914" s="56">
        <v>18.98</v>
      </c>
      <c r="RUE1914" s="56">
        <v>17.5</v>
      </c>
      <c r="RUF1914" s="62">
        <v>13.28</v>
      </c>
      <c r="RUG1914" s="115">
        <v>19.489999999999998</v>
      </c>
      <c r="RUH1914" s="56">
        <v>18.98</v>
      </c>
      <c r="RUI1914" s="56">
        <v>17.5</v>
      </c>
      <c r="RUJ1914" s="62">
        <v>13.28</v>
      </c>
      <c r="RUK1914" s="115">
        <v>19.489999999999998</v>
      </c>
      <c r="RUL1914" s="56">
        <v>18.98</v>
      </c>
      <c r="RUM1914" s="56">
        <v>17.5</v>
      </c>
      <c r="RUN1914" s="62">
        <v>13.28</v>
      </c>
      <c r="RUO1914" s="115">
        <v>19.489999999999998</v>
      </c>
      <c r="RUP1914" s="56">
        <v>18.98</v>
      </c>
      <c r="RUQ1914" s="56">
        <v>17.5</v>
      </c>
      <c r="RUR1914" s="62">
        <v>13.28</v>
      </c>
      <c r="RUS1914" s="115">
        <v>19.489999999999998</v>
      </c>
      <c r="RUT1914" s="56">
        <v>18.98</v>
      </c>
      <c r="RUU1914" s="56">
        <v>17.5</v>
      </c>
      <c r="RUV1914" s="62">
        <v>13.28</v>
      </c>
      <c r="RUW1914" s="115">
        <v>19.489999999999998</v>
      </c>
      <c r="RUX1914" s="56">
        <v>18.98</v>
      </c>
      <c r="RUY1914" s="56">
        <v>17.5</v>
      </c>
      <c r="RUZ1914" s="62">
        <v>13.28</v>
      </c>
      <c r="RVA1914" s="115">
        <v>19.489999999999998</v>
      </c>
      <c r="RVB1914" s="56">
        <v>18.98</v>
      </c>
      <c r="RVC1914" s="56">
        <v>17.5</v>
      </c>
      <c r="RVD1914" s="62">
        <v>13.28</v>
      </c>
      <c r="RVE1914" s="115">
        <v>19.489999999999998</v>
      </c>
      <c r="RVF1914" s="56">
        <v>18.98</v>
      </c>
      <c r="RVG1914" s="56">
        <v>17.5</v>
      </c>
      <c r="RVH1914" s="62">
        <v>13.28</v>
      </c>
      <c r="RVI1914" s="115">
        <v>19.489999999999998</v>
      </c>
      <c r="RVJ1914" s="56">
        <v>18.98</v>
      </c>
      <c r="RVK1914" s="56">
        <v>17.5</v>
      </c>
      <c r="RVL1914" s="62">
        <v>13.28</v>
      </c>
      <c r="RVM1914" s="115">
        <v>19.489999999999998</v>
      </c>
      <c r="RVN1914" s="56">
        <v>18.98</v>
      </c>
      <c r="RVO1914" s="56">
        <v>17.5</v>
      </c>
      <c r="RVP1914" s="62">
        <v>13.28</v>
      </c>
      <c r="RVQ1914" s="115">
        <v>19.489999999999998</v>
      </c>
      <c r="RVR1914" s="56">
        <v>18.98</v>
      </c>
      <c r="RVS1914" s="56">
        <v>17.5</v>
      </c>
      <c r="RVT1914" s="62">
        <v>13.28</v>
      </c>
      <c r="RVU1914" s="115">
        <v>19.489999999999998</v>
      </c>
      <c r="RVV1914" s="56">
        <v>18.98</v>
      </c>
      <c r="RVW1914" s="56">
        <v>17.5</v>
      </c>
      <c r="RVX1914" s="62">
        <v>13.28</v>
      </c>
      <c r="RVY1914" s="115">
        <v>19.489999999999998</v>
      </c>
      <c r="RVZ1914" s="56">
        <v>18.98</v>
      </c>
      <c r="RWA1914" s="56">
        <v>17.5</v>
      </c>
      <c r="RWB1914" s="62">
        <v>13.28</v>
      </c>
      <c r="RWC1914" s="115">
        <v>19.489999999999998</v>
      </c>
      <c r="RWD1914" s="56">
        <v>18.98</v>
      </c>
      <c r="RWE1914" s="56">
        <v>17.5</v>
      </c>
      <c r="RWF1914" s="62">
        <v>13.28</v>
      </c>
      <c r="RWG1914" s="115">
        <v>19.489999999999998</v>
      </c>
      <c r="RWH1914" s="56">
        <v>18.98</v>
      </c>
      <c r="RWI1914" s="56">
        <v>17.5</v>
      </c>
      <c r="RWJ1914" s="62">
        <v>13.28</v>
      </c>
      <c r="RWK1914" s="115">
        <v>19.489999999999998</v>
      </c>
      <c r="RWL1914" s="56">
        <v>18.98</v>
      </c>
      <c r="RWM1914" s="56">
        <v>17.5</v>
      </c>
      <c r="RWN1914" s="62">
        <v>13.28</v>
      </c>
      <c r="RWO1914" s="115">
        <v>19.489999999999998</v>
      </c>
      <c r="RWP1914" s="56">
        <v>18.98</v>
      </c>
      <c r="RWQ1914" s="56">
        <v>17.5</v>
      </c>
      <c r="RWR1914" s="62">
        <v>13.28</v>
      </c>
      <c r="RWS1914" s="115">
        <v>19.489999999999998</v>
      </c>
      <c r="RWT1914" s="56">
        <v>18.98</v>
      </c>
      <c r="RWU1914" s="56">
        <v>17.5</v>
      </c>
      <c r="RWV1914" s="62">
        <v>13.28</v>
      </c>
      <c r="RWW1914" s="115">
        <v>19.489999999999998</v>
      </c>
      <c r="RWX1914" s="56">
        <v>18.98</v>
      </c>
      <c r="RWY1914" s="56">
        <v>17.5</v>
      </c>
      <c r="RWZ1914" s="62">
        <v>13.28</v>
      </c>
      <c r="RXA1914" s="115">
        <v>19.489999999999998</v>
      </c>
      <c r="RXB1914" s="56">
        <v>18.98</v>
      </c>
      <c r="RXC1914" s="56">
        <v>17.5</v>
      </c>
      <c r="RXD1914" s="62">
        <v>13.28</v>
      </c>
      <c r="RXE1914" s="115">
        <v>19.489999999999998</v>
      </c>
      <c r="RXF1914" s="56">
        <v>18.98</v>
      </c>
      <c r="RXG1914" s="56">
        <v>17.5</v>
      </c>
      <c r="RXH1914" s="62">
        <v>13.28</v>
      </c>
      <c r="RXI1914" s="115">
        <v>19.489999999999998</v>
      </c>
      <c r="RXJ1914" s="56">
        <v>18.98</v>
      </c>
      <c r="RXK1914" s="56">
        <v>17.5</v>
      </c>
      <c r="RXL1914" s="62">
        <v>13.28</v>
      </c>
      <c r="RXM1914" s="115">
        <v>19.489999999999998</v>
      </c>
      <c r="RXN1914" s="56">
        <v>18.98</v>
      </c>
      <c r="RXO1914" s="56">
        <v>17.5</v>
      </c>
      <c r="RXP1914" s="62">
        <v>13.28</v>
      </c>
      <c r="RXQ1914" s="115">
        <v>19.489999999999998</v>
      </c>
      <c r="RXR1914" s="56">
        <v>18.98</v>
      </c>
      <c r="RXS1914" s="56">
        <v>17.5</v>
      </c>
      <c r="RXT1914" s="62">
        <v>13.28</v>
      </c>
      <c r="RXU1914" s="115">
        <v>19.489999999999998</v>
      </c>
      <c r="RXV1914" s="56">
        <v>18.98</v>
      </c>
      <c r="RXW1914" s="56">
        <v>17.5</v>
      </c>
      <c r="RXX1914" s="62">
        <v>13.28</v>
      </c>
      <c r="RXY1914" s="115">
        <v>19.489999999999998</v>
      </c>
      <c r="RXZ1914" s="56">
        <v>18.98</v>
      </c>
      <c r="RYA1914" s="56">
        <v>17.5</v>
      </c>
      <c r="RYB1914" s="62">
        <v>13.28</v>
      </c>
      <c r="RYC1914" s="115">
        <v>19.489999999999998</v>
      </c>
      <c r="RYD1914" s="56">
        <v>18.98</v>
      </c>
      <c r="RYE1914" s="56">
        <v>17.5</v>
      </c>
      <c r="RYF1914" s="62">
        <v>13.28</v>
      </c>
      <c r="RYG1914" s="115">
        <v>19.489999999999998</v>
      </c>
      <c r="RYH1914" s="56">
        <v>18.98</v>
      </c>
      <c r="RYI1914" s="56">
        <v>17.5</v>
      </c>
      <c r="RYJ1914" s="62">
        <v>13.28</v>
      </c>
      <c r="RYK1914" s="115">
        <v>19.489999999999998</v>
      </c>
      <c r="RYL1914" s="56">
        <v>18.98</v>
      </c>
      <c r="RYM1914" s="56">
        <v>17.5</v>
      </c>
      <c r="RYN1914" s="62">
        <v>13.28</v>
      </c>
      <c r="RYO1914" s="115">
        <v>19.489999999999998</v>
      </c>
      <c r="RYP1914" s="56">
        <v>18.98</v>
      </c>
      <c r="RYQ1914" s="56">
        <v>17.5</v>
      </c>
      <c r="RYR1914" s="62">
        <v>13.28</v>
      </c>
      <c r="RYS1914" s="115">
        <v>19.489999999999998</v>
      </c>
      <c r="RYT1914" s="56">
        <v>18.98</v>
      </c>
      <c r="RYU1914" s="56">
        <v>17.5</v>
      </c>
      <c r="RYV1914" s="62">
        <v>13.28</v>
      </c>
      <c r="RYW1914" s="115">
        <v>19.489999999999998</v>
      </c>
      <c r="RYX1914" s="56">
        <v>18.98</v>
      </c>
      <c r="RYY1914" s="56">
        <v>17.5</v>
      </c>
      <c r="RYZ1914" s="62">
        <v>13.28</v>
      </c>
      <c r="RZA1914" s="115">
        <v>19.489999999999998</v>
      </c>
      <c r="RZB1914" s="56">
        <v>18.98</v>
      </c>
      <c r="RZC1914" s="56">
        <v>17.5</v>
      </c>
      <c r="RZD1914" s="62">
        <v>13.28</v>
      </c>
      <c r="RZE1914" s="115">
        <v>19.489999999999998</v>
      </c>
      <c r="RZF1914" s="56">
        <v>18.98</v>
      </c>
      <c r="RZG1914" s="56">
        <v>17.5</v>
      </c>
      <c r="RZH1914" s="62">
        <v>13.28</v>
      </c>
      <c r="RZI1914" s="115">
        <v>19.489999999999998</v>
      </c>
      <c r="RZJ1914" s="56">
        <v>18.98</v>
      </c>
      <c r="RZK1914" s="56">
        <v>17.5</v>
      </c>
      <c r="RZL1914" s="62">
        <v>13.28</v>
      </c>
      <c r="RZM1914" s="115">
        <v>19.489999999999998</v>
      </c>
      <c r="RZN1914" s="56">
        <v>18.98</v>
      </c>
      <c r="RZO1914" s="56">
        <v>17.5</v>
      </c>
      <c r="RZP1914" s="62">
        <v>13.28</v>
      </c>
      <c r="RZQ1914" s="115">
        <v>19.489999999999998</v>
      </c>
      <c r="RZR1914" s="56">
        <v>18.98</v>
      </c>
      <c r="RZS1914" s="56">
        <v>17.5</v>
      </c>
      <c r="RZT1914" s="62">
        <v>13.28</v>
      </c>
      <c r="RZU1914" s="115">
        <v>19.489999999999998</v>
      </c>
      <c r="RZV1914" s="56">
        <v>18.98</v>
      </c>
      <c r="RZW1914" s="56">
        <v>17.5</v>
      </c>
      <c r="RZX1914" s="62">
        <v>13.28</v>
      </c>
      <c r="RZY1914" s="115">
        <v>19.489999999999998</v>
      </c>
      <c r="RZZ1914" s="56">
        <v>18.98</v>
      </c>
      <c r="SAA1914" s="56">
        <v>17.5</v>
      </c>
      <c r="SAB1914" s="62">
        <v>13.28</v>
      </c>
      <c r="SAC1914" s="115">
        <v>19.489999999999998</v>
      </c>
      <c r="SAD1914" s="56">
        <v>18.98</v>
      </c>
      <c r="SAE1914" s="56">
        <v>17.5</v>
      </c>
      <c r="SAF1914" s="62">
        <v>13.28</v>
      </c>
      <c r="SAG1914" s="115">
        <v>19.489999999999998</v>
      </c>
      <c r="SAH1914" s="56">
        <v>18.98</v>
      </c>
      <c r="SAI1914" s="56">
        <v>17.5</v>
      </c>
      <c r="SAJ1914" s="62">
        <v>13.28</v>
      </c>
      <c r="SAK1914" s="115">
        <v>19.489999999999998</v>
      </c>
      <c r="SAL1914" s="56">
        <v>18.98</v>
      </c>
      <c r="SAM1914" s="56">
        <v>17.5</v>
      </c>
      <c r="SAN1914" s="62">
        <v>13.28</v>
      </c>
      <c r="SAO1914" s="115">
        <v>19.489999999999998</v>
      </c>
      <c r="SAP1914" s="56">
        <v>18.98</v>
      </c>
      <c r="SAQ1914" s="56">
        <v>17.5</v>
      </c>
      <c r="SAR1914" s="62">
        <v>13.28</v>
      </c>
      <c r="SAS1914" s="115">
        <v>19.489999999999998</v>
      </c>
      <c r="SAT1914" s="56">
        <v>18.98</v>
      </c>
      <c r="SAU1914" s="56">
        <v>17.5</v>
      </c>
      <c r="SAV1914" s="62">
        <v>13.28</v>
      </c>
      <c r="SAW1914" s="115">
        <v>19.489999999999998</v>
      </c>
      <c r="SAX1914" s="56">
        <v>18.98</v>
      </c>
      <c r="SAY1914" s="56">
        <v>17.5</v>
      </c>
      <c r="SAZ1914" s="62">
        <v>13.28</v>
      </c>
      <c r="SBA1914" s="115">
        <v>19.489999999999998</v>
      </c>
      <c r="SBB1914" s="56">
        <v>18.98</v>
      </c>
      <c r="SBC1914" s="56">
        <v>17.5</v>
      </c>
      <c r="SBD1914" s="62">
        <v>13.28</v>
      </c>
      <c r="SBE1914" s="115">
        <v>19.489999999999998</v>
      </c>
      <c r="SBF1914" s="56">
        <v>18.98</v>
      </c>
      <c r="SBG1914" s="56">
        <v>17.5</v>
      </c>
      <c r="SBH1914" s="62">
        <v>13.28</v>
      </c>
      <c r="SBI1914" s="115">
        <v>19.489999999999998</v>
      </c>
      <c r="SBJ1914" s="56">
        <v>18.98</v>
      </c>
      <c r="SBK1914" s="56">
        <v>17.5</v>
      </c>
      <c r="SBL1914" s="62">
        <v>13.28</v>
      </c>
      <c r="SBM1914" s="115">
        <v>19.489999999999998</v>
      </c>
      <c r="SBN1914" s="56">
        <v>18.98</v>
      </c>
      <c r="SBO1914" s="56">
        <v>17.5</v>
      </c>
      <c r="SBP1914" s="62">
        <v>13.28</v>
      </c>
      <c r="SBQ1914" s="115">
        <v>19.489999999999998</v>
      </c>
      <c r="SBR1914" s="56">
        <v>18.98</v>
      </c>
      <c r="SBS1914" s="56">
        <v>17.5</v>
      </c>
      <c r="SBT1914" s="62">
        <v>13.28</v>
      </c>
      <c r="SBU1914" s="115">
        <v>19.489999999999998</v>
      </c>
      <c r="SBV1914" s="56">
        <v>18.98</v>
      </c>
      <c r="SBW1914" s="56">
        <v>17.5</v>
      </c>
      <c r="SBX1914" s="62">
        <v>13.28</v>
      </c>
      <c r="SBY1914" s="115">
        <v>19.489999999999998</v>
      </c>
      <c r="SBZ1914" s="56">
        <v>18.98</v>
      </c>
      <c r="SCA1914" s="56">
        <v>17.5</v>
      </c>
      <c r="SCB1914" s="62">
        <v>13.28</v>
      </c>
      <c r="SCC1914" s="115">
        <v>19.489999999999998</v>
      </c>
      <c r="SCD1914" s="56">
        <v>18.98</v>
      </c>
      <c r="SCE1914" s="56">
        <v>17.5</v>
      </c>
      <c r="SCF1914" s="62">
        <v>13.28</v>
      </c>
      <c r="SCG1914" s="115">
        <v>19.489999999999998</v>
      </c>
      <c r="SCH1914" s="56">
        <v>18.98</v>
      </c>
      <c r="SCI1914" s="56">
        <v>17.5</v>
      </c>
      <c r="SCJ1914" s="62">
        <v>13.28</v>
      </c>
      <c r="SCK1914" s="115">
        <v>19.489999999999998</v>
      </c>
      <c r="SCL1914" s="56">
        <v>18.98</v>
      </c>
      <c r="SCM1914" s="56">
        <v>17.5</v>
      </c>
      <c r="SCN1914" s="62">
        <v>13.28</v>
      </c>
      <c r="SCO1914" s="115">
        <v>19.489999999999998</v>
      </c>
      <c r="SCP1914" s="56">
        <v>18.98</v>
      </c>
      <c r="SCQ1914" s="56">
        <v>17.5</v>
      </c>
      <c r="SCR1914" s="62">
        <v>13.28</v>
      </c>
      <c r="SCS1914" s="115">
        <v>19.489999999999998</v>
      </c>
      <c r="SCT1914" s="56">
        <v>18.98</v>
      </c>
      <c r="SCU1914" s="56">
        <v>17.5</v>
      </c>
      <c r="SCV1914" s="62">
        <v>13.28</v>
      </c>
      <c r="SCW1914" s="115">
        <v>19.489999999999998</v>
      </c>
      <c r="SCX1914" s="56">
        <v>18.98</v>
      </c>
      <c r="SCY1914" s="56">
        <v>17.5</v>
      </c>
      <c r="SCZ1914" s="62">
        <v>13.28</v>
      </c>
      <c r="SDA1914" s="115">
        <v>19.489999999999998</v>
      </c>
      <c r="SDB1914" s="56">
        <v>18.98</v>
      </c>
      <c r="SDC1914" s="56">
        <v>17.5</v>
      </c>
      <c r="SDD1914" s="62">
        <v>13.28</v>
      </c>
      <c r="SDE1914" s="115">
        <v>19.489999999999998</v>
      </c>
      <c r="SDF1914" s="56">
        <v>18.98</v>
      </c>
      <c r="SDG1914" s="56">
        <v>17.5</v>
      </c>
      <c r="SDH1914" s="62">
        <v>13.28</v>
      </c>
      <c r="SDI1914" s="115">
        <v>19.489999999999998</v>
      </c>
      <c r="SDJ1914" s="56">
        <v>18.98</v>
      </c>
      <c r="SDK1914" s="56">
        <v>17.5</v>
      </c>
      <c r="SDL1914" s="62">
        <v>13.28</v>
      </c>
      <c r="SDM1914" s="115">
        <v>19.489999999999998</v>
      </c>
      <c r="SDN1914" s="56">
        <v>18.98</v>
      </c>
      <c r="SDO1914" s="56">
        <v>17.5</v>
      </c>
      <c r="SDP1914" s="62">
        <v>13.28</v>
      </c>
      <c r="SDQ1914" s="115">
        <v>19.489999999999998</v>
      </c>
      <c r="SDR1914" s="56">
        <v>18.98</v>
      </c>
      <c r="SDS1914" s="56">
        <v>17.5</v>
      </c>
      <c r="SDT1914" s="62">
        <v>13.28</v>
      </c>
      <c r="SDU1914" s="115">
        <v>19.489999999999998</v>
      </c>
      <c r="SDV1914" s="56">
        <v>18.98</v>
      </c>
      <c r="SDW1914" s="56">
        <v>17.5</v>
      </c>
      <c r="SDX1914" s="62">
        <v>13.28</v>
      </c>
      <c r="SDY1914" s="115">
        <v>19.489999999999998</v>
      </c>
      <c r="SDZ1914" s="56">
        <v>18.98</v>
      </c>
      <c r="SEA1914" s="56">
        <v>17.5</v>
      </c>
      <c r="SEB1914" s="62">
        <v>13.28</v>
      </c>
      <c r="SEC1914" s="115">
        <v>19.489999999999998</v>
      </c>
      <c r="SED1914" s="56">
        <v>18.98</v>
      </c>
      <c r="SEE1914" s="56">
        <v>17.5</v>
      </c>
      <c r="SEF1914" s="62">
        <v>13.28</v>
      </c>
      <c r="SEG1914" s="115">
        <v>19.489999999999998</v>
      </c>
      <c r="SEH1914" s="56">
        <v>18.98</v>
      </c>
      <c r="SEI1914" s="56">
        <v>17.5</v>
      </c>
      <c r="SEJ1914" s="62">
        <v>13.28</v>
      </c>
      <c r="SEK1914" s="115">
        <v>19.489999999999998</v>
      </c>
      <c r="SEL1914" s="56">
        <v>18.98</v>
      </c>
      <c r="SEM1914" s="56">
        <v>17.5</v>
      </c>
      <c r="SEN1914" s="62">
        <v>13.28</v>
      </c>
      <c r="SEO1914" s="115">
        <v>19.489999999999998</v>
      </c>
      <c r="SEP1914" s="56">
        <v>18.98</v>
      </c>
      <c r="SEQ1914" s="56">
        <v>17.5</v>
      </c>
      <c r="SER1914" s="62">
        <v>13.28</v>
      </c>
      <c r="SES1914" s="115">
        <v>19.489999999999998</v>
      </c>
      <c r="SET1914" s="56">
        <v>18.98</v>
      </c>
      <c r="SEU1914" s="56">
        <v>17.5</v>
      </c>
      <c r="SEV1914" s="62">
        <v>13.28</v>
      </c>
      <c r="SEW1914" s="115">
        <v>19.489999999999998</v>
      </c>
      <c r="SEX1914" s="56">
        <v>18.98</v>
      </c>
      <c r="SEY1914" s="56">
        <v>17.5</v>
      </c>
      <c r="SEZ1914" s="62">
        <v>13.28</v>
      </c>
      <c r="SFA1914" s="115">
        <v>19.489999999999998</v>
      </c>
      <c r="SFB1914" s="56">
        <v>18.98</v>
      </c>
      <c r="SFC1914" s="56">
        <v>17.5</v>
      </c>
      <c r="SFD1914" s="62">
        <v>13.28</v>
      </c>
      <c r="SFE1914" s="115">
        <v>19.489999999999998</v>
      </c>
      <c r="SFF1914" s="56">
        <v>18.98</v>
      </c>
      <c r="SFG1914" s="56">
        <v>17.5</v>
      </c>
      <c r="SFH1914" s="62">
        <v>13.28</v>
      </c>
      <c r="SFI1914" s="115">
        <v>19.489999999999998</v>
      </c>
      <c r="SFJ1914" s="56">
        <v>18.98</v>
      </c>
      <c r="SFK1914" s="56">
        <v>17.5</v>
      </c>
      <c r="SFL1914" s="62">
        <v>13.28</v>
      </c>
      <c r="SFM1914" s="115">
        <v>19.489999999999998</v>
      </c>
      <c r="SFN1914" s="56">
        <v>18.98</v>
      </c>
      <c r="SFO1914" s="56">
        <v>17.5</v>
      </c>
      <c r="SFP1914" s="62">
        <v>13.28</v>
      </c>
      <c r="SFQ1914" s="115">
        <v>19.489999999999998</v>
      </c>
      <c r="SFR1914" s="56">
        <v>18.98</v>
      </c>
      <c r="SFS1914" s="56">
        <v>17.5</v>
      </c>
      <c r="SFT1914" s="62">
        <v>13.28</v>
      </c>
      <c r="SFU1914" s="115">
        <v>19.489999999999998</v>
      </c>
      <c r="SFV1914" s="56">
        <v>18.98</v>
      </c>
      <c r="SFW1914" s="56">
        <v>17.5</v>
      </c>
      <c r="SFX1914" s="62">
        <v>13.28</v>
      </c>
      <c r="SFY1914" s="115">
        <v>19.489999999999998</v>
      </c>
      <c r="SFZ1914" s="56">
        <v>18.98</v>
      </c>
      <c r="SGA1914" s="56">
        <v>17.5</v>
      </c>
      <c r="SGB1914" s="62">
        <v>13.28</v>
      </c>
      <c r="SGC1914" s="115">
        <v>19.489999999999998</v>
      </c>
      <c r="SGD1914" s="56">
        <v>18.98</v>
      </c>
      <c r="SGE1914" s="56">
        <v>17.5</v>
      </c>
      <c r="SGF1914" s="62">
        <v>13.28</v>
      </c>
      <c r="SGG1914" s="115">
        <v>19.489999999999998</v>
      </c>
      <c r="SGH1914" s="56">
        <v>18.98</v>
      </c>
      <c r="SGI1914" s="56">
        <v>17.5</v>
      </c>
      <c r="SGJ1914" s="62">
        <v>13.28</v>
      </c>
      <c r="SGK1914" s="115">
        <v>19.489999999999998</v>
      </c>
      <c r="SGL1914" s="56">
        <v>18.98</v>
      </c>
      <c r="SGM1914" s="56">
        <v>17.5</v>
      </c>
      <c r="SGN1914" s="62">
        <v>13.28</v>
      </c>
      <c r="SGO1914" s="115">
        <v>19.489999999999998</v>
      </c>
      <c r="SGP1914" s="56">
        <v>18.98</v>
      </c>
      <c r="SGQ1914" s="56">
        <v>17.5</v>
      </c>
      <c r="SGR1914" s="62">
        <v>13.28</v>
      </c>
      <c r="SGS1914" s="115">
        <v>19.489999999999998</v>
      </c>
      <c r="SGT1914" s="56">
        <v>18.98</v>
      </c>
      <c r="SGU1914" s="56">
        <v>17.5</v>
      </c>
      <c r="SGV1914" s="62">
        <v>13.28</v>
      </c>
      <c r="SGW1914" s="115">
        <v>19.489999999999998</v>
      </c>
      <c r="SGX1914" s="56">
        <v>18.98</v>
      </c>
      <c r="SGY1914" s="56">
        <v>17.5</v>
      </c>
      <c r="SGZ1914" s="62">
        <v>13.28</v>
      </c>
      <c r="SHA1914" s="115">
        <v>19.489999999999998</v>
      </c>
      <c r="SHB1914" s="56">
        <v>18.98</v>
      </c>
      <c r="SHC1914" s="56">
        <v>17.5</v>
      </c>
      <c r="SHD1914" s="62">
        <v>13.28</v>
      </c>
      <c r="SHE1914" s="115">
        <v>19.489999999999998</v>
      </c>
      <c r="SHF1914" s="56">
        <v>18.98</v>
      </c>
      <c r="SHG1914" s="56">
        <v>17.5</v>
      </c>
      <c r="SHH1914" s="62">
        <v>13.28</v>
      </c>
      <c r="SHI1914" s="115">
        <v>19.489999999999998</v>
      </c>
      <c r="SHJ1914" s="56">
        <v>18.98</v>
      </c>
      <c r="SHK1914" s="56">
        <v>17.5</v>
      </c>
      <c r="SHL1914" s="62">
        <v>13.28</v>
      </c>
      <c r="SHM1914" s="115">
        <v>19.489999999999998</v>
      </c>
      <c r="SHN1914" s="56">
        <v>18.98</v>
      </c>
      <c r="SHO1914" s="56">
        <v>17.5</v>
      </c>
      <c r="SHP1914" s="62">
        <v>13.28</v>
      </c>
      <c r="SHQ1914" s="115">
        <v>19.489999999999998</v>
      </c>
      <c r="SHR1914" s="56">
        <v>18.98</v>
      </c>
      <c r="SHS1914" s="56">
        <v>17.5</v>
      </c>
      <c r="SHT1914" s="62">
        <v>13.28</v>
      </c>
      <c r="SHU1914" s="115">
        <v>19.489999999999998</v>
      </c>
      <c r="SHV1914" s="56">
        <v>18.98</v>
      </c>
      <c r="SHW1914" s="56">
        <v>17.5</v>
      </c>
      <c r="SHX1914" s="62">
        <v>13.28</v>
      </c>
      <c r="SHY1914" s="115">
        <v>19.489999999999998</v>
      </c>
      <c r="SHZ1914" s="56">
        <v>18.98</v>
      </c>
      <c r="SIA1914" s="56">
        <v>17.5</v>
      </c>
      <c r="SIB1914" s="62">
        <v>13.28</v>
      </c>
      <c r="SIC1914" s="115">
        <v>19.489999999999998</v>
      </c>
      <c r="SID1914" s="56">
        <v>18.98</v>
      </c>
      <c r="SIE1914" s="56">
        <v>17.5</v>
      </c>
      <c r="SIF1914" s="62">
        <v>13.28</v>
      </c>
      <c r="SIG1914" s="115">
        <v>19.489999999999998</v>
      </c>
      <c r="SIH1914" s="56">
        <v>18.98</v>
      </c>
      <c r="SII1914" s="56">
        <v>17.5</v>
      </c>
      <c r="SIJ1914" s="62">
        <v>13.28</v>
      </c>
      <c r="SIK1914" s="115">
        <v>19.489999999999998</v>
      </c>
      <c r="SIL1914" s="56">
        <v>18.98</v>
      </c>
      <c r="SIM1914" s="56">
        <v>17.5</v>
      </c>
      <c r="SIN1914" s="62">
        <v>13.28</v>
      </c>
      <c r="SIO1914" s="115">
        <v>19.489999999999998</v>
      </c>
      <c r="SIP1914" s="56">
        <v>18.98</v>
      </c>
      <c r="SIQ1914" s="56">
        <v>17.5</v>
      </c>
      <c r="SIR1914" s="62">
        <v>13.28</v>
      </c>
      <c r="SIS1914" s="115">
        <v>19.489999999999998</v>
      </c>
      <c r="SIT1914" s="56">
        <v>18.98</v>
      </c>
      <c r="SIU1914" s="56">
        <v>17.5</v>
      </c>
      <c r="SIV1914" s="62">
        <v>13.28</v>
      </c>
      <c r="SIW1914" s="115">
        <v>19.489999999999998</v>
      </c>
      <c r="SIX1914" s="56">
        <v>18.98</v>
      </c>
      <c r="SIY1914" s="56">
        <v>17.5</v>
      </c>
      <c r="SIZ1914" s="62">
        <v>13.28</v>
      </c>
      <c r="SJA1914" s="115">
        <v>19.489999999999998</v>
      </c>
      <c r="SJB1914" s="56">
        <v>18.98</v>
      </c>
      <c r="SJC1914" s="56">
        <v>17.5</v>
      </c>
      <c r="SJD1914" s="62">
        <v>13.28</v>
      </c>
      <c r="SJE1914" s="115">
        <v>19.489999999999998</v>
      </c>
      <c r="SJF1914" s="56">
        <v>18.98</v>
      </c>
      <c r="SJG1914" s="56">
        <v>17.5</v>
      </c>
      <c r="SJH1914" s="62">
        <v>13.28</v>
      </c>
      <c r="SJI1914" s="115">
        <v>19.489999999999998</v>
      </c>
      <c r="SJJ1914" s="56">
        <v>18.98</v>
      </c>
      <c r="SJK1914" s="56">
        <v>17.5</v>
      </c>
      <c r="SJL1914" s="62">
        <v>13.28</v>
      </c>
      <c r="SJM1914" s="115">
        <v>19.489999999999998</v>
      </c>
      <c r="SJN1914" s="56">
        <v>18.98</v>
      </c>
      <c r="SJO1914" s="56">
        <v>17.5</v>
      </c>
      <c r="SJP1914" s="62">
        <v>13.28</v>
      </c>
      <c r="SJQ1914" s="115">
        <v>19.489999999999998</v>
      </c>
      <c r="SJR1914" s="56">
        <v>18.98</v>
      </c>
      <c r="SJS1914" s="56">
        <v>17.5</v>
      </c>
      <c r="SJT1914" s="62">
        <v>13.28</v>
      </c>
      <c r="SJU1914" s="115">
        <v>19.489999999999998</v>
      </c>
      <c r="SJV1914" s="56">
        <v>18.98</v>
      </c>
      <c r="SJW1914" s="56">
        <v>17.5</v>
      </c>
      <c r="SJX1914" s="62">
        <v>13.28</v>
      </c>
      <c r="SJY1914" s="115">
        <v>19.489999999999998</v>
      </c>
      <c r="SJZ1914" s="56">
        <v>18.98</v>
      </c>
      <c r="SKA1914" s="56">
        <v>17.5</v>
      </c>
      <c r="SKB1914" s="62">
        <v>13.28</v>
      </c>
      <c r="SKC1914" s="115">
        <v>19.489999999999998</v>
      </c>
      <c r="SKD1914" s="56">
        <v>18.98</v>
      </c>
      <c r="SKE1914" s="56">
        <v>17.5</v>
      </c>
      <c r="SKF1914" s="62">
        <v>13.28</v>
      </c>
      <c r="SKG1914" s="115">
        <v>19.489999999999998</v>
      </c>
      <c r="SKH1914" s="56">
        <v>18.98</v>
      </c>
      <c r="SKI1914" s="56">
        <v>17.5</v>
      </c>
      <c r="SKJ1914" s="62">
        <v>13.28</v>
      </c>
      <c r="SKK1914" s="115">
        <v>19.489999999999998</v>
      </c>
      <c r="SKL1914" s="56">
        <v>18.98</v>
      </c>
      <c r="SKM1914" s="56">
        <v>17.5</v>
      </c>
      <c r="SKN1914" s="62">
        <v>13.28</v>
      </c>
      <c r="SKO1914" s="115">
        <v>19.489999999999998</v>
      </c>
      <c r="SKP1914" s="56">
        <v>18.98</v>
      </c>
      <c r="SKQ1914" s="56">
        <v>17.5</v>
      </c>
      <c r="SKR1914" s="62">
        <v>13.28</v>
      </c>
      <c r="SKS1914" s="115">
        <v>19.489999999999998</v>
      </c>
      <c r="SKT1914" s="56">
        <v>18.98</v>
      </c>
      <c r="SKU1914" s="56">
        <v>17.5</v>
      </c>
      <c r="SKV1914" s="62">
        <v>13.28</v>
      </c>
      <c r="SKW1914" s="115">
        <v>19.489999999999998</v>
      </c>
      <c r="SKX1914" s="56">
        <v>18.98</v>
      </c>
      <c r="SKY1914" s="56">
        <v>17.5</v>
      </c>
      <c r="SKZ1914" s="62">
        <v>13.28</v>
      </c>
      <c r="SLA1914" s="115">
        <v>19.489999999999998</v>
      </c>
      <c r="SLB1914" s="56">
        <v>18.98</v>
      </c>
      <c r="SLC1914" s="56">
        <v>17.5</v>
      </c>
      <c r="SLD1914" s="62">
        <v>13.28</v>
      </c>
      <c r="SLE1914" s="115">
        <v>19.489999999999998</v>
      </c>
      <c r="SLF1914" s="56">
        <v>18.98</v>
      </c>
      <c r="SLG1914" s="56">
        <v>17.5</v>
      </c>
      <c r="SLH1914" s="62">
        <v>13.28</v>
      </c>
      <c r="SLI1914" s="115">
        <v>19.489999999999998</v>
      </c>
      <c r="SLJ1914" s="56">
        <v>18.98</v>
      </c>
      <c r="SLK1914" s="56">
        <v>17.5</v>
      </c>
      <c r="SLL1914" s="62">
        <v>13.28</v>
      </c>
      <c r="SLM1914" s="115">
        <v>19.489999999999998</v>
      </c>
      <c r="SLN1914" s="56">
        <v>18.98</v>
      </c>
      <c r="SLO1914" s="56">
        <v>17.5</v>
      </c>
      <c r="SLP1914" s="62">
        <v>13.28</v>
      </c>
      <c r="SLQ1914" s="115">
        <v>19.489999999999998</v>
      </c>
      <c r="SLR1914" s="56">
        <v>18.98</v>
      </c>
      <c r="SLS1914" s="56">
        <v>17.5</v>
      </c>
      <c r="SLT1914" s="62">
        <v>13.28</v>
      </c>
      <c r="SLU1914" s="115">
        <v>19.489999999999998</v>
      </c>
      <c r="SLV1914" s="56">
        <v>18.98</v>
      </c>
      <c r="SLW1914" s="56">
        <v>17.5</v>
      </c>
      <c r="SLX1914" s="62">
        <v>13.28</v>
      </c>
      <c r="SLY1914" s="115">
        <v>19.489999999999998</v>
      </c>
      <c r="SLZ1914" s="56">
        <v>18.98</v>
      </c>
      <c r="SMA1914" s="56">
        <v>17.5</v>
      </c>
      <c r="SMB1914" s="62">
        <v>13.28</v>
      </c>
      <c r="SMC1914" s="115">
        <v>19.489999999999998</v>
      </c>
      <c r="SMD1914" s="56">
        <v>18.98</v>
      </c>
      <c r="SME1914" s="56">
        <v>17.5</v>
      </c>
      <c r="SMF1914" s="62">
        <v>13.28</v>
      </c>
      <c r="SMG1914" s="115">
        <v>19.489999999999998</v>
      </c>
      <c r="SMH1914" s="56">
        <v>18.98</v>
      </c>
      <c r="SMI1914" s="56">
        <v>17.5</v>
      </c>
      <c r="SMJ1914" s="62">
        <v>13.28</v>
      </c>
      <c r="SMK1914" s="115">
        <v>19.489999999999998</v>
      </c>
      <c r="SML1914" s="56">
        <v>18.98</v>
      </c>
      <c r="SMM1914" s="56">
        <v>17.5</v>
      </c>
      <c r="SMN1914" s="62">
        <v>13.28</v>
      </c>
      <c r="SMO1914" s="115">
        <v>19.489999999999998</v>
      </c>
      <c r="SMP1914" s="56">
        <v>18.98</v>
      </c>
      <c r="SMQ1914" s="56">
        <v>17.5</v>
      </c>
      <c r="SMR1914" s="62">
        <v>13.28</v>
      </c>
      <c r="SMS1914" s="115">
        <v>19.489999999999998</v>
      </c>
      <c r="SMT1914" s="56">
        <v>18.98</v>
      </c>
      <c r="SMU1914" s="56">
        <v>17.5</v>
      </c>
      <c r="SMV1914" s="62">
        <v>13.28</v>
      </c>
      <c r="SMW1914" s="115">
        <v>19.489999999999998</v>
      </c>
      <c r="SMX1914" s="56">
        <v>18.98</v>
      </c>
      <c r="SMY1914" s="56">
        <v>17.5</v>
      </c>
      <c r="SMZ1914" s="62">
        <v>13.28</v>
      </c>
      <c r="SNA1914" s="115">
        <v>19.489999999999998</v>
      </c>
      <c r="SNB1914" s="56">
        <v>18.98</v>
      </c>
      <c r="SNC1914" s="56">
        <v>17.5</v>
      </c>
      <c r="SND1914" s="62">
        <v>13.28</v>
      </c>
      <c r="SNE1914" s="115">
        <v>19.489999999999998</v>
      </c>
      <c r="SNF1914" s="56">
        <v>18.98</v>
      </c>
      <c r="SNG1914" s="56">
        <v>17.5</v>
      </c>
      <c r="SNH1914" s="62">
        <v>13.28</v>
      </c>
      <c r="SNI1914" s="115">
        <v>19.489999999999998</v>
      </c>
      <c r="SNJ1914" s="56">
        <v>18.98</v>
      </c>
      <c r="SNK1914" s="56">
        <v>17.5</v>
      </c>
      <c r="SNL1914" s="62">
        <v>13.28</v>
      </c>
      <c r="SNM1914" s="115">
        <v>19.489999999999998</v>
      </c>
      <c r="SNN1914" s="56">
        <v>18.98</v>
      </c>
      <c r="SNO1914" s="56">
        <v>17.5</v>
      </c>
      <c r="SNP1914" s="62">
        <v>13.28</v>
      </c>
      <c r="SNQ1914" s="115">
        <v>19.489999999999998</v>
      </c>
      <c r="SNR1914" s="56">
        <v>18.98</v>
      </c>
      <c r="SNS1914" s="56">
        <v>17.5</v>
      </c>
      <c r="SNT1914" s="62">
        <v>13.28</v>
      </c>
      <c r="SNU1914" s="115">
        <v>19.489999999999998</v>
      </c>
      <c r="SNV1914" s="56">
        <v>18.98</v>
      </c>
      <c r="SNW1914" s="56">
        <v>17.5</v>
      </c>
      <c r="SNX1914" s="62">
        <v>13.28</v>
      </c>
      <c r="SNY1914" s="115">
        <v>19.489999999999998</v>
      </c>
      <c r="SNZ1914" s="56">
        <v>18.98</v>
      </c>
      <c r="SOA1914" s="56">
        <v>17.5</v>
      </c>
      <c r="SOB1914" s="62">
        <v>13.28</v>
      </c>
      <c r="SOC1914" s="115">
        <v>19.489999999999998</v>
      </c>
      <c r="SOD1914" s="56">
        <v>18.98</v>
      </c>
      <c r="SOE1914" s="56">
        <v>17.5</v>
      </c>
      <c r="SOF1914" s="62">
        <v>13.28</v>
      </c>
      <c r="SOG1914" s="115">
        <v>19.489999999999998</v>
      </c>
      <c r="SOH1914" s="56">
        <v>18.98</v>
      </c>
      <c r="SOI1914" s="56">
        <v>17.5</v>
      </c>
      <c r="SOJ1914" s="62">
        <v>13.28</v>
      </c>
      <c r="SOK1914" s="115">
        <v>19.489999999999998</v>
      </c>
      <c r="SOL1914" s="56">
        <v>18.98</v>
      </c>
      <c r="SOM1914" s="56">
        <v>17.5</v>
      </c>
      <c r="SON1914" s="62">
        <v>13.28</v>
      </c>
      <c r="SOO1914" s="115">
        <v>19.489999999999998</v>
      </c>
      <c r="SOP1914" s="56">
        <v>18.98</v>
      </c>
      <c r="SOQ1914" s="56">
        <v>17.5</v>
      </c>
      <c r="SOR1914" s="62">
        <v>13.28</v>
      </c>
      <c r="SOS1914" s="115">
        <v>19.489999999999998</v>
      </c>
      <c r="SOT1914" s="56">
        <v>18.98</v>
      </c>
      <c r="SOU1914" s="56">
        <v>17.5</v>
      </c>
      <c r="SOV1914" s="62">
        <v>13.28</v>
      </c>
      <c r="SOW1914" s="115">
        <v>19.489999999999998</v>
      </c>
      <c r="SOX1914" s="56">
        <v>18.98</v>
      </c>
      <c r="SOY1914" s="56">
        <v>17.5</v>
      </c>
      <c r="SOZ1914" s="62">
        <v>13.28</v>
      </c>
      <c r="SPA1914" s="115">
        <v>19.489999999999998</v>
      </c>
      <c r="SPB1914" s="56">
        <v>18.98</v>
      </c>
      <c r="SPC1914" s="56">
        <v>17.5</v>
      </c>
      <c r="SPD1914" s="62">
        <v>13.28</v>
      </c>
      <c r="SPE1914" s="115">
        <v>19.489999999999998</v>
      </c>
      <c r="SPF1914" s="56">
        <v>18.98</v>
      </c>
      <c r="SPG1914" s="56">
        <v>17.5</v>
      </c>
      <c r="SPH1914" s="62">
        <v>13.28</v>
      </c>
      <c r="SPI1914" s="115">
        <v>19.489999999999998</v>
      </c>
      <c r="SPJ1914" s="56">
        <v>18.98</v>
      </c>
      <c r="SPK1914" s="56">
        <v>17.5</v>
      </c>
      <c r="SPL1914" s="62">
        <v>13.28</v>
      </c>
      <c r="SPM1914" s="115">
        <v>19.489999999999998</v>
      </c>
      <c r="SPN1914" s="56">
        <v>18.98</v>
      </c>
      <c r="SPO1914" s="56">
        <v>17.5</v>
      </c>
      <c r="SPP1914" s="62">
        <v>13.28</v>
      </c>
      <c r="SPQ1914" s="115">
        <v>19.489999999999998</v>
      </c>
      <c r="SPR1914" s="56">
        <v>18.98</v>
      </c>
      <c r="SPS1914" s="56">
        <v>17.5</v>
      </c>
      <c r="SPT1914" s="62">
        <v>13.28</v>
      </c>
      <c r="SPU1914" s="115">
        <v>19.489999999999998</v>
      </c>
      <c r="SPV1914" s="56">
        <v>18.98</v>
      </c>
      <c r="SPW1914" s="56">
        <v>17.5</v>
      </c>
      <c r="SPX1914" s="62">
        <v>13.28</v>
      </c>
      <c r="SPY1914" s="115">
        <v>19.489999999999998</v>
      </c>
      <c r="SPZ1914" s="56">
        <v>18.98</v>
      </c>
      <c r="SQA1914" s="56">
        <v>17.5</v>
      </c>
      <c r="SQB1914" s="62">
        <v>13.28</v>
      </c>
      <c r="SQC1914" s="115">
        <v>19.489999999999998</v>
      </c>
      <c r="SQD1914" s="56">
        <v>18.98</v>
      </c>
      <c r="SQE1914" s="56">
        <v>17.5</v>
      </c>
      <c r="SQF1914" s="62">
        <v>13.28</v>
      </c>
      <c r="SQG1914" s="115">
        <v>19.489999999999998</v>
      </c>
      <c r="SQH1914" s="56">
        <v>18.98</v>
      </c>
      <c r="SQI1914" s="56">
        <v>17.5</v>
      </c>
      <c r="SQJ1914" s="62">
        <v>13.28</v>
      </c>
      <c r="SQK1914" s="115">
        <v>19.489999999999998</v>
      </c>
      <c r="SQL1914" s="56">
        <v>18.98</v>
      </c>
      <c r="SQM1914" s="56">
        <v>17.5</v>
      </c>
      <c r="SQN1914" s="62">
        <v>13.28</v>
      </c>
      <c r="SQO1914" s="115">
        <v>19.489999999999998</v>
      </c>
      <c r="SQP1914" s="56">
        <v>18.98</v>
      </c>
      <c r="SQQ1914" s="56">
        <v>17.5</v>
      </c>
      <c r="SQR1914" s="62">
        <v>13.28</v>
      </c>
      <c r="SQS1914" s="115">
        <v>19.489999999999998</v>
      </c>
      <c r="SQT1914" s="56">
        <v>18.98</v>
      </c>
      <c r="SQU1914" s="56">
        <v>17.5</v>
      </c>
      <c r="SQV1914" s="62">
        <v>13.28</v>
      </c>
      <c r="SQW1914" s="115">
        <v>19.489999999999998</v>
      </c>
      <c r="SQX1914" s="56">
        <v>18.98</v>
      </c>
      <c r="SQY1914" s="56">
        <v>17.5</v>
      </c>
      <c r="SQZ1914" s="62">
        <v>13.28</v>
      </c>
      <c r="SRA1914" s="115">
        <v>19.489999999999998</v>
      </c>
      <c r="SRB1914" s="56">
        <v>18.98</v>
      </c>
      <c r="SRC1914" s="56">
        <v>17.5</v>
      </c>
      <c r="SRD1914" s="62">
        <v>13.28</v>
      </c>
      <c r="SRE1914" s="115">
        <v>19.489999999999998</v>
      </c>
      <c r="SRF1914" s="56">
        <v>18.98</v>
      </c>
      <c r="SRG1914" s="56">
        <v>17.5</v>
      </c>
      <c r="SRH1914" s="62">
        <v>13.28</v>
      </c>
      <c r="SRI1914" s="115">
        <v>19.489999999999998</v>
      </c>
      <c r="SRJ1914" s="56">
        <v>18.98</v>
      </c>
      <c r="SRK1914" s="56">
        <v>17.5</v>
      </c>
      <c r="SRL1914" s="62">
        <v>13.28</v>
      </c>
      <c r="SRM1914" s="115">
        <v>19.489999999999998</v>
      </c>
      <c r="SRN1914" s="56">
        <v>18.98</v>
      </c>
      <c r="SRO1914" s="56">
        <v>17.5</v>
      </c>
      <c r="SRP1914" s="62">
        <v>13.28</v>
      </c>
      <c r="SRQ1914" s="115">
        <v>19.489999999999998</v>
      </c>
      <c r="SRR1914" s="56">
        <v>18.98</v>
      </c>
      <c r="SRS1914" s="56">
        <v>17.5</v>
      </c>
      <c r="SRT1914" s="62">
        <v>13.28</v>
      </c>
      <c r="SRU1914" s="115">
        <v>19.489999999999998</v>
      </c>
      <c r="SRV1914" s="56">
        <v>18.98</v>
      </c>
      <c r="SRW1914" s="56">
        <v>17.5</v>
      </c>
      <c r="SRX1914" s="62">
        <v>13.28</v>
      </c>
      <c r="SRY1914" s="115">
        <v>19.489999999999998</v>
      </c>
      <c r="SRZ1914" s="56">
        <v>18.98</v>
      </c>
      <c r="SSA1914" s="56">
        <v>17.5</v>
      </c>
      <c r="SSB1914" s="62">
        <v>13.28</v>
      </c>
      <c r="SSC1914" s="115">
        <v>19.489999999999998</v>
      </c>
      <c r="SSD1914" s="56">
        <v>18.98</v>
      </c>
      <c r="SSE1914" s="56">
        <v>17.5</v>
      </c>
      <c r="SSF1914" s="62">
        <v>13.28</v>
      </c>
      <c r="SSG1914" s="115">
        <v>19.489999999999998</v>
      </c>
      <c r="SSH1914" s="56">
        <v>18.98</v>
      </c>
      <c r="SSI1914" s="56">
        <v>17.5</v>
      </c>
      <c r="SSJ1914" s="62">
        <v>13.28</v>
      </c>
      <c r="SSK1914" s="115">
        <v>19.489999999999998</v>
      </c>
      <c r="SSL1914" s="56">
        <v>18.98</v>
      </c>
      <c r="SSM1914" s="56">
        <v>17.5</v>
      </c>
      <c r="SSN1914" s="62">
        <v>13.28</v>
      </c>
      <c r="SSO1914" s="115">
        <v>19.489999999999998</v>
      </c>
      <c r="SSP1914" s="56">
        <v>18.98</v>
      </c>
      <c r="SSQ1914" s="56">
        <v>17.5</v>
      </c>
      <c r="SSR1914" s="62">
        <v>13.28</v>
      </c>
      <c r="SSS1914" s="115">
        <v>19.489999999999998</v>
      </c>
      <c r="SST1914" s="56">
        <v>18.98</v>
      </c>
      <c r="SSU1914" s="56">
        <v>17.5</v>
      </c>
      <c r="SSV1914" s="62">
        <v>13.28</v>
      </c>
      <c r="SSW1914" s="115">
        <v>19.489999999999998</v>
      </c>
      <c r="SSX1914" s="56">
        <v>18.98</v>
      </c>
      <c r="SSY1914" s="56">
        <v>17.5</v>
      </c>
      <c r="SSZ1914" s="62">
        <v>13.28</v>
      </c>
      <c r="STA1914" s="115">
        <v>19.489999999999998</v>
      </c>
      <c r="STB1914" s="56">
        <v>18.98</v>
      </c>
      <c r="STC1914" s="56">
        <v>17.5</v>
      </c>
      <c r="STD1914" s="62">
        <v>13.28</v>
      </c>
      <c r="STE1914" s="115">
        <v>19.489999999999998</v>
      </c>
      <c r="STF1914" s="56">
        <v>18.98</v>
      </c>
      <c r="STG1914" s="56">
        <v>17.5</v>
      </c>
      <c r="STH1914" s="62">
        <v>13.28</v>
      </c>
      <c r="STI1914" s="115">
        <v>19.489999999999998</v>
      </c>
      <c r="STJ1914" s="56">
        <v>18.98</v>
      </c>
      <c r="STK1914" s="56">
        <v>17.5</v>
      </c>
      <c r="STL1914" s="62">
        <v>13.28</v>
      </c>
      <c r="STM1914" s="115">
        <v>19.489999999999998</v>
      </c>
      <c r="STN1914" s="56">
        <v>18.98</v>
      </c>
      <c r="STO1914" s="56">
        <v>17.5</v>
      </c>
      <c r="STP1914" s="62">
        <v>13.28</v>
      </c>
      <c r="STQ1914" s="115">
        <v>19.489999999999998</v>
      </c>
      <c r="STR1914" s="56">
        <v>18.98</v>
      </c>
      <c r="STS1914" s="56">
        <v>17.5</v>
      </c>
      <c r="STT1914" s="62">
        <v>13.28</v>
      </c>
      <c r="STU1914" s="115">
        <v>19.489999999999998</v>
      </c>
      <c r="STV1914" s="56">
        <v>18.98</v>
      </c>
      <c r="STW1914" s="56">
        <v>17.5</v>
      </c>
      <c r="STX1914" s="62">
        <v>13.28</v>
      </c>
      <c r="STY1914" s="115">
        <v>19.489999999999998</v>
      </c>
      <c r="STZ1914" s="56">
        <v>18.98</v>
      </c>
      <c r="SUA1914" s="56">
        <v>17.5</v>
      </c>
      <c r="SUB1914" s="62">
        <v>13.28</v>
      </c>
      <c r="SUC1914" s="115">
        <v>19.489999999999998</v>
      </c>
      <c r="SUD1914" s="56">
        <v>18.98</v>
      </c>
      <c r="SUE1914" s="56">
        <v>17.5</v>
      </c>
      <c r="SUF1914" s="62">
        <v>13.28</v>
      </c>
      <c r="SUG1914" s="115">
        <v>19.489999999999998</v>
      </c>
      <c r="SUH1914" s="56">
        <v>18.98</v>
      </c>
      <c r="SUI1914" s="56">
        <v>17.5</v>
      </c>
      <c r="SUJ1914" s="62">
        <v>13.28</v>
      </c>
      <c r="SUK1914" s="115">
        <v>19.489999999999998</v>
      </c>
      <c r="SUL1914" s="56">
        <v>18.98</v>
      </c>
      <c r="SUM1914" s="56">
        <v>17.5</v>
      </c>
      <c r="SUN1914" s="62">
        <v>13.28</v>
      </c>
      <c r="SUO1914" s="115">
        <v>19.489999999999998</v>
      </c>
      <c r="SUP1914" s="56">
        <v>18.98</v>
      </c>
      <c r="SUQ1914" s="56">
        <v>17.5</v>
      </c>
      <c r="SUR1914" s="62">
        <v>13.28</v>
      </c>
      <c r="SUS1914" s="115">
        <v>19.489999999999998</v>
      </c>
      <c r="SUT1914" s="56">
        <v>18.98</v>
      </c>
      <c r="SUU1914" s="56">
        <v>17.5</v>
      </c>
      <c r="SUV1914" s="62">
        <v>13.28</v>
      </c>
      <c r="SUW1914" s="115">
        <v>19.489999999999998</v>
      </c>
      <c r="SUX1914" s="56">
        <v>18.98</v>
      </c>
      <c r="SUY1914" s="56">
        <v>17.5</v>
      </c>
      <c r="SUZ1914" s="62">
        <v>13.28</v>
      </c>
      <c r="SVA1914" s="115">
        <v>19.489999999999998</v>
      </c>
      <c r="SVB1914" s="56">
        <v>18.98</v>
      </c>
      <c r="SVC1914" s="56">
        <v>17.5</v>
      </c>
      <c r="SVD1914" s="62">
        <v>13.28</v>
      </c>
      <c r="SVE1914" s="115">
        <v>19.489999999999998</v>
      </c>
      <c r="SVF1914" s="56">
        <v>18.98</v>
      </c>
      <c r="SVG1914" s="56">
        <v>17.5</v>
      </c>
      <c r="SVH1914" s="62">
        <v>13.28</v>
      </c>
      <c r="SVI1914" s="115">
        <v>19.489999999999998</v>
      </c>
      <c r="SVJ1914" s="56">
        <v>18.98</v>
      </c>
      <c r="SVK1914" s="56">
        <v>17.5</v>
      </c>
      <c r="SVL1914" s="62">
        <v>13.28</v>
      </c>
      <c r="SVM1914" s="115">
        <v>19.489999999999998</v>
      </c>
      <c r="SVN1914" s="56">
        <v>18.98</v>
      </c>
      <c r="SVO1914" s="56">
        <v>17.5</v>
      </c>
      <c r="SVP1914" s="62">
        <v>13.28</v>
      </c>
      <c r="SVQ1914" s="115">
        <v>19.489999999999998</v>
      </c>
      <c r="SVR1914" s="56">
        <v>18.98</v>
      </c>
      <c r="SVS1914" s="56">
        <v>17.5</v>
      </c>
      <c r="SVT1914" s="62">
        <v>13.28</v>
      </c>
      <c r="SVU1914" s="115">
        <v>19.489999999999998</v>
      </c>
      <c r="SVV1914" s="56">
        <v>18.98</v>
      </c>
      <c r="SVW1914" s="56">
        <v>17.5</v>
      </c>
      <c r="SVX1914" s="62">
        <v>13.28</v>
      </c>
      <c r="SVY1914" s="115">
        <v>19.489999999999998</v>
      </c>
      <c r="SVZ1914" s="56">
        <v>18.98</v>
      </c>
      <c r="SWA1914" s="56">
        <v>17.5</v>
      </c>
      <c r="SWB1914" s="62">
        <v>13.28</v>
      </c>
      <c r="SWC1914" s="115">
        <v>19.489999999999998</v>
      </c>
      <c r="SWD1914" s="56">
        <v>18.98</v>
      </c>
      <c r="SWE1914" s="56">
        <v>17.5</v>
      </c>
      <c r="SWF1914" s="62">
        <v>13.28</v>
      </c>
      <c r="SWG1914" s="115">
        <v>19.489999999999998</v>
      </c>
      <c r="SWH1914" s="56">
        <v>18.98</v>
      </c>
      <c r="SWI1914" s="56">
        <v>17.5</v>
      </c>
      <c r="SWJ1914" s="62">
        <v>13.28</v>
      </c>
      <c r="SWK1914" s="115">
        <v>19.489999999999998</v>
      </c>
      <c r="SWL1914" s="56">
        <v>18.98</v>
      </c>
      <c r="SWM1914" s="56">
        <v>17.5</v>
      </c>
      <c r="SWN1914" s="62">
        <v>13.28</v>
      </c>
      <c r="SWO1914" s="115">
        <v>19.489999999999998</v>
      </c>
      <c r="SWP1914" s="56">
        <v>18.98</v>
      </c>
      <c r="SWQ1914" s="56">
        <v>17.5</v>
      </c>
      <c r="SWR1914" s="62">
        <v>13.28</v>
      </c>
      <c r="SWS1914" s="115">
        <v>19.489999999999998</v>
      </c>
      <c r="SWT1914" s="56">
        <v>18.98</v>
      </c>
      <c r="SWU1914" s="56">
        <v>17.5</v>
      </c>
      <c r="SWV1914" s="62">
        <v>13.28</v>
      </c>
      <c r="SWW1914" s="115">
        <v>19.489999999999998</v>
      </c>
      <c r="SWX1914" s="56">
        <v>18.98</v>
      </c>
      <c r="SWY1914" s="56">
        <v>17.5</v>
      </c>
      <c r="SWZ1914" s="62">
        <v>13.28</v>
      </c>
      <c r="SXA1914" s="115">
        <v>19.489999999999998</v>
      </c>
      <c r="SXB1914" s="56">
        <v>18.98</v>
      </c>
      <c r="SXC1914" s="56">
        <v>17.5</v>
      </c>
      <c r="SXD1914" s="62">
        <v>13.28</v>
      </c>
      <c r="SXE1914" s="115">
        <v>19.489999999999998</v>
      </c>
      <c r="SXF1914" s="56">
        <v>18.98</v>
      </c>
      <c r="SXG1914" s="56">
        <v>17.5</v>
      </c>
      <c r="SXH1914" s="62">
        <v>13.28</v>
      </c>
      <c r="SXI1914" s="115">
        <v>19.489999999999998</v>
      </c>
      <c r="SXJ1914" s="56">
        <v>18.98</v>
      </c>
      <c r="SXK1914" s="56">
        <v>17.5</v>
      </c>
      <c r="SXL1914" s="62">
        <v>13.28</v>
      </c>
      <c r="SXM1914" s="115">
        <v>19.489999999999998</v>
      </c>
      <c r="SXN1914" s="56">
        <v>18.98</v>
      </c>
      <c r="SXO1914" s="56">
        <v>17.5</v>
      </c>
      <c r="SXP1914" s="62">
        <v>13.28</v>
      </c>
      <c r="SXQ1914" s="115">
        <v>19.489999999999998</v>
      </c>
      <c r="SXR1914" s="56">
        <v>18.98</v>
      </c>
      <c r="SXS1914" s="56">
        <v>17.5</v>
      </c>
      <c r="SXT1914" s="62">
        <v>13.28</v>
      </c>
      <c r="SXU1914" s="115">
        <v>19.489999999999998</v>
      </c>
      <c r="SXV1914" s="56">
        <v>18.98</v>
      </c>
      <c r="SXW1914" s="56">
        <v>17.5</v>
      </c>
      <c r="SXX1914" s="62">
        <v>13.28</v>
      </c>
      <c r="SXY1914" s="115">
        <v>19.489999999999998</v>
      </c>
      <c r="SXZ1914" s="56">
        <v>18.98</v>
      </c>
      <c r="SYA1914" s="56">
        <v>17.5</v>
      </c>
      <c r="SYB1914" s="62">
        <v>13.28</v>
      </c>
      <c r="SYC1914" s="115">
        <v>19.489999999999998</v>
      </c>
      <c r="SYD1914" s="56">
        <v>18.98</v>
      </c>
      <c r="SYE1914" s="56">
        <v>17.5</v>
      </c>
      <c r="SYF1914" s="62">
        <v>13.28</v>
      </c>
      <c r="SYG1914" s="115">
        <v>19.489999999999998</v>
      </c>
      <c r="SYH1914" s="56">
        <v>18.98</v>
      </c>
      <c r="SYI1914" s="56">
        <v>17.5</v>
      </c>
      <c r="SYJ1914" s="62">
        <v>13.28</v>
      </c>
      <c r="SYK1914" s="115">
        <v>19.489999999999998</v>
      </c>
      <c r="SYL1914" s="56">
        <v>18.98</v>
      </c>
      <c r="SYM1914" s="56">
        <v>17.5</v>
      </c>
      <c r="SYN1914" s="62">
        <v>13.28</v>
      </c>
      <c r="SYO1914" s="115">
        <v>19.489999999999998</v>
      </c>
      <c r="SYP1914" s="56">
        <v>18.98</v>
      </c>
      <c r="SYQ1914" s="56">
        <v>17.5</v>
      </c>
      <c r="SYR1914" s="62">
        <v>13.28</v>
      </c>
      <c r="SYS1914" s="115">
        <v>19.489999999999998</v>
      </c>
      <c r="SYT1914" s="56">
        <v>18.98</v>
      </c>
      <c r="SYU1914" s="56">
        <v>17.5</v>
      </c>
      <c r="SYV1914" s="62">
        <v>13.28</v>
      </c>
      <c r="SYW1914" s="115">
        <v>19.489999999999998</v>
      </c>
      <c r="SYX1914" s="56">
        <v>18.98</v>
      </c>
      <c r="SYY1914" s="56">
        <v>17.5</v>
      </c>
      <c r="SYZ1914" s="62">
        <v>13.28</v>
      </c>
      <c r="SZA1914" s="115">
        <v>19.489999999999998</v>
      </c>
      <c r="SZB1914" s="56">
        <v>18.98</v>
      </c>
      <c r="SZC1914" s="56">
        <v>17.5</v>
      </c>
      <c r="SZD1914" s="62">
        <v>13.28</v>
      </c>
      <c r="SZE1914" s="115">
        <v>19.489999999999998</v>
      </c>
      <c r="SZF1914" s="56">
        <v>18.98</v>
      </c>
      <c r="SZG1914" s="56">
        <v>17.5</v>
      </c>
      <c r="SZH1914" s="62">
        <v>13.28</v>
      </c>
      <c r="SZI1914" s="115">
        <v>19.489999999999998</v>
      </c>
      <c r="SZJ1914" s="56">
        <v>18.98</v>
      </c>
      <c r="SZK1914" s="56">
        <v>17.5</v>
      </c>
      <c r="SZL1914" s="62">
        <v>13.28</v>
      </c>
      <c r="SZM1914" s="115">
        <v>19.489999999999998</v>
      </c>
      <c r="SZN1914" s="56">
        <v>18.98</v>
      </c>
      <c r="SZO1914" s="56">
        <v>17.5</v>
      </c>
      <c r="SZP1914" s="62">
        <v>13.28</v>
      </c>
      <c r="SZQ1914" s="115">
        <v>19.489999999999998</v>
      </c>
      <c r="SZR1914" s="56">
        <v>18.98</v>
      </c>
      <c r="SZS1914" s="56">
        <v>17.5</v>
      </c>
      <c r="SZT1914" s="62">
        <v>13.28</v>
      </c>
      <c r="SZU1914" s="115">
        <v>19.489999999999998</v>
      </c>
      <c r="SZV1914" s="56">
        <v>18.98</v>
      </c>
      <c r="SZW1914" s="56">
        <v>17.5</v>
      </c>
      <c r="SZX1914" s="62">
        <v>13.28</v>
      </c>
      <c r="SZY1914" s="115">
        <v>19.489999999999998</v>
      </c>
      <c r="SZZ1914" s="56">
        <v>18.98</v>
      </c>
      <c r="TAA1914" s="56">
        <v>17.5</v>
      </c>
      <c r="TAB1914" s="62">
        <v>13.28</v>
      </c>
      <c r="TAC1914" s="115">
        <v>19.489999999999998</v>
      </c>
      <c r="TAD1914" s="56">
        <v>18.98</v>
      </c>
      <c r="TAE1914" s="56">
        <v>17.5</v>
      </c>
      <c r="TAF1914" s="62">
        <v>13.28</v>
      </c>
      <c r="TAG1914" s="115">
        <v>19.489999999999998</v>
      </c>
      <c r="TAH1914" s="56">
        <v>18.98</v>
      </c>
      <c r="TAI1914" s="56">
        <v>17.5</v>
      </c>
      <c r="TAJ1914" s="62">
        <v>13.28</v>
      </c>
      <c r="TAK1914" s="115">
        <v>19.489999999999998</v>
      </c>
      <c r="TAL1914" s="56">
        <v>18.98</v>
      </c>
      <c r="TAM1914" s="56">
        <v>17.5</v>
      </c>
      <c r="TAN1914" s="62">
        <v>13.28</v>
      </c>
      <c r="TAO1914" s="115">
        <v>19.489999999999998</v>
      </c>
      <c r="TAP1914" s="56">
        <v>18.98</v>
      </c>
      <c r="TAQ1914" s="56">
        <v>17.5</v>
      </c>
      <c r="TAR1914" s="62">
        <v>13.28</v>
      </c>
      <c r="TAS1914" s="115">
        <v>19.489999999999998</v>
      </c>
      <c r="TAT1914" s="56">
        <v>18.98</v>
      </c>
      <c r="TAU1914" s="56">
        <v>17.5</v>
      </c>
      <c r="TAV1914" s="62">
        <v>13.28</v>
      </c>
      <c r="TAW1914" s="115">
        <v>19.489999999999998</v>
      </c>
      <c r="TAX1914" s="56">
        <v>18.98</v>
      </c>
      <c r="TAY1914" s="56">
        <v>17.5</v>
      </c>
      <c r="TAZ1914" s="62">
        <v>13.28</v>
      </c>
      <c r="TBA1914" s="115">
        <v>19.489999999999998</v>
      </c>
      <c r="TBB1914" s="56">
        <v>18.98</v>
      </c>
      <c r="TBC1914" s="56">
        <v>17.5</v>
      </c>
      <c r="TBD1914" s="62">
        <v>13.28</v>
      </c>
      <c r="TBE1914" s="115">
        <v>19.489999999999998</v>
      </c>
      <c r="TBF1914" s="56">
        <v>18.98</v>
      </c>
      <c r="TBG1914" s="56">
        <v>17.5</v>
      </c>
      <c r="TBH1914" s="62">
        <v>13.28</v>
      </c>
      <c r="TBI1914" s="115">
        <v>19.489999999999998</v>
      </c>
      <c r="TBJ1914" s="56">
        <v>18.98</v>
      </c>
      <c r="TBK1914" s="56">
        <v>17.5</v>
      </c>
      <c r="TBL1914" s="62">
        <v>13.28</v>
      </c>
      <c r="TBM1914" s="115">
        <v>19.489999999999998</v>
      </c>
      <c r="TBN1914" s="56">
        <v>18.98</v>
      </c>
      <c r="TBO1914" s="56">
        <v>17.5</v>
      </c>
      <c r="TBP1914" s="62">
        <v>13.28</v>
      </c>
      <c r="TBQ1914" s="115">
        <v>19.489999999999998</v>
      </c>
      <c r="TBR1914" s="56">
        <v>18.98</v>
      </c>
      <c r="TBS1914" s="56">
        <v>17.5</v>
      </c>
      <c r="TBT1914" s="62">
        <v>13.28</v>
      </c>
      <c r="TBU1914" s="115">
        <v>19.489999999999998</v>
      </c>
      <c r="TBV1914" s="56">
        <v>18.98</v>
      </c>
      <c r="TBW1914" s="56">
        <v>17.5</v>
      </c>
      <c r="TBX1914" s="62">
        <v>13.28</v>
      </c>
      <c r="TBY1914" s="115">
        <v>19.489999999999998</v>
      </c>
      <c r="TBZ1914" s="56">
        <v>18.98</v>
      </c>
      <c r="TCA1914" s="56">
        <v>17.5</v>
      </c>
      <c r="TCB1914" s="62">
        <v>13.28</v>
      </c>
      <c r="TCC1914" s="115">
        <v>19.489999999999998</v>
      </c>
      <c r="TCD1914" s="56">
        <v>18.98</v>
      </c>
      <c r="TCE1914" s="56">
        <v>17.5</v>
      </c>
      <c r="TCF1914" s="62">
        <v>13.28</v>
      </c>
      <c r="TCG1914" s="115">
        <v>19.489999999999998</v>
      </c>
      <c r="TCH1914" s="56">
        <v>18.98</v>
      </c>
      <c r="TCI1914" s="56">
        <v>17.5</v>
      </c>
      <c r="TCJ1914" s="62">
        <v>13.28</v>
      </c>
      <c r="TCK1914" s="115">
        <v>19.489999999999998</v>
      </c>
      <c r="TCL1914" s="56">
        <v>18.98</v>
      </c>
      <c r="TCM1914" s="56">
        <v>17.5</v>
      </c>
      <c r="TCN1914" s="62">
        <v>13.28</v>
      </c>
      <c r="TCO1914" s="115">
        <v>19.489999999999998</v>
      </c>
      <c r="TCP1914" s="56">
        <v>18.98</v>
      </c>
      <c r="TCQ1914" s="56">
        <v>17.5</v>
      </c>
      <c r="TCR1914" s="62">
        <v>13.28</v>
      </c>
      <c r="TCS1914" s="115">
        <v>19.489999999999998</v>
      </c>
      <c r="TCT1914" s="56">
        <v>18.98</v>
      </c>
      <c r="TCU1914" s="56">
        <v>17.5</v>
      </c>
      <c r="TCV1914" s="62">
        <v>13.28</v>
      </c>
      <c r="TCW1914" s="115">
        <v>19.489999999999998</v>
      </c>
      <c r="TCX1914" s="56">
        <v>18.98</v>
      </c>
      <c r="TCY1914" s="56">
        <v>17.5</v>
      </c>
      <c r="TCZ1914" s="62">
        <v>13.28</v>
      </c>
      <c r="TDA1914" s="115">
        <v>19.489999999999998</v>
      </c>
      <c r="TDB1914" s="56">
        <v>18.98</v>
      </c>
      <c r="TDC1914" s="56">
        <v>17.5</v>
      </c>
      <c r="TDD1914" s="62">
        <v>13.28</v>
      </c>
      <c r="TDE1914" s="115">
        <v>19.489999999999998</v>
      </c>
      <c r="TDF1914" s="56">
        <v>18.98</v>
      </c>
      <c r="TDG1914" s="56">
        <v>17.5</v>
      </c>
      <c r="TDH1914" s="62">
        <v>13.28</v>
      </c>
      <c r="TDI1914" s="115">
        <v>19.489999999999998</v>
      </c>
      <c r="TDJ1914" s="56">
        <v>18.98</v>
      </c>
      <c r="TDK1914" s="56">
        <v>17.5</v>
      </c>
      <c r="TDL1914" s="62">
        <v>13.28</v>
      </c>
      <c r="TDM1914" s="115">
        <v>19.489999999999998</v>
      </c>
      <c r="TDN1914" s="56">
        <v>18.98</v>
      </c>
      <c r="TDO1914" s="56">
        <v>17.5</v>
      </c>
      <c r="TDP1914" s="62">
        <v>13.28</v>
      </c>
      <c r="TDQ1914" s="115">
        <v>19.489999999999998</v>
      </c>
      <c r="TDR1914" s="56">
        <v>18.98</v>
      </c>
      <c r="TDS1914" s="56">
        <v>17.5</v>
      </c>
      <c r="TDT1914" s="62">
        <v>13.28</v>
      </c>
      <c r="TDU1914" s="115">
        <v>19.489999999999998</v>
      </c>
      <c r="TDV1914" s="56">
        <v>18.98</v>
      </c>
      <c r="TDW1914" s="56">
        <v>17.5</v>
      </c>
      <c r="TDX1914" s="62">
        <v>13.28</v>
      </c>
      <c r="TDY1914" s="115">
        <v>19.489999999999998</v>
      </c>
      <c r="TDZ1914" s="56">
        <v>18.98</v>
      </c>
      <c r="TEA1914" s="56">
        <v>17.5</v>
      </c>
      <c r="TEB1914" s="62">
        <v>13.28</v>
      </c>
      <c r="TEC1914" s="115">
        <v>19.489999999999998</v>
      </c>
      <c r="TED1914" s="56">
        <v>18.98</v>
      </c>
      <c r="TEE1914" s="56">
        <v>17.5</v>
      </c>
      <c r="TEF1914" s="62">
        <v>13.28</v>
      </c>
      <c r="TEG1914" s="115">
        <v>19.489999999999998</v>
      </c>
      <c r="TEH1914" s="56">
        <v>18.98</v>
      </c>
      <c r="TEI1914" s="56">
        <v>17.5</v>
      </c>
      <c r="TEJ1914" s="62">
        <v>13.28</v>
      </c>
      <c r="TEK1914" s="115">
        <v>19.489999999999998</v>
      </c>
      <c r="TEL1914" s="56">
        <v>18.98</v>
      </c>
      <c r="TEM1914" s="56">
        <v>17.5</v>
      </c>
      <c r="TEN1914" s="62">
        <v>13.28</v>
      </c>
      <c r="TEO1914" s="115">
        <v>19.489999999999998</v>
      </c>
      <c r="TEP1914" s="56">
        <v>18.98</v>
      </c>
      <c r="TEQ1914" s="56">
        <v>17.5</v>
      </c>
      <c r="TER1914" s="62">
        <v>13.28</v>
      </c>
      <c r="TES1914" s="115">
        <v>19.489999999999998</v>
      </c>
      <c r="TET1914" s="56">
        <v>18.98</v>
      </c>
      <c r="TEU1914" s="56">
        <v>17.5</v>
      </c>
      <c r="TEV1914" s="62">
        <v>13.28</v>
      </c>
      <c r="TEW1914" s="115">
        <v>19.489999999999998</v>
      </c>
      <c r="TEX1914" s="56">
        <v>18.98</v>
      </c>
      <c r="TEY1914" s="56">
        <v>17.5</v>
      </c>
      <c r="TEZ1914" s="62">
        <v>13.28</v>
      </c>
      <c r="TFA1914" s="115">
        <v>19.489999999999998</v>
      </c>
      <c r="TFB1914" s="56">
        <v>18.98</v>
      </c>
      <c r="TFC1914" s="56">
        <v>17.5</v>
      </c>
      <c r="TFD1914" s="62">
        <v>13.28</v>
      </c>
      <c r="TFE1914" s="115">
        <v>19.489999999999998</v>
      </c>
      <c r="TFF1914" s="56">
        <v>18.98</v>
      </c>
      <c r="TFG1914" s="56">
        <v>17.5</v>
      </c>
      <c r="TFH1914" s="62">
        <v>13.28</v>
      </c>
      <c r="TFI1914" s="115">
        <v>19.489999999999998</v>
      </c>
      <c r="TFJ1914" s="56">
        <v>18.98</v>
      </c>
      <c r="TFK1914" s="56">
        <v>17.5</v>
      </c>
      <c r="TFL1914" s="62">
        <v>13.28</v>
      </c>
      <c r="TFM1914" s="115">
        <v>19.489999999999998</v>
      </c>
      <c r="TFN1914" s="56">
        <v>18.98</v>
      </c>
      <c r="TFO1914" s="56">
        <v>17.5</v>
      </c>
      <c r="TFP1914" s="62">
        <v>13.28</v>
      </c>
      <c r="TFQ1914" s="115">
        <v>19.489999999999998</v>
      </c>
      <c r="TFR1914" s="56">
        <v>18.98</v>
      </c>
      <c r="TFS1914" s="56">
        <v>17.5</v>
      </c>
      <c r="TFT1914" s="62">
        <v>13.28</v>
      </c>
      <c r="TFU1914" s="115">
        <v>19.489999999999998</v>
      </c>
      <c r="TFV1914" s="56">
        <v>18.98</v>
      </c>
      <c r="TFW1914" s="56">
        <v>17.5</v>
      </c>
      <c r="TFX1914" s="62">
        <v>13.28</v>
      </c>
      <c r="TFY1914" s="115">
        <v>19.489999999999998</v>
      </c>
      <c r="TFZ1914" s="56">
        <v>18.98</v>
      </c>
      <c r="TGA1914" s="56">
        <v>17.5</v>
      </c>
      <c r="TGB1914" s="62">
        <v>13.28</v>
      </c>
      <c r="TGC1914" s="115">
        <v>19.489999999999998</v>
      </c>
      <c r="TGD1914" s="56">
        <v>18.98</v>
      </c>
      <c r="TGE1914" s="56">
        <v>17.5</v>
      </c>
      <c r="TGF1914" s="62">
        <v>13.28</v>
      </c>
      <c r="TGG1914" s="115">
        <v>19.489999999999998</v>
      </c>
      <c r="TGH1914" s="56">
        <v>18.98</v>
      </c>
      <c r="TGI1914" s="56">
        <v>17.5</v>
      </c>
      <c r="TGJ1914" s="62">
        <v>13.28</v>
      </c>
      <c r="TGK1914" s="115">
        <v>19.489999999999998</v>
      </c>
      <c r="TGL1914" s="56">
        <v>18.98</v>
      </c>
      <c r="TGM1914" s="56">
        <v>17.5</v>
      </c>
      <c r="TGN1914" s="62">
        <v>13.28</v>
      </c>
      <c r="TGO1914" s="115">
        <v>19.489999999999998</v>
      </c>
      <c r="TGP1914" s="56">
        <v>18.98</v>
      </c>
      <c r="TGQ1914" s="56">
        <v>17.5</v>
      </c>
      <c r="TGR1914" s="62">
        <v>13.28</v>
      </c>
      <c r="TGS1914" s="115">
        <v>19.489999999999998</v>
      </c>
      <c r="TGT1914" s="56">
        <v>18.98</v>
      </c>
      <c r="TGU1914" s="56">
        <v>17.5</v>
      </c>
      <c r="TGV1914" s="62">
        <v>13.28</v>
      </c>
      <c r="TGW1914" s="115">
        <v>19.489999999999998</v>
      </c>
      <c r="TGX1914" s="56">
        <v>18.98</v>
      </c>
      <c r="TGY1914" s="56">
        <v>17.5</v>
      </c>
      <c r="TGZ1914" s="62">
        <v>13.28</v>
      </c>
      <c r="THA1914" s="115">
        <v>19.489999999999998</v>
      </c>
      <c r="THB1914" s="56">
        <v>18.98</v>
      </c>
      <c r="THC1914" s="56">
        <v>17.5</v>
      </c>
      <c r="THD1914" s="62">
        <v>13.28</v>
      </c>
      <c r="THE1914" s="115">
        <v>19.489999999999998</v>
      </c>
      <c r="THF1914" s="56">
        <v>18.98</v>
      </c>
      <c r="THG1914" s="56">
        <v>17.5</v>
      </c>
      <c r="THH1914" s="62">
        <v>13.28</v>
      </c>
      <c r="THI1914" s="115">
        <v>19.489999999999998</v>
      </c>
      <c r="THJ1914" s="56">
        <v>18.98</v>
      </c>
      <c r="THK1914" s="56">
        <v>17.5</v>
      </c>
      <c r="THL1914" s="62">
        <v>13.28</v>
      </c>
      <c r="THM1914" s="115">
        <v>19.489999999999998</v>
      </c>
      <c r="THN1914" s="56">
        <v>18.98</v>
      </c>
      <c r="THO1914" s="56">
        <v>17.5</v>
      </c>
      <c r="THP1914" s="62">
        <v>13.28</v>
      </c>
      <c r="THQ1914" s="115">
        <v>19.489999999999998</v>
      </c>
      <c r="THR1914" s="56">
        <v>18.98</v>
      </c>
      <c r="THS1914" s="56">
        <v>17.5</v>
      </c>
      <c r="THT1914" s="62">
        <v>13.28</v>
      </c>
      <c r="THU1914" s="115">
        <v>19.489999999999998</v>
      </c>
      <c r="THV1914" s="56">
        <v>18.98</v>
      </c>
      <c r="THW1914" s="56">
        <v>17.5</v>
      </c>
      <c r="THX1914" s="62">
        <v>13.28</v>
      </c>
      <c r="THY1914" s="115">
        <v>19.489999999999998</v>
      </c>
      <c r="THZ1914" s="56">
        <v>18.98</v>
      </c>
      <c r="TIA1914" s="56">
        <v>17.5</v>
      </c>
      <c r="TIB1914" s="62">
        <v>13.28</v>
      </c>
      <c r="TIC1914" s="115">
        <v>19.489999999999998</v>
      </c>
      <c r="TID1914" s="56">
        <v>18.98</v>
      </c>
      <c r="TIE1914" s="56">
        <v>17.5</v>
      </c>
      <c r="TIF1914" s="62">
        <v>13.28</v>
      </c>
      <c r="TIG1914" s="115">
        <v>19.489999999999998</v>
      </c>
      <c r="TIH1914" s="56">
        <v>18.98</v>
      </c>
      <c r="TII1914" s="56">
        <v>17.5</v>
      </c>
      <c r="TIJ1914" s="62">
        <v>13.28</v>
      </c>
      <c r="TIK1914" s="115">
        <v>19.489999999999998</v>
      </c>
      <c r="TIL1914" s="56">
        <v>18.98</v>
      </c>
      <c r="TIM1914" s="56">
        <v>17.5</v>
      </c>
      <c r="TIN1914" s="62">
        <v>13.28</v>
      </c>
      <c r="TIO1914" s="115">
        <v>19.489999999999998</v>
      </c>
      <c r="TIP1914" s="56">
        <v>18.98</v>
      </c>
      <c r="TIQ1914" s="56">
        <v>17.5</v>
      </c>
      <c r="TIR1914" s="62">
        <v>13.28</v>
      </c>
      <c r="TIS1914" s="115">
        <v>19.489999999999998</v>
      </c>
      <c r="TIT1914" s="56">
        <v>18.98</v>
      </c>
      <c r="TIU1914" s="56">
        <v>17.5</v>
      </c>
      <c r="TIV1914" s="62">
        <v>13.28</v>
      </c>
      <c r="TIW1914" s="115">
        <v>19.489999999999998</v>
      </c>
      <c r="TIX1914" s="56">
        <v>18.98</v>
      </c>
      <c r="TIY1914" s="56">
        <v>17.5</v>
      </c>
      <c r="TIZ1914" s="62">
        <v>13.28</v>
      </c>
      <c r="TJA1914" s="115">
        <v>19.489999999999998</v>
      </c>
      <c r="TJB1914" s="56">
        <v>18.98</v>
      </c>
      <c r="TJC1914" s="56">
        <v>17.5</v>
      </c>
      <c r="TJD1914" s="62">
        <v>13.28</v>
      </c>
      <c r="TJE1914" s="115">
        <v>19.489999999999998</v>
      </c>
      <c r="TJF1914" s="56">
        <v>18.98</v>
      </c>
      <c r="TJG1914" s="56">
        <v>17.5</v>
      </c>
      <c r="TJH1914" s="62">
        <v>13.28</v>
      </c>
      <c r="TJI1914" s="115">
        <v>19.489999999999998</v>
      </c>
      <c r="TJJ1914" s="56">
        <v>18.98</v>
      </c>
      <c r="TJK1914" s="56">
        <v>17.5</v>
      </c>
      <c r="TJL1914" s="62">
        <v>13.28</v>
      </c>
      <c r="TJM1914" s="115">
        <v>19.489999999999998</v>
      </c>
      <c r="TJN1914" s="56">
        <v>18.98</v>
      </c>
      <c r="TJO1914" s="56">
        <v>17.5</v>
      </c>
      <c r="TJP1914" s="62">
        <v>13.28</v>
      </c>
      <c r="TJQ1914" s="115">
        <v>19.489999999999998</v>
      </c>
      <c r="TJR1914" s="56">
        <v>18.98</v>
      </c>
      <c r="TJS1914" s="56">
        <v>17.5</v>
      </c>
      <c r="TJT1914" s="62">
        <v>13.28</v>
      </c>
      <c r="TJU1914" s="115">
        <v>19.489999999999998</v>
      </c>
      <c r="TJV1914" s="56">
        <v>18.98</v>
      </c>
      <c r="TJW1914" s="56">
        <v>17.5</v>
      </c>
      <c r="TJX1914" s="62">
        <v>13.28</v>
      </c>
      <c r="TJY1914" s="115">
        <v>19.489999999999998</v>
      </c>
      <c r="TJZ1914" s="56">
        <v>18.98</v>
      </c>
      <c r="TKA1914" s="56">
        <v>17.5</v>
      </c>
      <c r="TKB1914" s="62">
        <v>13.28</v>
      </c>
      <c r="TKC1914" s="115">
        <v>19.489999999999998</v>
      </c>
      <c r="TKD1914" s="56">
        <v>18.98</v>
      </c>
      <c r="TKE1914" s="56">
        <v>17.5</v>
      </c>
      <c r="TKF1914" s="62">
        <v>13.28</v>
      </c>
      <c r="TKG1914" s="115">
        <v>19.489999999999998</v>
      </c>
      <c r="TKH1914" s="56">
        <v>18.98</v>
      </c>
      <c r="TKI1914" s="56">
        <v>17.5</v>
      </c>
      <c r="TKJ1914" s="62">
        <v>13.28</v>
      </c>
      <c r="TKK1914" s="115">
        <v>19.489999999999998</v>
      </c>
      <c r="TKL1914" s="56">
        <v>18.98</v>
      </c>
      <c r="TKM1914" s="56">
        <v>17.5</v>
      </c>
      <c r="TKN1914" s="62">
        <v>13.28</v>
      </c>
      <c r="TKO1914" s="115">
        <v>19.489999999999998</v>
      </c>
      <c r="TKP1914" s="56">
        <v>18.98</v>
      </c>
      <c r="TKQ1914" s="56">
        <v>17.5</v>
      </c>
      <c r="TKR1914" s="62">
        <v>13.28</v>
      </c>
      <c r="TKS1914" s="115">
        <v>19.489999999999998</v>
      </c>
      <c r="TKT1914" s="56">
        <v>18.98</v>
      </c>
      <c r="TKU1914" s="56">
        <v>17.5</v>
      </c>
      <c r="TKV1914" s="62">
        <v>13.28</v>
      </c>
      <c r="TKW1914" s="115">
        <v>19.489999999999998</v>
      </c>
      <c r="TKX1914" s="56">
        <v>18.98</v>
      </c>
      <c r="TKY1914" s="56">
        <v>17.5</v>
      </c>
      <c r="TKZ1914" s="62">
        <v>13.28</v>
      </c>
      <c r="TLA1914" s="115">
        <v>19.489999999999998</v>
      </c>
      <c r="TLB1914" s="56">
        <v>18.98</v>
      </c>
      <c r="TLC1914" s="56">
        <v>17.5</v>
      </c>
      <c r="TLD1914" s="62">
        <v>13.28</v>
      </c>
      <c r="TLE1914" s="115">
        <v>19.489999999999998</v>
      </c>
      <c r="TLF1914" s="56">
        <v>18.98</v>
      </c>
      <c r="TLG1914" s="56">
        <v>17.5</v>
      </c>
      <c r="TLH1914" s="62">
        <v>13.28</v>
      </c>
      <c r="TLI1914" s="115">
        <v>19.489999999999998</v>
      </c>
      <c r="TLJ1914" s="56">
        <v>18.98</v>
      </c>
      <c r="TLK1914" s="56">
        <v>17.5</v>
      </c>
      <c r="TLL1914" s="62">
        <v>13.28</v>
      </c>
      <c r="TLM1914" s="115">
        <v>19.489999999999998</v>
      </c>
      <c r="TLN1914" s="56">
        <v>18.98</v>
      </c>
      <c r="TLO1914" s="56">
        <v>17.5</v>
      </c>
      <c r="TLP1914" s="62">
        <v>13.28</v>
      </c>
      <c r="TLQ1914" s="115">
        <v>19.489999999999998</v>
      </c>
      <c r="TLR1914" s="56">
        <v>18.98</v>
      </c>
      <c r="TLS1914" s="56">
        <v>17.5</v>
      </c>
      <c r="TLT1914" s="62">
        <v>13.28</v>
      </c>
      <c r="TLU1914" s="115">
        <v>19.489999999999998</v>
      </c>
      <c r="TLV1914" s="56">
        <v>18.98</v>
      </c>
      <c r="TLW1914" s="56">
        <v>17.5</v>
      </c>
      <c r="TLX1914" s="62">
        <v>13.28</v>
      </c>
      <c r="TLY1914" s="115">
        <v>19.489999999999998</v>
      </c>
      <c r="TLZ1914" s="56">
        <v>18.98</v>
      </c>
      <c r="TMA1914" s="56">
        <v>17.5</v>
      </c>
      <c r="TMB1914" s="62">
        <v>13.28</v>
      </c>
      <c r="TMC1914" s="115">
        <v>19.489999999999998</v>
      </c>
      <c r="TMD1914" s="56">
        <v>18.98</v>
      </c>
      <c r="TME1914" s="56">
        <v>17.5</v>
      </c>
      <c r="TMF1914" s="62">
        <v>13.28</v>
      </c>
      <c r="TMG1914" s="115">
        <v>19.489999999999998</v>
      </c>
      <c r="TMH1914" s="56">
        <v>18.98</v>
      </c>
      <c r="TMI1914" s="56">
        <v>17.5</v>
      </c>
      <c r="TMJ1914" s="62">
        <v>13.28</v>
      </c>
      <c r="TMK1914" s="115">
        <v>19.489999999999998</v>
      </c>
      <c r="TML1914" s="56">
        <v>18.98</v>
      </c>
      <c r="TMM1914" s="56">
        <v>17.5</v>
      </c>
      <c r="TMN1914" s="62">
        <v>13.28</v>
      </c>
      <c r="TMO1914" s="115">
        <v>19.489999999999998</v>
      </c>
      <c r="TMP1914" s="56">
        <v>18.98</v>
      </c>
      <c r="TMQ1914" s="56">
        <v>17.5</v>
      </c>
      <c r="TMR1914" s="62">
        <v>13.28</v>
      </c>
      <c r="TMS1914" s="115">
        <v>19.489999999999998</v>
      </c>
      <c r="TMT1914" s="56">
        <v>18.98</v>
      </c>
      <c r="TMU1914" s="56">
        <v>17.5</v>
      </c>
      <c r="TMV1914" s="62">
        <v>13.28</v>
      </c>
      <c r="TMW1914" s="115">
        <v>19.489999999999998</v>
      </c>
      <c r="TMX1914" s="56">
        <v>18.98</v>
      </c>
      <c r="TMY1914" s="56">
        <v>17.5</v>
      </c>
      <c r="TMZ1914" s="62">
        <v>13.28</v>
      </c>
      <c r="TNA1914" s="115">
        <v>19.489999999999998</v>
      </c>
      <c r="TNB1914" s="56">
        <v>18.98</v>
      </c>
      <c r="TNC1914" s="56">
        <v>17.5</v>
      </c>
      <c r="TND1914" s="62">
        <v>13.28</v>
      </c>
      <c r="TNE1914" s="115">
        <v>19.489999999999998</v>
      </c>
      <c r="TNF1914" s="56">
        <v>18.98</v>
      </c>
      <c r="TNG1914" s="56">
        <v>17.5</v>
      </c>
      <c r="TNH1914" s="62">
        <v>13.28</v>
      </c>
      <c r="TNI1914" s="115">
        <v>19.489999999999998</v>
      </c>
      <c r="TNJ1914" s="56">
        <v>18.98</v>
      </c>
      <c r="TNK1914" s="56">
        <v>17.5</v>
      </c>
      <c r="TNL1914" s="62">
        <v>13.28</v>
      </c>
      <c r="TNM1914" s="115">
        <v>19.489999999999998</v>
      </c>
      <c r="TNN1914" s="56">
        <v>18.98</v>
      </c>
      <c r="TNO1914" s="56">
        <v>17.5</v>
      </c>
      <c r="TNP1914" s="62">
        <v>13.28</v>
      </c>
      <c r="TNQ1914" s="115">
        <v>19.489999999999998</v>
      </c>
      <c r="TNR1914" s="56">
        <v>18.98</v>
      </c>
      <c r="TNS1914" s="56">
        <v>17.5</v>
      </c>
      <c r="TNT1914" s="62">
        <v>13.28</v>
      </c>
      <c r="TNU1914" s="115">
        <v>19.489999999999998</v>
      </c>
      <c r="TNV1914" s="56">
        <v>18.98</v>
      </c>
      <c r="TNW1914" s="56">
        <v>17.5</v>
      </c>
      <c r="TNX1914" s="62">
        <v>13.28</v>
      </c>
      <c r="TNY1914" s="115">
        <v>19.489999999999998</v>
      </c>
      <c r="TNZ1914" s="56">
        <v>18.98</v>
      </c>
      <c r="TOA1914" s="56">
        <v>17.5</v>
      </c>
      <c r="TOB1914" s="62">
        <v>13.28</v>
      </c>
      <c r="TOC1914" s="115">
        <v>19.489999999999998</v>
      </c>
      <c r="TOD1914" s="56">
        <v>18.98</v>
      </c>
      <c r="TOE1914" s="56">
        <v>17.5</v>
      </c>
      <c r="TOF1914" s="62">
        <v>13.28</v>
      </c>
      <c r="TOG1914" s="115">
        <v>19.489999999999998</v>
      </c>
      <c r="TOH1914" s="56">
        <v>18.98</v>
      </c>
      <c r="TOI1914" s="56">
        <v>17.5</v>
      </c>
      <c r="TOJ1914" s="62">
        <v>13.28</v>
      </c>
      <c r="TOK1914" s="115">
        <v>19.489999999999998</v>
      </c>
      <c r="TOL1914" s="56">
        <v>18.98</v>
      </c>
      <c r="TOM1914" s="56">
        <v>17.5</v>
      </c>
      <c r="TON1914" s="62">
        <v>13.28</v>
      </c>
      <c r="TOO1914" s="115">
        <v>19.489999999999998</v>
      </c>
      <c r="TOP1914" s="56">
        <v>18.98</v>
      </c>
      <c r="TOQ1914" s="56">
        <v>17.5</v>
      </c>
      <c r="TOR1914" s="62">
        <v>13.28</v>
      </c>
      <c r="TOS1914" s="115">
        <v>19.489999999999998</v>
      </c>
      <c r="TOT1914" s="56">
        <v>18.98</v>
      </c>
      <c r="TOU1914" s="56">
        <v>17.5</v>
      </c>
      <c r="TOV1914" s="62">
        <v>13.28</v>
      </c>
      <c r="TOW1914" s="115">
        <v>19.489999999999998</v>
      </c>
      <c r="TOX1914" s="56">
        <v>18.98</v>
      </c>
      <c r="TOY1914" s="56">
        <v>17.5</v>
      </c>
      <c r="TOZ1914" s="62">
        <v>13.28</v>
      </c>
      <c r="TPA1914" s="115">
        <v>19.489999999999998</v>
      </c>
      <c r="TPB1914" s="56">
        <v>18.98</v>
      </c>
      <c r="TPC1914" s="56">
        <v>17.5</v>
      </c>
      <c r="TPD1914" s="62">
        <v>13.28</v>
      </c>
      <c r="TPE1914" s="115">
        <v>19.489999999999998</v>
      </c>
      <c r="TPF1914" s="56">
        <v>18.98</v>
      </c>
      <c r="TPG1914" s="56">
        <v>17.5</v>
      </c>
      <c r="TPH1914" s="62">
        <v>13.28</v>
      </c>
      <c r="TPI1914" s="115">
        <v>19.489999999999998</v>
      </c>
      <c r="TPJ1914" s="56">
        <v>18.98</v>
      </c>
      <c r="TPK1914" s="56">
        <v>17.5</v>
      </c>
      <c r="TPL1914" s="62">
        <v>13.28</v>
      </c>
      <c r="TPM1914" s="115">
        <v>19.489999999999998</v>
      </c>
      <c r="TPN1914" s="56">
        <v>18.98</v>
      </c>
      <c r="TPO1914" s="56">
        <v>17.5</v>
      </c>
      <c r="TPP1914" s="62">
        <v>13.28</v>
      </c>
      <c r="TPQ1914" s="115">
        <v>19.489999999999998</v>
      </c>
      <c r="TPR1914" s="56">
        <v>18.98</v>
      </c>
      <c r="TPS1914" s="56">
        <v>17.5</v>
      </c>
      <c r="TPT1914" s="62">
        <v>13.28</v>
      </c>
      <c r="TPU1914" s="115">
        <v>19.489999999999998</v>
      </c>
      <c r="TPV1914" s="56">
        <v>18.98</v>
      </c>
      <c r="TPW1914" s="56">
        <v>17.5</v>
      </c>
      <c r="TPX1914" s="62">
        <v>13.28</v>
      </c>
      <c r="TPY1914" s="115">
        <v>19.489999999999998</v>
      </c>
      <c r="TPZ1914" s="56">
        <v>18.98</v>
      </c>
      <c r="TQA1914" s="56">
        <v>17.5</v>
      </c>
      <c r="TQB1914" s="62">
        <v>13.28</v>
      </c>
      <c r="TQC1914" s="115">
        <v>19.489999999999998</v>
      </c>
      <c r="TQD1914" s="56">
        <v>18.98</v>
      </c>
      <c r="TQE1914" s="56">
        <v>17.5</v>
      </c>
      <c r="TQF1914" s="62">
        <v>13.28</v>
      </c>
      <c r="TQG1914" s="115">
        <v>19.489999999999998</v>
      </c>
      <c r="TQH1914" s="56">
        <v>18.98</v>
      </c>
      <c r="TQI1914" s="56">
        <v>17.5</v>
      </c>
      <c r="TQJ1914" s="62">
        <v>13.28</v>
      </c>
      <c r="TQK1914" s="115">
        <v>19.489999999999998</v>
      </c>
      <c r="TQL1914" s="56">
        <v>18.98</v>
      </c>
      <c r="TQM1914" s="56">
        <v>17.5</v>
      </c>
      <c r="TQN1914" s="62">
        <v>13.28</v>
      </c>
      <c r="TQO1914" s="115">
        <v>19.489999999999998</v>
      </c>
      <c r="TQP1914" s="56">
        <v>18.98</v>
      </c>
      <c r="TQQ1914" s="56">
        <v>17.5</v>
      </c>
      <c r="TQR1914" s="62">
        <v>13.28</v>
      </c>
      <c r="TQS1914" s="115">
        <v>19.489999999999998</v>
      </c>
      <c r="TQT1914" s="56">
        <v>18.98</v>
      </c>
      <c r="TQU1914" s="56">
        <v>17.5</v>
      </c>
      <c r="TQV1914" s="62">
        <v>13.28</v>
      </c>
      <c r="TQW1914" s="115">
        <v>19.489999999999998</v>
      </c>
      <c r="TQX1914" s="56">
        <v>18.98</v>
      </c>
      <c r="TQY1914" s="56">
        <v>17.5</v>
      </c>
      <c r="TQZ1914" s="62">
        <v>13.28</v>
      </c>
      <c r="TRA1914" s="115">
        <v>19.489999999999998</v>
      </c>
      <c r="TRB1914" s="56">
        <v>18.98</v>
      </c>
      <c r="TRC1914" s="56">
        <v>17.5</v>
      </c>
      <c r="TRD1914" s="62">
        <v>13.28</v>
      </c>
      <c r="TRE1914" s="115">
        <v>19.489999999999998</v>
      </c>
      <c r="TRF1914" s="56">
        <v>18.98</v>
      </c>
      <c r="TRG1914" s="56">
        <v>17.5</v>
      </c>
      <c r="TRH1914" s="62">
        <v>13.28</v>
      </c>
      <c r="TRI1914" s="115">
        <v>19.489999999999998</v>
      </c>
      <c r="TRJ1914" s="56">
        <v>18.98</v>
      </c>
      <c r="TRK1914" s="56">
        <v>17.5</v>
      </c>
      <c r="TRL1914" s="62">
        <v>13.28</v>
      </c>
      <c r="TRM1914" s="115">
        <v>19.489999999999998</v>
      </c>
      <c r="TRN1914" s="56">
        <v>18.98</v>
      </c>
      <c r="TRO1914" s="56">
        <v>17.5</v>
      </c>
      <c r="TRP1914" s="62">
        <v>13.28</v>
      </c>
      <c r="TRQ1914" s="115">
        <v>19.489999999999998</v>
      </c>
      <c r="TRR1914" s="56">
        <v>18.98</v>
      </c>
      <c r="TRS1914" s="56">
        <v>17.5</v>
      </c>
      <c r="TRT1914" s="62">
        <v>13.28</v>
      </c>
      <c r="TRU1914" s="115">
        <v>19.489999999999998</v>
      </c>
      <c r="TRV1914" s="56">
        <v>18.98</v>
      </c>
      <c r="TRW1914" s="56">
        <v>17.5</v>
      </c>
      <c r="TRX1914" s="62">
        <v>13.28</v>
      </c>
      <c r="TRY1914" s="115">
        <v>19.489999999999998</v>
      </c>
      <c r="TRZ1914" s="56">
        <v>18.98</v>
      </c>
      <c r="TSA1914" s="56">
        <v>17.5</v>
      </c>
      <c r="TSB1914" s="62">
        <v>13.28</v>
      </c>
      <c r="TSC1914" s="115">
        <v>19.489999999999998</v>
      </c>
      <c r="TSD1914" s="56">
        <v>18.98</v>
      </c>
      <c r="TSE1914" s="56">
        <v>17.5</v>
      </c>
      <c r="TSF1914" s="62">
        <v>13.28</v>
      </c>
      <c r="TSG1914" s="115">
        <v>19.489999999999998</v>
      </c>
      <c r="TSH1914" s="56">
        <v>18.98</v>
      </c>
      <c r="TSI1914" s="56">
        <v>17.5</v>
      </c>
      <c r="TSJ1914" s="62">
        <v>13.28</v>
      </c>
      <c r="TSK1914" s="115">
        <v>19.489999999999998</v>
      </c>
      <c r="TSL1914" s="56">
        <v>18.98</v>
      </c>
      <c r="TSM1914" s="56">
        <v>17.5</v>
      </c>
      <c r="TSN1914" s="62">
        <v>13.28</v>
      </c>
      <c r="TSO1914" s="115">
        <v>19.489999999999998</v>
      </c>
      <c r="TSP1914" s="56">
        <v>18.98</v>
      </c>
      <c r="TSQ1914" s="56">
        <v>17.5</v>
      </c>
      <c r="TSR1914" s="62">
        <v>13.28</v>
      </c>
      <c r="TSS1914" s="115">
        <v>19.489999999999998</v>
      </c>
      <c r="TST1914" s="56">
        <v>18.98</v>
      </c>
      <c r="TSU1914" s="56">
        <v>17.5</v>
      </c>
      <c r="TSV1914" s="62">
        <v>13.28</v>
      </c>
      <c r="TSW1914" s="115">
        <v>19.489999999999998</v>
      </c>
      <c r="TSX1914" s="56">
        <v>18.98</v>
      </c>
      <c r="TSY1914" s="56">
        <v>17.5</v>
      </c>
      <c r="TSZ1914" s="62">
        <v>13.28</v>
      </c>
      <c r="TTA1914" s="115">
        <v>19.489999999999998</v>
      </c>
      <c r="TTB1914" s="56">
        <v>18.98</v>
      </c>
      <c r="TTC1914" s="56">
        <v>17.5</v>
      </c>
      <c r="TTD1914" s="62">
        <v>13.28</v>
      </c>
      <c r="TTE1914" s="115">
        <v>19.489999999999998</v>
      </c>
      <c r="TTF1914" s="56">
        <v>18.98</v>
      </c>
      <c r="TTG1914" s="56">
        <v>17.5</v>
      </c>
      <c r="TTH1914" s="62">
        <v>13.28</v>
      </c>
      <c r="TTI1914" s="115">
        <v>19.489999999999998</v>
      </c>
      <c r="TTJ1914" s="56">
        <v>18.98</v>
      </c>
      <c r="TTK1914" s="56">
        <v>17.5</v>
      </c>
      <c r="TTL1914" s="62">
        <v>13.28</v>
      </c>
      <c r="TTM1914" s="115">
        <v>19.489999999999998</v>
      </c>
      <c r="TTN1914" s="56">
        <v>18.98</v>
      </c>
      <c r="TTO1914" s="56">
        <v>17.5</v>
      </c>
      <c r="TTP1914" s="62">
        <v>13.28</v>
      </c>
      <c r="TTQ1914" s="115">
        <v>19.489999999999998</v>
      </c>
      <c r="TTR1914" s="56">
        <v>18.98</v>
      </c>
      <c r="TTS1914" s="56">
        <v>17.5</v>
      </c>
      <c r="TTT1914" s="62">
        <v>13.28</v>
      </c>
      <c r="TTU1914" s="115">
        <v>19.489999999999998</v>
      </c>
      <c r="TTV1914" s="56">
        <v>18.98</v>
      </c>
      <c r="TTW1914" s="56">
        <v>17.5</v>
      </c>
      <c r="TTX1914" s="62">
        <v>13.28</v>
      </c>
      <c r="TTY1914" s="115">
        <v>19.489999999999998</v>
      </c>
      <c r="TTZ1914" s="56">
        <v>18.98</v>
      </c>
      <c r="TUA1914" s="56">
        <v>17.5</v>
      </c>
      <c r="TUB1914" s="62">
        <v>13.28</v>
      </c>
      <c r="TUC1914" s="115">
        <v>19.489999999999998</v>
      </c>
      <c r="TUD1914" s="56">
        <v>18.98</v>
      </c>
      <c r="TUE1914" s="56">
        <v>17.5</v>
      </c>
      <c r="TUF1914" s="62">
        <v>13.28</v>
      </c>
      <c r="TUG1914" s="115">
        <v>19.489999999999998</v>
      </c>
      <c r="TUH1914" s="56">
        <v>18.98</v>
      </c>
      <c r="TUI1914" s="56">
        <v>17.5</v>
      </c>
      <c r="TUJ1914" s="62">
        <v>13.28</v>
      </c>
      <c r="TUK1914" s="115">
        <v>19.489999999999998</v>
      </c>
      <c r="TUL1914" s="56">
        <v>18.98</v>
      </c>
      <c r="TUM1914" s="56">
        <v>17.5</v>
      </c>
      <c r="TUN1914" s="62">
        <v>13.28</v>
      </c>
      <c r="TUO1914" s="115">
        <v>19.489999999999998</v>
      </c>
      <c r="TUP1914" s="56">
        <v>18.98</v>
      </c>
      <c r="TUQ1914" s="56">
        <v>17.5</v>
      </c>
      <c r="TUR1914" s="62">
        <v>13.28</v>
      </c>
      <c r="TUS1914" s="115">
        <v>19.489999999999998</v>
      </c>
      <c r="TUT1914" s="56">
        <v>18.98</v>
      </c>
      <c r="TUU1914" s="56">
        <v>17.5</v>
      </c>
      <c r="TUV1914" s="62">
        <v>13.28</v>
      </c>
      <c r="TUW1914" s="115">
        <v>19.489999999999998</v>
      </c>
      <c r="TUX1914" s="56">
        <v>18.98</v>
      </c>
      <c r="TUY1914" s="56">
        <v>17.5</v>
      </c>
      <c r="TUZ1914" s="62">
        <v>13.28</v>
      </c>
      <c r="TVA1914" s="115">
        <v>19.489999999999998</v>
      </c>
      <c r="TVB1914" s="56">
        <v>18.98</v>
      </c>
      <c r="TVC1914" s="56">
        <v>17.5</v>
      </c>
      <c r="TVD1914" s="62">
        <v>13.28</v>
      </c>
      <c r="TVE1914" s="115">
        <v>19.489999999999998</v>
      </c>
      <c r="TVF1914" s="56">
        <v>18.98</v>
      </c>
      <c r="TVG1914" s="56">
        <v>17.5</v>
      </c>
      <c r="TVH1914" s="62">
        <v>13.28</v>
      </c>
      <c r="TVI1914" s="115">
        <v>19.489999999999998</v>
      </c>
      <c r="TVJ1914" s="56">
        <v>18.98</v>
      </c>
      <c r="TVK1914" s="56">
        <v>17.5</v>
      </c>
      <c r="TVL1914" s="62">
        <v>13.28</v>
      </c>
      <c r="TVM1914" s="115">
        <v>19.489999999999998</v>
      </c>
      <c r="TVN1914" s="56">
        <v>18.98</v>
      </c>
      <c r="TVO1914" s="56">
        <v>17.5</v>
      </c>
      <c r="TVP1914" s="62">
        <v>13.28</v>
      </c>
      <c r="TVQ1914" s="115">
        <v>19.489999999999998</v>
      </c>
      <c r="TVR1914" s="56">
        <v>18.98</v>
      </c>
      <c r="TVS1914" s="56">
        <v>17.5</v>
      </c>
      <c r="TVT1914" s="62">
        <v>13.28</v>
      </c>
      <c r="TVU1914" s="115">
        <v>19.489999999999998</v>
      </c>
      <c r="TVV1914" s="56">
        <v>18.98</v>
      </c>
      <c r="TVW1914" s="56">
        <v>17.5</v>
      </c>
      <c r="TVX1914" s="62">
        <v>13.28</v>
      </c>
      <c r="TVY1914" s="115">
        <v>19.489999999999998</v>
      </c>
      <c r="TVZ1914" s="56">
        <v>18.98</v>
      </c>
      <c r="TWA1914" s="56">
        <v>17.5</v>
      </c>
      <c r="TWB1914" s="62">
        <v>13.28</v>
      </c>
      <c r="TWC1914" s="115">
        <v>19.489999999999998</v>
      </c>
      <c r="TWD1914" s="56">
        <v>18.98</v>
      </c>
      <c r="TWE1914" s="56">
        <v>17.5</v>
      </c>
      <c r="TWF1914" s="62">
        <v>13.28</v>
      </c>
      <c r="TWG1914" s="115">
        <v>19.489999999999998</v>
      </c>
      <c r="TWH1914" s="56">
        <v>18.98</v>
      </c>
      <c r="TWI1914" s="56">
        <v>17.5</v>
      </c>
      <c r="TWJ1914" s="62">
        <v>13.28</v>
      </c>
      <c r="TWK1914" s="115">
        <v>19.489999999999998</v>
      </c>
      <c r="TWL1914" s="56">
        <v>18.98</v>
      </c>
      <c r="TWM1914" s="56">
        <v>17.5</v>
      </c>
      <c r="TWN1914" s="62">
        <v>13.28</v>
      </c>
      <c r="TWO1914" s="115">
        <v>19.489999999999998</v>
      </c>
      <c r="TWP1914" s="56">
        <v>18.98</v>
      </c>
      <c r="TWQ1914" s="56">
        <v>17.5</v>
      </c>
      <c r="TWR1914" s="62">
        <v>13.28</v>
      </c>
      <c r="TWS1914" s="115">
        <v>19.489999999999998</v>
      </c>
      <c r="TWT1914" s="56">
        <v>18.98</v>
      </c>
      <c r="TWU1914" s="56">
        <v>17.5</v>
      </c>
      <c r="TWV1914" s="62">
        <v>13.28</v>
      </c>
      <c r="TWW1914" s="115">
        <v>19.489999999999998</v>
      </c>
      <c r="TWX1914" s="56">
        <v>18.98</v>
      </c>
      <c r="TWY1914" s="56">
        <v>17.5</v>
      </c>
      <c r="TWZ1914" s="62">
        <v>13.28</v>
      </c>
      <c r="TXA1914" s="115">
        <v>19.489999999999998</v>
      </c>
      <c r="TXB1914" s="56">
        <v>18.98</v>
      </c>
      <c r="TXC1914" s="56">
        <v>17.5</v>
      </c>
      <c r="TXD1914" s="62">
        <v>13.28</v>
      </c>
      <c r="TXE1914" s="115">
        <v>19.489999999999998</v>
      </c>
      <c r="TXF1914" s="56">
        <v>18.98</v>
      </c>
      <c r="TXG1914" s="56">
        <v>17.5</v>
      </c>
      <c r="TXH1914" s="62">
        <v>13.28</v>
      </c>
      <c r="TXI1914" s="115">
        <v>19.489999999999998</v>
      </c>
      <c r="TXJ1914" s="56">
        <v>18.98</v>
      </c>
      <c r="TXK1914" s="56">
        <v>17.5</v>
      </c>
      <c r="TXL1914" s="62">
        <v>13.28</v>
      </c>
      <c r="TXM1914" s="115">
        <v>19.489999999999998</v>
      </c>
      <c r="TXN1914" s="56">
        <v>18.98</v>
      </c>
      <c r="TXO1914" s="56">
        <v>17.5</v>
      </c>
      <c r="TXP1914" s="62">
        <v>13.28</v>
      </c>
      <c r="TXQ1914" s="115">
        <v>19.489999999999998</v>
      </c>
      <c r="TXR1914" s="56">
        <v>18.98</v>
      </c>
      <c r="TXS1914" s="56">
        <v>17.5</v>
      </c>
      <c r="TXT1914" s="62">
        <v>13.28</v>
      </c>
      <c r="TXU1914" s="115">
        <v>19.489999999999998</v>
      </c>
      <c r="TXV1914" s="56">
        <v>18.98</v>
      </c>
      <c r="TXW1914" s="56">
        <v>17.5</v>
      </c>
      <c r="TXX1914" s="62">
        <v>13.28</v>
      </c>
      <c r="TXY1914" s="115">
        <v>19.489999999999998</v>
      </c>
      <c r="TXZ1914" s="56">
        <v>18.98</v>
      </c>
      <c r="TYA1914" s="56">
        <v>17.5</v>
      </c>
      <c r="TYB1914" s="62">
        <v>13.28</v>
      </c>
      <c r="TYC1914" s="115">
        <v>19.489999999999998</v>
      </c>
      <c r="TYD1914" s="56">
        <v>18.98</v>
      </c>
      <c r="TYE1914" s="56">
        <v>17.5</v>
      </c>
      <c r="TYF1914" s="62">
        <v>13.28</v>
      </c>
      <c r="TYG1914" s="115">
        <v>19.489999999999998</v>
      </c>
      <c r="TYH1914" s="56">
        <v>18.98</v>
      </c>
      <c r="TYI1914" s="56">
        <v>17.5</v>
      </c>
      <c r="TYJ1914" s="62">
        <v>13.28</v>
      </c>
      <c r="TYK1914" s="115">
        <v>19.489999999999998</v>
      </c>
      <c r="TYL1914" s="56">
        <v>18.98</v>
      </c>
      <c r="TYM1914" s="56">
        <v>17.5</v>
      </c>
      <c r="TYN1914" s="62">
        <v>13.28</v>
      </c>
      <c r="TYO1914" s="115">
        <v>19.489999999999998</v>
      </c>
      <c r="TYP1914" s="56">
        <v>18.98</v>
      </c>
      <c r="TYQ1914" s="56">
        <v>17.5</v>
      </c>
      <c r="TYR1914" s="62">
        <v>13.28</v>
      </c>
      <c r="TYS1914" s="115">
        <v>19.489999999999998</v>
      </c>
      <c r="TYT1914" s="56">
        <v>18.98</v>
      </c>
      <c r="TYU1914" s="56">
        <v>17.5</v>
      </c>
      <c r="TYV1914" s="62">
        <v>13.28</v>
      </c>
      <c r="TYW1914" s="115">
        <v>19.489999999999998</v>
      </c>
      <c r="TYX1914" s="56">
        <v>18.98</v>
      </c>
      <c r="TYY1914" s="56">
        <v>17.5</v>
      </c>
      <c r="TYZ1914" s="62">
        <v>13.28</v>
      </c>
      <c r="TZA1914" s="115">
        <v>19.489999999999998</v>
      </c>
      <c r="TZB1914" s="56">
        <v>18.98</v>
      </c>
      <c r="TZC1914" s="56">
        <v>17.5</v>
      </c>
      <c r="TZD1914" s="62">
        <v>13.28</v>
      </c>
      <c r="TZE1914" s="115">
        <v>19.489999999999998</v>
      </c>
      <c r="TZF1914" s="56">
        <v>18.98</v>
      </c>
      <c r="TZG1914" s="56">
        <v>17.5</v>
      </c>
      <c r="TZH1914" s="62">
        <v>13.28</v>
      </c>
      <c r="TZI1914" s="115">
        <v>19.489999999999998</v>
      </c>
      <c r="TZJ1914" s="56">
        <v>18.98</v>
      </c>
      <c r="TZK1914" s="56">
        <v>17.5</v>
      </c>
      <c r="TZL1914" s="62">
        <v>13.28</v>
      </c>
      <c r="TZM1914" s="115">
        <v>19.489999999999998</v>
      </c>
      <c r="TZN1914" s="56">
        <v>18.98</v>
      </c>
      <c r="TZO1914" s="56">
        <v>17.5</v>
      </c>
      <c r="TZP1914" s="62">
        <v>13.28</v>
      </c>
      <c r="TZQ1914" s="115">
        <v>19.489999999999998</v>
      </c>
      <c r="TZR1914" s="56">
        <v>18.98</v>
      </c>
      <c r="TZS1914" s="56">
        <v>17.5</v>
      </c>
      <c r="TZT1914" s="62">
        <v>13.28</v>
      </c>
      <c r="TZU1914" s="115">
        <v>19.489999999999998</v>
      </c>
      <c r="TZV1914" s="56">
        <v>18.98</v>
      </c>
      <c r="TZW1914" s="56">
        <v>17.5</v>
      </c>
      <c r="TZX1914" s="62">
        <v>13.28</v>
      </c>
      <c r="TZY1914" s="115">
        <v>19.489999999999998</v>
      </c>
      <c r="TZZ1914" s="56">
        <v>18.98</v>
      </c>
      <c r="UAA1914" s="56">
        <v>17.5</v>
      </c>
      <c r="UAB1914" s="62">
        <v>13.28</v>
      </c>
      <c r="UAC1914" s="115">
        <v>19.489999999999998</v>
      </c>
      <c r="UAD1914" s="56">
        <v>18.98</v>
      </c>
      <c r="UAE1914" s="56">
        <v>17.5</v>
      </c>
      <c r="UAF1914" s="62">
        <v>13.28</v>
      </c>
      <c r="UAG1914" s="115">
        <v>19.489999999999998</v>
      </c>
      <c r="UAH1914" s="56">
        <v>18.98</v>
      </c>
      <c r="UAI1914" s="56">
        <v>17.5</v>
      </c>
      <c r="UAJ1914" s="62">
        <v>13.28</v>
      </c>
      <c r="UAK1914" s="115">
        <v>19.489999999999998</v>
      </c>
      <c r="UAL1914" s="56">
        <v>18.98</v>
      </c>
      <c r="UAM1914" s="56">
        <v>17.5</v>
      </c>
      <c r="UAN1914" s="62">
        <v>13.28</v>
      </c>
      <c r="UAO1914" s="115">
        <v>19.489999999999998</v>
      </c>
      <c r="UAP1914" s="56">
        <v>18.98</v>
      </c>
      <c r="UAQ1914" s="56">
        <v>17.5</v>
      </c>
      <c r="UAR1914" s="62">
        <v>13.28</v>
      </c>
      <c r="UAS1914" s="115">
        <v>19.489999999999998</v>
      </c>
      <c r="UAT1914" s="56">
        <v>18.98</v>
      </c>
      <c r="UAU1914" s="56">
        <v>17.5</v>
      </c>
      <c r="UAV1914" s="62">
        <v>13.28</v>
      </c>
      <c r="UAW1914" s="115">
        <v>19.489999999999998</v>
      </c>
      <c r="UAX1914" s="56">
        <v>18.98</v>
      </c>
      <c r="UAY1914" s="56">
        <v>17.5</v>
      </c>
      <c r="UAZ1914" s="62">
        <v>13.28</v>
      </c>
      <c r="UBA1914" s="115">
        <v>19.489999999999998</v>
      </c>
      <c r="UBB1914" s="56">
        <v>18.98</v>
      </c>
      <c r="UBC1914" s="56">
        <v>17.5</v>
      </c>
      <c r="UBD1914" s="62">
        <v>13.28</v>
      </c>
      <c r="UBE1914" s="115">
        <v>19.489999999999998</v>
      </c>
      <c r="UBF1914" s="56">
        <v>18.98</v>
      </c>
      <c r="UBG1914" s="56">
        <v>17.5</v>
      </c>
      <c r="UBH1914" s="62">
        <v>13.28</v>
      </c>
      <c r="UBI1914" s="115">
        <v>19.489999999999998</v>
      </c>
      <c r="UBJ1914" s="56">
        <v>18.98</v>
      </c>
      <c r="UBK1914" s="56">
        <v>17.5</v>
      </c>
      <c r="UBL1914" s="62">
        <v>13.28</v>
      </c>
      <c r="UBM1914" s="115">
        <v>19.489999999999998</v>
      </c>
      <c r="UBN1914" s="56">
        <v>18.98</v>
      </c>
      <c r="UBO1914" s="56">
        <v>17.5</v>
      </c>
      <c r="UBP1914" s="62">
        <v>13.28</v>
      </c>
      <c r="UBQ1914" s="115">
        <v>19.489999999999998</v>
      </c>
      <c r="UBR1914" s="56">
        <v>18.98</v>
      </c>
      <c r="UBS1914" s="56">
        <v>17.5</v>
      </c>
      <c r="UBT1914" s="62">
        <v>13.28</v>
      </c>
      <c r="UBU1914" s="115">
        <v>19.489999999999998</v>
      </c>
      <c r="UBV1914" s="56">
        <v>18.98</v>
      </c>
      <c r="UBW1914" s="56">
        <v>17.5</v>
      </c>
      <c r="UBX1914" s="62">
        <v>13.28</v>
      </c>
      <c r="UBY1914" s="115">
        <v>19.489999999999998</v>
      </c>
      <c r="UBZ1914" s="56">
        <v>18.98</v>
      </c>
      <c r="UCA1914" s="56">
        <v>17.5</v>
      </c>
      <c r="UCB1914" s="62">
        <v>13.28</v>
      </c>
      <c r="UCC1914" s="115">
        <v>19.489999999999998</v>
      </c>
      <c r="UCD1914" s="56">
        <v>18.98</v>
      </c>
      <c r="UCE1914" s="56">
        <v>17.5</v>
      </c>
      <c r="UCF1914" s="62">
        <v>13.28</v>
      </c>
      <c r="UCG1914" s="115">
        <v>19.489999999999998</v>
      </c>
      <c r="UCH1914" s="56">
        <v>18.98</v>
      </c>
      <c r="UCI1914" s="56">
        <v>17.5</v>
      </c>
      <c r="UCJ1914" s="62">
        <v>13.28</v>
      </c>
      <c r="UCK1914" s="115">
        <v>19.489999999999998</v>
      </c>
      <c r="UCL1914" s="56">
        <v>18.98</v>
      </c>
      <c r="UCM1914" s="56">
        <v>17.5</v>
      </c>
      <c r="UCN1914" s="62">
        <v>13.28</v>
      </c>
      <c r="UCO1914" s="115">
        <v>19.489999999999998</v>
      </c>
      <c r="UCP1914" s="56">
        <v>18.98</v>
      </c>
      <c r="UCQ1914" s="56">
        <v>17.5</v>
      </c>
      <c r="UCR1914" s="62">
        <v>13.28</v>
      </c>
      <c r="UCS1914" s="115">
        <v>19.489999999999998</v>
      </c>
      <c r="UCT1914" s="56">
        <v>18.98</v>
      </c>
      <c r="UCU1914" s="56">
        <v>17.5</v>
      </c>
      <c r="UCV1914" s="62">
        <v>13.28</v>
      </c>
      <c r="UCW1914" s="115">
        <v>19.489999999999998</v>
      </c>
      <c r="UCX1914" s="56">
        <v>18.98</v>
      </c>
      <c r="UCY1914" s="56">
        <v>17.5</v>
      </c>
      <c r="UCZ1914" s="62">
        <v>13.28</v>
      </c>
      <c r="UDA1914" s="115">
        <v>19.489999999999998</v>
      </c>
      <c r="UDB1914" s="56">
        <v>18.98</v>
      </c>
      <c r="UDC1914" s="56">
        <v>17.5</v>
      </c>
      <c r="UDD1914" s="62">
        <v>13.28</v>
      </c>
      <c r="UDE1914" s="115">
        <v>19.489999999999998</v>
      </c>
      <c r="UDF1914" s="56">
        <v>18.98</v>
      </c>
      <c r="UDG1914" s="56">
        <v>17.5</v>
      </c>
      <c r="UDH1914" s="62">
        <v>13.28</v>
      </c>
      <c r="UDI1914" s="115">
        <v>19.489999999999998</v>
      </c>
      <c r="UDJ1914" s="56">
        <v>18.98</v>
      </c>
      <c r="UDK1914" s="56">
        <v>17.5</v>
      </c>
      <c r="UDL1914" s="62">
        <v>13.28</v>
      </c>
      <c r="UDM1914" s="115">
        <v>19.489999999999998</v>
      </c>
      <c r="UDN1914" s="56">
        <v>18.98</v>
      </c>
      <c r="UDO1914" s="56">
        <v>17.5</v>
      </c>
      <c r="UDP1914" s="62">
        <v>13.28</v>
      </c>
      <c r="UDQ1914" s="115">
        <v>19.489999999999998</v>
      </c>
      <c r="UDR1914" s="56">
        <v>18.98</v>
      </c>
      <c r="UDS1914" s="56">
        <v>17.5</v>
      </c>
      <c r="UDT1914" s="62">
        <v>13.28</v>
      </c>
      <c r="UDU1914" s="115">
        <v>19.489999999999998</v>
      </c>
      <c r="UDV1914" s="56">
        <v>18.98</v>
      </c>
      <c r="UDW1914" s="56">
        <v>17.5</v>
      </c>
      <c r="UDX1914" s="62">
        <v>13.28</v>
      </c>
      <c r="UDY1914" s="115">
        <v>19.489999999999998</v>
      </c>
      <c r="UDZ1914" s="56">
        <v>18.98</v>
      </c>
      <c r="UEA1914" s="56">
        <v>17.5</v>
      </c>
      <c r="UEB1914" s="62">
        <v>13.28</v>
      </c>
      <c r="UEC1914" s="115">
        <v>19.489999999999998</v>
      </c>
      <c r="UED1914" s="56">
        <v>18.98</v>
      </c>
      <c r="UEE1914" s="56">
        <v>17.5</v>
      </c>
      <c r="UEF1914" s="62">
        <v>13.28</v>
      </c>
      <c r="UEG1914" s="115">
        <v>19.489999999999998</v>
      </c>
      <c r="UEH1914" s="56">
        <v>18.98</v>
      </c>
      <c r="UEI1914" s="56">
        <v>17.5</v>
      </c>
      <c r="UEJ1914" s="62">
        <v>13.28</v>
      </c>
      <c r="UEK1914" s="115">
        <v>19.489999999999998</v>
      </c>
      <c r="UEL1914" s="56">
        <v>18.98</v>
      </c>
      <c r="UEM1914" s="56">
        <v>17.5</v>
      </c>
      <c r="UEN1914" s="62">
        <v>13.28</v>
      </c>
      <c r="UEO1914" s="115">
        <v>19.489999999999998</v>
      </c>
      <c r="UEP1914" s="56">
        <v>18.98</v>
      </c>
      <c r="UEQ1914" s="56">
        <v>17.5</v>
      </c>
      <c r="UER1914" s="62">
        <v>13.28</v>
      </c>
      <c r="UES1914" s="115">
        <v>19.489999999999998</v>
      </c>
      <c r="UET1914" s="56">
        <v>18.98</v>
      </c>
      <c r="UEU1914" s="56">
        <v>17.5</v>
      </c>
      <c r="UEV1914" s="62">
        <v>13.28</v>
      </c>
      <c r="UEW1914" s="115">
        <v>19.489999999999998</v>
      </c>
      <c r="UEX1914" s="56">
        <v>18.98</v>
      </c>
      <c r="UEY1914" s="56">
        <v>17.5</v>
      </c>
      <c r="UEZ1914" s="62">
        <v>13.28</v>
      </c>
      <c r="UFA1914" s="115">
        <v>19.489999999999998</v>
      </c>
      <c r="UFB1914" s="56">
        <v>18.98</v>
      </c>
      <c r="UFC1914" s="56">
        <v>17.5</v>
      </c>
      <c r="UFD1914" s="62">
        <v>13.28</v>
      </c>
      <c r="UFE1914" s="115">
        <v>19.489999999999998</v>
      </c>
      <c r="UFF1914" s="56">
        <v>18.98</v>
      </c>
      <c r="UFG1914" s="56">
        <v>17.5</v>
      </c>
      <c r="UFH1914" s="62">
        <v>13.28</v>
      </c>
      <c r="UFI1914" s="115">
        <v>19.489999999999998</v>
      </c>
      <c r="UFJ1914" s="56">
        <v>18.98</v>
      </c>
      <c r="UFK1914" s="56">
        <v>17.5</v>
      </c>
      <c r="UFL1914" s="62">
        <v>13.28</v>
      </c>
      <c r="UFM1914" s="115">
        <v>19.489999999999998</v>
      </c>
      <c r="UFN1914" s="56">
        <v>18.98</v>
      </c>
      <c r="UFO1914" s="56">
        <v>17.5</v>
      </c>
      <c r="UFP1914" s="62">
        <v>13.28</v>
      </c>
      <c r="UFQ1914" s="115">
        <v>19.489999999999998</v>
      </c>
      <c r="UFR1914" s="56">
        <v>18.98</v>
      </c>
      <c r="UFS1914" s="56">
        <v>17.5</v>
      </c>
      <c r="UFT1914" s="62">
        <v>13.28</v>
      </c>
      <c r="UFU1914" s="115">
        <v>19.489999999999998</v>
      </c>
      <c r="UFV1914" s="56">
        <v>18.98</v>
      </c>
      <c r="UFW1914" s="56">
        <v>17.5</v>
      </c>
      <c r="UFX1914" s="62">
        <v>13.28</v>
      </c>
      <c r="UFY1914" s="115">
        <v>19.489999999999998</v>
      </c>
      <c r="UFZ1914" s="56">
        <v>18.98</v>
      </c>
      <c r="UGA1914" s="56">
        <v>17.5</v>
      </c>
      <c r="UGB1914" s="62">
        <v>13.28</v>
      </c>
      <c r="UGC1914" s="115">
        <v>19.489999999999998</v>
      </c>
      <c r="UGD1914" s="56">
        <v>18.98</v>
      </c>
      <c r="UGE1914" s="56">
        <v>17.5</v>
      </c>
      <c r="UGF1914" s="62">
        <v>13.28</v>
      </c>
      <c r="UGG1914" s="115">
        <v>19.489999999999998</v>
      </c>
      <c r="UGH1914" s="56">
        <v>18.98</v>
      </c>
      <c r="UGI1914" s="56">
        <v>17.5</v>
      </c>
      <c r="UGJ1914" s="62">
        <v>13.28</v>
      </c>
      <c r="UGK1914" s="115">
        <v>19.489999999999998</v>
      </c>
      <c r="UGL1914" s="56">
        <v>18.98</v>
      </c>
      <c r="UGM1914" s="56">
        <v>17.5</v>
      </c>
      <c r="UGN1914" s="62">
        <v>13.28</v>
      </c>
      <c r="UGO1914" s="115">
        <v>19.489999999999998</v>
      </c>
      <c r="UGP1914" s="56">
        <v>18.98</v>
      </c>
      <c r="UGQ1914" s="56">
        <v>17.5</v>
      </c>
      <c r="UGR1914" s="62">
        <v>13.28</v>
      </c>
      <c r="UGS1914" s="115">
        <v>19.489999999999998</v>
      </c>
      <c r="UGT1914" s="56">
        <v>18.98</v>
      </c>
      <c r="UGU1914" s="56">
        <v>17.5</v>
      </c>
      <c r="UGV1914" s="62">
        <v>13.28</v>
      </c>
      <c r="UGW1914" s="115">
        <v>19.489999999999998</v>
      </c>
      <c r="UGX1914" s="56">
        <v>18.98</v>
      </c>
      <c r="UGY1914" s="56">
        <v>17.5</v>
      </c>
      <c r="UGZ1914" s="62">
        <v>13.28</v>
      </c>
      <c r="UHA1914" s="115">
        <v>19.489999999999998</v>
      </c>
      <c r="UHB1914" s="56">
        <v>18.98</v>
      </c>
      <c r="UHC1914" s="56">
        <v>17.5</v>
      </c>
      <c r="UHD1914" s="62">
        <v>13.28</v>
      </c>
      <c r="UHE1914" s="115">
        <v>19.489999999999998</v>
      </c>
      <c r="UHF1914" s="56">
        <v>18.98</v>
      </c>
      <c r="UHG1914" s="56">
        <v>17.5</v>
      </c>
      <c r="UHH1914" s="62">
        <v>13.28</v>
      </c>
      <c r="UHI1914" s="115">
        <v>19.489999999999998</v>
      </c>
      <c r="UHJ1914" s="56">
        <v>18.98</v>
      </c>
      <c r="UHK1914" s="56">
        <v>17.5</v>
      </c>
      <c r="UHL1914" s="62">
        <v>13.28</v>
      </c>
      <c r="UHM1914" s="115">
        <v>19.489999999999998</v>
      </c>
      <c r="UHN1914" s="56">
        <v>18.98</v>
      </c>
      <c r="UHO1914" s="56">
        <v>17.5</v>
      </c>
      <c r="UHP1914" s="62">
        <v>13.28</v>
      </c>
      <c r="UHQ1914" s="115">
        <v>19.489999999999998</v>
      </c>
      <c r="UHR1914" s="56">
        <v>18.98</v>
      </c>
      <c r="UHS1914" s="56">
        <v>17.5</v>
      </c>
      <c r="UHT1914" s="62">
        <v>13.28</v>
      </c>
      <c r="UHU1914" s="115">
        <v>19.489999999999998</v>
      </c>
      <c r="UHV1914" s="56">
        <v>18.98</v>
      </c>
      <c r="UHW1914" s="56">
        <v>17.5</v>
      </c>
      <c r="UHX1914" s="62">
        <v>13.28</v>
      </c>
      <c r="UHY1914" s="115">
        <v>19.489999999999998</v>
      </c>
      <c r="UHZ1914" s="56">
        <v>18.98</v>
      </c>
      <c r="UIA1914" s="56">
        <v>17.5</v>
      </c>
      <c r="UIB1914" s="62">
        <v>13.28</v>
      </c>
      <c r="UIC1914" s="115">
        <v>19.489999999999998</v>
      </c>
      <c r="UID1914" s="56">
        <v>18.98</v>
      </c>
      <c r="UIE1914" s="56">
        <v>17.5</v>
      </c>
      <c r="UIF1914" s="62">
        <v>13.28</v>
      </c>
      <c r="UIG1914" s="115">
        <v>19.489999999999998</v>
      </c>
      <c r="UIH1914" s="56">
        <v>18.98</v>
      </c>
      <c r="UII1914" s="56">
        <v>17.5</v>
      </c>
      <c r="UIJ1914" s="62">
        <v>13.28</v>
      </c>
      <c r="UIK1914" s="115">
        <v>19.489999999999998</v>
      </c>
      <c r="UIL1914" s="56">
        <v>18.98</v>
      </c>
      <c r="UIM1914" s="56">
        <v>17.5</v>
      </c>
      <c r="UIN1914" s="62">
        <v>13.28</v>
      </c>
      <c r="UIO1914" s="115">
        <v>19.489999999999998</v>
      </c>
      <c r="UIP1914" s="56">
        <v>18.98</v>
      </c>
      <c r="UIQ1914" s="56">
        <v>17.5</v>
      </c>
      <c r="UIR1914" s="62">
        <v>13.28</v>
      </c>
      <c r="UIS1914" s="115">
        <v>19.489999999999998</v>
      </c>
      <c r="UIT1914" s="56">
        <v>18.98</v>
      </c>
      <c r="UIU1914" s="56">
        <v>17.5</v>
      </c>
      <c r="UIV1914" s="62">
        <v>13.28</v>
      </c>
      <c r="UIW1914" s="115">
        <v>19.489999999999998</v>
      </c>
      <c r="UIX1914" s="56">
        <v>18.98</v>
      </c>
      <c r="UIY1914" s="56">
        <v>17.5</v>
      </c>
      <c r="UIZ1914" s="62">
        <v>13.28</v>
      </c>
      <c r="UJA1914" s="115">
        <v>19.489999999999998</v>
      </c>
      <c r="UJB1914" s="56">
        <v>18.98</v>
      </c>
      <c r="UJC1914" s="56">
        <v>17.5</v>
      </c>
      <c r="UJD1914" s="62">
        <v>13.28</v>
      </c>
      <c r="UJE1914" s="115">
        <v>19.489999999999998</v>
      </c>
      <c r="UJF1914" s="56">
        <v>18.98</v>
      </c>
      <c r="UJG1914" s="56">
        <v>17.5</v>
      </c>
      <c r="UJH1914" s="62">
        <v>13.28</v>
      </c>
      <c r="UJI1914" s="115">
        <v>19.489999999999998</v>
      </c>
      <c r="UJJ1914" s="56">
        <v>18.98</v>
      </c>
      <c r="UJK1914" s="56">
        <v>17.5</v>
      </c>
      <c r="UJL1914" s="62">
        <v>13.28</v>
      </c>
      <c r="UJM1914" s="115">
        <v>19.489999999999998</v>
      </c>
      <c r="UJN1914" s="56">
        <v>18.98</v>
      </c>
      <c r="UJO1914" s="56">
        <v>17.5</v>
      </c>
      <c r="UJP1914" s="62">
        <v>13.28</v>
      </c>
      <c r="UJQ1914" s="115">
        <v>19.489999999999998</v>
      </c>
      <c r="UJR1914" s="56">
        <v>18.98</v>
      </c>
      <c r="UJS1914" s="56">
        <v>17.5</v>
      </c>
      <c r="UJT1914" s="62">
        <v>13.28</v>
      </c>
      <c r="UJU1914" s="115">
        <v>19.489999999999998</v>
      </c>
      <c r="UJV1914" s="56">
        <v>18.98</v>
      </c>
      <c r="UJW1914" s="56">
        <v>17.5</v>
      </c>
      <c r="UJX1914" s="62">
        <v>13.28</v>
      </c>
      <c r="UJY1914" s="115">
        <v>19.489999999999998</v>
      </c>
      <c r="UJZ1914" s="56">
        <v>18.98</v>
      </c>
      <c r="UKA1914" s="56">
        <v>17.5</v>
      </c>
      <c r="UKB1914" s="62">
        <v>13.28</v>
      </c>
      <c r="UKC1914" s="115">
        <v>19.489999999999998</v>
      </c>
      <c r="UKD1914" s="56">
        <v>18.98</v>
      </c>
      <c r="UKE1914" s="56">
        <v>17.5</v>
      </c>
      <c r="UKF1914" s="62">
        <v>13.28</v>
      </c>
      <c r="UKG1914" s="115">
        <v>19.489999999999998</v>
      </c>
      <c r="UKH1914" s="56">
        <v>18.98</v>
      </c>
      <c r="UKI1914" s="56">
        <v>17.5</v>
      </c>
      <c r="UKJ1914" s="62">
        <v>13.28</v>
      </c>
      <c r="UKK1914" s="115">
        <v>19.489999999999998</v>
      </c>
      <c r="UKL1914" s="56">
        <v>18.98</v>
      </c>
      <c r="UKM1914" s="56">
        <v>17.5</v>
      </c>
      <c r="UKN1914" s="62">
        <v>13.28</v>
      </c>
      <c r="UKO1914" s="115">
        <v>19.489999999999998</v>
      </c>
      <c r="UKP1914" s="56">
        <v>18.98</v>
      </c>
      <c r="UKQ1914" s="56">
        <v>17.5</v>
      </c>
      <c r="UKR1914" s="62">
        <v>13.28</v>
      </c>
      <c r="UKS1914" s="115">
        <v>19.489999999999998</v>
      </c>
      <c r="UKT1914" s="56">
        <v>18.98</v>
      </c>
      <c r="UKU1914" s="56">
        <v>17.5</v>
      </c>
      <c r="UKV1914" s="62">
        <v>13.28</v>
      </c>
      <c r="UKW1914" s="115">
        <v>19.489999999999998</v>
      </c>
      <c r="UKX1914" s="56">
        <v>18.98</v>
      </c>
      <c r="UKY1914" s="56">
        <v>17.5</v>
      </c>
      <c r="UKZ1914" s="62">
        <v>13.28</v>
      </c>
      <c r="ULA1914" s="115">
        <v>19.489999999999998</v>
      </c>
      <c r="ULB1914" s="56">
        <v>18.98</v>
      </c>
      <c r="ULC1914" s="56">
        <v>17.5</v>
      </c>
      <c r="ULD1914" s="62">
        <v>13.28</v>
      </c>
      <c r="ULE1914" s="115">
        <v>19.489999999999998</v>
      </c>
      <c r="ULF1914" s="56">
        <v>18.98</v>
      </c>
      <c r="ULG1914" s="56">
        <v>17.5</v>
      </c>
      <c r="ULH1914" s="62">
        <v>13.28</v>
      </c>
      <c r="ULI1914" s="115">
        <v>19.489999999999998</v>
      </c>
      <c r="ULJ1914" s="56">
        <v>18.98</v>
      </c>
      <c r="ULK1914" s="56">
        <v>17.5</v>
      </c>
      <c r="ULL1914" s="62">
        <v>13.28</v>
      </c>
      <c r="ULM1914" s="115">
        <v>19.489999999999998</v>
      </c>
      <c r="ULN1914" s="56">
        <v>18.98</v>
      </c>
      <c r="ULO1914" s="56">
        <v>17.5</v>
      </c>
      <c r="ULP1914" s="62">
        <v>13.28</v>
      </c>
      <c r="ULQ1914" s="115">
        <v>19.489999999999998</v>
      </c>
      <c r="ULR1914" s="56">
        <v>18.98</v>
      </c>
      <c r="ULS1914" s="56">
        <v>17.5</v>
      </c>
      <c r="ULT1914" s="62">
        <v>13.28</v>
      </c>
      <c r="ULU1914" s="115">
        <v>19.489999999999998</v>
      </c>
      <c r="ULV1914" s="56">
        <v>18.98</v>
      </c>
      <c r="ULW1914" s="56">
        <v>17.5</v>
      </c>
      <c r="ULX1914" s="62">
        <v>13.28</v>
      </c>
      <c r="ULY1914" s="115">
        <v>19.489999999999998</v>
      </c>
      <c r="ULZ1914" s="56">
        <v>18.98</v>
      </c>
      <c r="UMA1914" s="56">
        <v>17.5</v>
      </c>
      <c r="UMB1914" s="62">
        <v>13.28</v>
      </c>
      <c r="UMC1914" s="115">
        <v>19.489999999999998</v>
      </c>
      <c r="UMD1914" s="56">
        <v>18.98</v>
      </c>
      <c r="UME1914" s="56">
        <v>17.5</v>
      </c>
      <c r="UMF1914" s="62">
        <v>13.28</v>
      </c>
      <c r="UMG1914" s="115">
        <v>19.489999999999998</v>
      </c>
      <c r="UMH1914" s="56">
        <v>18.98</v>
      </c>
      <c r="UMI1914" s="56">
        <v>17.5</v>
      </c>
      <c r="UMJ1914" s="62">
        <v>13.28</v>
      </c>
      <c r="UMK1914" s="115">
        <v>19.489999999999998</v>
      </c>
      <c r="UML1914" s="56">
        <v>18.98</v>
      </c>
      <c r="UMM1914" s="56">
        <v>17.5</v>
      </c>
      <c r="UMN1914" s="62">
        <v>13.28</v>
      </c>
      <c r="UMO1914" s="115">
        <v>19.489999999999998</v>
      </c>
      <c r="UMP1914" s="56">
        <v>18.98</v>
      </c>
      <c r="UMQ1914" s="56">
        <v>17.5</v>
      </c>
      <c r="UMR1914" s="62">
        <v>13.28</v>
      </c>
      <c r="UMS1914" s="115">
        <v>19.489999999999998</v>
      </c>
      <c r="UMT1914" s="56">
        <v>18.98</v>
      </c>
      <c r="UMU1914" s="56">
        <v>17.5</v>
      </c>
      <c r="UMV1914" s="62">
        <v>13.28</v>
      </c>
      <c r="UMW1914" s="115">
        <v>19.489999999999998</v>
      </c>
      <c r="UMX1914" s="56">
        <v>18.98</v>
      </c>
      <c r="UMY1914" s="56">
        <v>17.5</v>
      </c>
      <c r="UMZ1914" s="62">
        <v>13.28</v>
      </c>
      <c r="UNA1914" s="115">
        <v>19.489999999999998</v>
      </c>
      <c r="UNB1914" s="56">
        <v>18.98</v>
      </c>
      <c r="UNC1914" s="56">
        <v>17.5</v>
      </c>
      <c r="UND1914" s="62">
        <v>13.28</v>
      </c>
      <c r="UNE1914" s="115">
        <v>19.489999999999998</v>
      </c>
      <c r="UNF1914" s="56">
        <v>18.98</v>
      </c>
      <c r="UNG1914" s="56">
        <v>17.5</v>
      </c>
      <c r="UNH1914" s="62">
        <v>13.28</v>
      </c>
      <c r="UNI1914" s="115">
        <v>19.489999999999998</v>
      </c>
      <c r="UNJ1914" s="56">
        <v>18.98</v>
      </c>
      <c r="UNK1914" s="56">
        <v>17.5</v>
      </c>
      <c r="UNL1914" s="62">
        <v>13.28</v>
      </c>
      <c r="UNM1914" s="115">
        <v>19.489999999999998</v>
      </c>
      <c r="UNN1914" s="56">
        <v>18.98</v>
      </c>
      <c r="UNO1914" s="56">
        <v>17.5</v>
      </c>
      <c r="UNP1914" s="62">
        <v>13.28</v>
      </c>
      <c r="UNQ1914" s="115">
        <v>19.489999999999998</v>
      </c>
      <c r="UNR1914" s="56">
        <v>18.98</v>
      </c>
      <c r="UNS1914" s="56">
        <v>17.5</v>
      </c>
      <c r="UNT1914" s="62">
        <v>13.28</v>
      </c>
      <c r="UNU1914" s="115">
        <v>19.489999999999998</v>
      </c>
      <c r="UNV1914" s="56">
        <v>18.98</v>
      </c>
      <c r="UNW1914" s="56">
        <v>17.5</v>
      </c>
      <c r="UNX1914" s="62">
        <v>13.28</v>
      </c>
      <c r="UNY1914" s="115">
        <v>19.489999999999998</v>
      </c>
      <c r="UNZ1914" s="56">
        <v>18.98</v>
      </c>
      <c r="UOA1914" s="56">
        <v>17.5</v>
      </c>
      <c r="UOB1914" s="62">
        <v>13.28</v>
      </c>
      <c r="UOC1914" s="115">
        <v>19.489999999999998</v>
      </c>
      <c r="UOD1914" s="56">
        <v>18.98</v>
      </c>
      <c r="UOE1914" s="56">
        <v>17.5</v>
      </c>
      <c r="UOF1914" s="62">
        <v>13.28</v>
      </c>
      <c r="UOG1914" s="115">
        <v>19.489999999999998</v>
      </c>
      <c r="UOH1914" s="56">
        <v>18.98</v>
      </c>
      <c r="UOI1914" s="56">
        <v>17.5</v>
      </c>
      <c r="UOJ1914" s="62">
        <v>13.28</v>
      </c>
      <c r="UOK1914" s="115">
        <v>19.489999999999998</v>
      </c>
      <c r="UOL1914" s="56">
        <v>18.98</v>
      </c>
      <c r="UOM1914" s="56">
        <v>17.5</v>
      </c>
      <c r="UON1914" s="62">
        <v>13.28</v>
      </c>
      <c r="UOO1914" s="115">
        <v>19.489999999999998</v>
      </c>
      <c r="UOP1914" s="56">
        <v>18.98</v>
      </c>
      <c r="UOQ1914" s="56">
        <v>17.5</v>
      </c>
      <c r="UOR1914" s="62">
        <v>13.28</v>
      </c>
      <c r="UOS1914" s="115">
        <v>19.489999999999998</v>
      </c>
      <c r="UOT1914" s="56">
        <v>18.98</v>
      </c>
      <c r="UOU1914" s="56">
        <v>17.5</v>
      </c>
      <c r="UOV1914" s="62">
        <v>13.28</v>
      </c>
      <c r="UOW1914" s="115">
        <v>19.489999999999998</v>
      </c>
      <c r="UOX1914" s="56">
        <v>18.98</v>
      </c>
      <c r="UOY1914" s="56">
        <v>17.5</v>
      </c>
      <c r="UOZ1914" s="62">
        <v>13.28</v>
      </c>
      <c r="UPA1914" s="115">
        <v>19.489999999999998</v>
      </c>
      <c r="UPB1914" s="56">
        <v>18.98</v>
      </c>
      <c r="UPC1914" s="56">
        <v>17.5</v>
      </c>
      <c r="UPD1914" s="62">
        <v>13.28</v>
      </c>
      <c r="UPE1914" s="115">
        <v>19.489999999999998</v>
      </c>
      <c r="UPF1914" s="56">
        <v>18.98</v>
      </c>
      <c r="UPG1914" s="56">
        <v>17.5</v>
      </c>
      <c r="UPH1914" s="62">
        <v>13.28</v>
      </c>
      <c r="UPI1914" s="115">
        <v>19.489999999999998</v>
      </c>
      <c r="UPJ1914" s="56">
        <v>18.98</v>
      </c>
      <c r="UPK1914" s="56">
        <v>17.5</v>
      </c>
      <c r="UPL1914" s="62">
        <v>13.28</v>
      </c>
      <c r="UPM1914" s="115">
        <v>19.489999999999998</v>
      </c>
      <c r="UPN1914" s="56">
        <v>18.98</v>
      </c>
      <c r="UPO1914" s="56">
        <v>17.5</v>
      </c>
      <c r="UPP1914" s="62">
        <v>13.28</v>
      </c>
      <c r="UPQ1914" s="115">
        <v>19.489999999999998</v>
      </c>
      <c r="UPR1914" s="56">
        <v>18.98</v>
      </c>
      <c r="UPS1914" s="56">
        <v>17.5</v>
      </c>
      <c r="UPT1914" s="62">
        <v>13.28</v>
      </c>
      <c r="UPU1914" s="115">
        <v>19.489999999999998</v>
      </c>
      <c r="UPV1914" s="56">
        <v>18.98</v>
      </c>
      <c r="UPW1914" s="56">
        <v>17.5</v>
      </c>
      <c r="UPX1914" s="62">
        <v>13.28</v>
      </c>
      <c r="UPY1914" s="115">
        <v>19.489999999999998</v>
      </c>
      <c r="UPZ1914" s="56">
        <v>18.98</v>
      </c>
      <c r="UQA1914" s="56">
        <v>17.5</v>
      </c>
      <c r="UQB1914" s="62">
        <v>13.28</v>
      </c>
      <c r="UQC1914" s="115">
        <v>19.489999999999998</v>
      </c>
      <c r="UQD1914" s="56">
        <v>18.98</v>
      </c>
      <c r="UQE1914" s="56">
        <v>17.5</v>
      </c>
      <c r="UQF1914" s="62">
        <v>13.28</v>
      </c>
      <c r="UQG1914" s="115">
        <v>19.489999999999998</v>
      </c>
      <c r="UQH1914" s="56">
        <v>18.98</v>
      </c>
      <c r="UQI1914" s="56">
        <v>17.5</v>
      </c>
      <c r="UQJ1914" s="62">
        <v>13.28</v>
      </c>
      <c r="UQK1914" s="115">
        <v>19.489999999999998</v>
      </c>
      <c r="UQL1914" s="56">
        <v>18.98</v>
      </c>
      <c r="UQM1914" s="56">
        <v>17.5</v>
      </c>
      <c r="UQN1914" s="62">
        <v>13.28</v>
      </c>
      <c r="UQO1914" s="115">
        <v>19.489999999999998</v>
      </c>
      <c r="UQP1914" s="56">
        <v>18.98</v>
      </c>
      <c r="UQQ1914" s="56">
        <v>17.5</v>
      </c>
      <c r="UQR1914" s="62">
        <v>13.28</v>
      </c>
      <c r="UQS1914" s="115">
        <v>19.489999999999998</v>
      </c>
      <c r="UQT1914" s="56">
        <v>18.98</v>
      </c>
      <c r="UQU1914" s="56">
        <v>17.5</v>
      </c>
      <c r="UQV1914" s="62">
        <v>13.28</v>
      </c>
      <c r="UQW1914" s="115">
        <v>19.489999999999998</v>
      </c>
      <c r="UQX1914" s="56">
        <v>18.98</v>
      </c>
      <c r="UQY1914" s="56">
        <v>17.5</v>
      </c>
      <c r="UQZ1914" s="62">
        <v>13.28</v>
      </c>
      <c r="URA1914" s="115">
        <v>19.489999999999998</v>
      </c>
      <c r="URB1914" s="56">
        <v>18.98</v>
      </c>
      <c r="URC1914" s="56">
        <v>17.5</v>
      </c>
      <c r="URD1914" s="62">
        <v>13.28</v>
      </c>
      <c r="URE1914" s="115">
        <v>19.489999999999998</v>
      </c>
      <c r="URF1914" s="56">
        <v>18.98</v>
      </c>
      <c r="URG1914" s="56">
        <v>17.5</v>
      </c>
      <c r="URH1914" s="62">
        <v>13.28</v>
      </c>
      <c r="URI1914" s="115">
        <v>19.489999999999998</v>
      </c>
      <c r="URJ1914" s="56">
        <v>18.98</v>
      </c>
      <c r="URK1914" s="56">
        <v>17.5</v>
      </c>
      <c r="URL1914" s="62">
        <v>13.28</v>
      </c>
      <c r="URM1914" s="115">
        <v>19.489999999999998</v>
      </c>
      <c r="URN1914" s="56">
        <v>18.98</v>
      </c>
      <c r="URO1914" s="56">
        <v>17.5</v>
      </c>
      <c r="URP1914" s="62">
        <v>13.28</v>
      </c>
      <c r="URQ1914" s="115">
        <v>19.489999999999998</v>
      </c>
      <c r="URR1914" s="56">
        <v>18.98</v>
      </c>
      <c r="URS1914" s="56">
        <v>17.5</v>
      </c>
      <c r="URT1914" s="62">
        <v>13.28</v>
      </c>
      <c r="URU1914" s="115">
        <v>19.489999999999998</v>
      </c>
      <c r="URV1914" s="56">
        <v>18.98</v>
      </c>
      <c r="URW1914" s="56">
        <v>17.5</v>
      </c>
      <c r="URX1914" s="62">
        <v>13.28</v>
      </c>
      <c r="URY1914" s="115">
        <v>19.489999999999998</v>
      </c>
      <c r="URZ1914" s="56">
        <v>18.98</v>
      </c>
      <c r="USA1914" s="56">
        <v>17.5</v>
      </c>
      <c r="USB1914" s="62">
        <v>13.28</v>
      </c>
      <c r="USC1914" s="115">
        <v>19.489999999999998</v>
      </c>
      <c r="USD1914" s="56">
        <v>18.98</v>
      </c>
      <c r="USE1914" s="56">
        <v>17.5</v>
      </c>
      <c r="USF1914" s="62">
        <v>13.28</v>
      </c>
      <c r="USG1914" s="115">
        <v>19.489999999999998</v>
      </c>
      <c r="USH1914" s="56">
        <v>18.98</v>
      </c>
      <c r="USI1914" s="56">
        <v>17.5</v>
      </c>
      <c r="USJ1914" s="62">
        <v>13.28</v>
      </c>
      <c r="USK1914" s="115">
        <v>19.489999999999998</v>
      </c>
      <c r="USL1914" s="56">
        <v>18.98</v>
      </c>
      <c r="USM1914" s="56">
        <v>17.5</v>
      </c>
      <c r="USN1914" s="62">
        <v>13.28</v>
      </c>
      <c r="USO1914" s="115">
        <v>19.489999999999998</v>
      </c>
      <c r="USP1914" s="56">
        <v>18.98</v>
      </c>
      <c r="USQ1914" s="56">
        <v>17.5</v>
      </c>
      <c r="USR1914" s="62">
        <v>13.28</v>
      </c>
      <c r="USS1914" s="115">
        <v>19.489999999999998</v>
      </c>
      <c r="UST1914" s="56">
        <v>18.98</v>
      </c>
      <c r="USU1914" s="56">
        <v>17.5</v>
      </c>
      <c r="USV1914" s="62">
        <v>13.28</v>
      </c>
      <c r="USW1914" s="115">
        <v>19.489999999999998</v>
      </c>
      <c r="USX1914" s="56">
        <v>18.98</v>
      </c>
      <c r="USY1914" s="56">
        <v>17.5</v>
      </c>
      <c r="USZ1914" s="62">
        <v>13.28</v>
      </c>
      <c r="UTA1914" s="115">
        <v>19.489999999999998</v>
      </c>
      <c r="UTB1914" s="56">
        <v>18.98</v>
      </c>
      <c r="UTC1914" s="56">
        <v>17.5</v>
      </c>
      <c r="UTD1914" s="62">
        <v>13.28</v>
      </c>
      <c r="UTE1914" s="115">
        <v>19.489999999999998</v>
      </c>
      <c r="UTF1914" s="56">
        <v>18.98</v>
      </c>
      <c r="UTG1914" s="56">
        <v>17.5</v>
      </c>
      <c r="UTH1914" s="62">
        <v>13.28</v>
      </c>
      <c r="UTI1914" s="115">
        <v>19.489999999999998</v>
      </c>
      <c r="UTJ1914" s="56">
        <v>18.98</v>
      </c>
      <c r="UTK1914" s="56">
        <v>17.5</v>
      </c>
      <c r="UTL1914" s="62">
        <v>13.28</v>
      </c>
      <c r="UTM1914" s="115">
        <v>19.489999999999998</v>
      </c>
      <c r="UTN1914" s="56">
        <v>18.98</v>
      </c>
      <c r="UTO1914" s="56">
        <v>17.5</v>
      </c>
      <c r="UTP1914" s="62">
        <v>13.28</v>
      </c>
      <c r="UTQ1914" s="115">
        <v>19.489999999999998</v>
      </c>
      <c r="UTR1914" s="56">
        <v>18.98</v>
      </c>
      <c r="UTS1914" s="56">
        <v>17.5</v>
      </c>
      <c r="UTT1914" s="62">
        <v>13.28</v>
      </c>
      <c r="UTU1914" s="115">
        <v>19.489999999999998</v>
      </c>
      <c r="UTV1914" s="56">
        <v>18.98</v>
      </c>
      <c r="UTW1914" s="56">
        <v>17.5</v>
      </c>
      <c r="UTX1914" s="62">
        <v>13.28</v>
      </c>
      <c r="UTY1914" s="115">
        <v>19.489999999999998</v>
      </c>
      <c r="UTZ1914" s="56">
        <v>18.98</v>
      </c>
      <c r="UUA1914" s="56">
        <v>17.5</v>
      </c>
      <c r="UUB1914" s="62">
        <v>13.28</v>
      </c>
      <c r="UUC1914" s="115">
        <v>19.489999999999998</v>
      </c>
      <c r="UUD1914" s="56">
        <v>18.98</v>
      </c>
      <c r="UUE1914" s="56">
        <v>17.5</v>
      </c>
      <c r="UUF1914" s="62">
        <v>13.28</v>
      </c>
      <c r="UUG1914" s="115">
        <v>19.489999999999998</v>
      </c>
      <c r="UUH1914" s="56">
        <v>18.98</v>
      </c>
      <c r="UUI1914" s="56">
        <v>17.5</v>
      </c>
      <c r="UUJ1914" s="62">
        <v>13.28</v>
      </c>
      <c r="UUK1914" s="115">
        <v>19.489999999999998</v>
      </c>
      <c r="UUL1914" s="56">
        <v>18.98</v>
      </c>
      <c r="UUM1914" s="56">
        <v>17.5</v>
      </c>
      <c r="UUN1914" s="62">
        <v>13.28</v>
      </c>
      <c r="UUO1914" s="115">
        <v>19.489999999999998</v>
      </c>
      <c r="UUP1914" s="56">
        <v>18.98</v>
      </c>
      <c r="UUQ1914" s="56">
        <v>17.5</v>
      </c>
      <c r="UUR1914" s="62">
        <v>13.28</v>
      </c>
      <c r="UUS1914" s="115">
        <v>19.489999999999998</v>
      </c>
      <c r="UUT1914" s="56">
        <v>18.98</v>
      </c>
      <c r="UUU1914" s="56">
        <v>17.5</v>
      </c>
      <c r="UUV1914" s="62">
        <v>13.28</v>
      </c>
      <c r="UUW1914" s="115">
        <v>19.489999999999998</v>
      </c>
      <c r="UUX1914" s="56">
        <v>18.98</v>
      </c>
      <c r="UUY1914" s="56">
        <v>17.5</v>
      </c>
      <c r="UUZ1914" s="62">
        <v>13.28</v>
      </c>
      <c r="UVA1914" s="115">
        <v>19.489999999999998</v>
      </c>
      <c r="UVB1914" s="56">
        <v>18.98</v>
      </c>
      <c r="UVC1914" s="56">
        <v>17.5</v>
      </c>
      <c r="UVD1914" s="62">
        <v>13.28</v>
      </c>
      <c r="UVE1914" s="115">
        <v>19.489999999999998</v>
      </c>
      <c r="UVF1914" s="56">
        <v>18.98</v>
      </c>
      <c r="UVG1914" s="56">
        <v>17.5</v>
      </c>
      <c r="UVH1914" s="62">
        <v>13.28</v>
      </c>
      <c r="UVI1914" s="115">
        <v>19.489999999999998</v>
      </c>
      <c r="UVJ1914" s="56">
        <v>18.98</v>
      </c>
      <c r="UVK1914" s="56">
        <v>17.5</v>
      </c>
      <c r="UVL1914" s="62">
        <v>13.28</v>
      </c>
      <c r="UVM1914" s="115">
        <v>19.489999999999998</v>
      </c>
      <c r="UVN1914" s="56">
        <v>18.98</v>
      </c>
      <c r="UVO1914" s="56">
        <v>17.5</v>
      </c>
      <c r="UVP1914" s="62">
        <v>13.28</v>
      </c>
      <c r="UVQ1914" s="115">
        <v>19.489999999999998</v>
      </c>
      <c r="UVR1914" s="56">
        <v>18.98</v>
      </c>
      <c r="UVS1914" s="56">
        <v>17.5</v>
      </c>
      <c r="UVT1914" s="62">
        <v>13.28</v>
      </c>
      <c r="UVU1914" s="115">
        <v>19.489999999999998</v>
      </c>
      <c r="UVV1914" s="56">
        <v>18.98</v>
      </c>
      <c r="UVW1914" s="56">
        <v>17.5</v>
      </c>
      <c r="UVX1914" s="62">
        <v>13.28</v>
      </c>
      <c r="UVY1914" s="115">
        <v>19.489999999999998</v>
      </c>
      <c r="UVZ1914" s="56">
        <v>18.98</v>
      </c>
      <c r="UWA1914" s="56">
        <v>17.5</v>
      </c>
      <c r="UWB1914" s="62">
        <v>13.28</v>
      </c>
      <c r="UWC1914" s="115">
        <v>19.489999999999998</v>
      </c>
      <c r="UWD1914" s="56">
        <v>18.98</v>
      </c>
      <c r="UWE1914" s="56">
        <v>17.5</v>
      </c>
      <c r="UWF1914" s="62">
        <v>13.28</v>
      </c>
      <c r="UWG1914" s="115">
        <v>19.489999999999998</v>
      </c>
      <c r="UWH1914" s="56">
        <v>18.98</v>
      </c>
      <c r="UWI1914" s="56">
        <v>17.5</v>
      </c>
      <c r="UWJ1914" s="62">
        <v>13.28</v>
      </c>
      <c r="UWK1914" s="115">
        <v>19.489999999999998</v>
      </c>
      <c r="UWL1914" s="56">
        <v>18.98</v>
      </c>
      <c r="UWM1914" s="56">
        <v>17.5</v>
      </c>
      <c r="UWN1914" s="62">
        <v>13.28</v>
      </c>
      <c r="UWO1914" s="115">
        <v>19.489999999999998</v>
      </c>
      <c r="UWP1914" s="56">
        <v>18.98</v>
      </c>
      <c r="UWQ1914" s="56">
        <v>17.5</v>
      </c>
      <c r="UWR1914" s="62">
        <v>13.28</v>
      </c>
      <c r="UWS1914" s="115">
        <v>19.489999999999998</v>
      </c>
      <c r="UWT1914" s="56">
        <v>18.98</v>
      </c>
      <c r="UWU1914" s="56">
        <v>17.5</v>
      </c>
      <c r="UWV1914" s="62">
        <v>13.28</v>
      </c>
      <c r="UWW1914" s="115">
        <v>19.489999999999998</v>
      </c>
      <c r="UWX1914" s="56">
        <v>18.98</v>
      </c>
      <c r="UWY1914" s="56">
        <v>17.5</v>
      </c>
      <c r="UWZ1914" s="62">
        <v>13.28</v>
      </c>
      <c r="UXA1914" s="115">
        <v>19.489999999999998</v>
      </c>
      <c r="UXB1914" s="56">
        <v>18.98</v>
      </c>
      <c r="UXC1914" s="56">
        <v>17.5</v>
      </c>
      <c r="UXD1914" s="62">
        <v>13.28</v>
      </c>
      <c r="UXE1914" s="115">
        <v>19.489999999999998</v>
      </c>
      <c r="UXF1914" s="56">
        <v>18.98</v>
      </c>
      <c r="UXG1914" s="56">
        <v>17.5</v>
      </c>
      <c r="UXH1914" s="62">
        <v>13.28</v>
      </c>
      <c r="UXI1914" s="115">
        <v>19.489999999999998</v>
      </c>
      <c r="UXJ1914" s="56">
        <v>18.98</v>
      </c>
      <c r="UXK1914" s="56">
        <v>17.5</v>
      </c>
      <c r="UXL1914" s="62">
        <v>13.28</v>
      </c>
      <c r="UXM1914" s="115">
        <v>19.489999999999998</v>
      </c>
      <c r="UXN1914" s="56">
        <v>18.98</v>
      </c>
      <c r="UXO1914" s="56">
        <v>17.5</v>
      </c>
      <c r="UXP1914" s="62">
        <v>13.28</v>
      </c>
      <c r="UXQ1914" s="115">
        <v>19.489999999999998</v>
      </c>
      <c r="UXR1914" s="56">
        <v>18.98</v>
      </c>
      <c r="UXS1914" s="56">
        <v>17.5</v>
      </c>
      <c r="UXT1914" s="62">
        <v>13.28</v>
      </c>
      <c r="UXU1914" s="115">
        <v>19.489999999999998</v>
      </c>
      <c r="UXV1914" s="56">
        <v>18.98</v>
      </c>
      <c r="UXW1914" s="56">
        <v>17.5</v>
      </c>
      <c r="UXX1914" s="62">
        <v>13.28</v>
      </c>
      <c r="UXY1914" s="115">
        <v>19.489999999999998</v>
      </c>
      <c r="UXZ1914" s="56">
        <v>18.98</v>
      </c>
      <c r="UYA1914" s="56">
        <v>17.5</v>
      </c>
      <c r="UYB1914" s="62">
        <v>13.28</v>
      </c>
      <c r="UYC1914" s="115">
        <v>19.489999999999998</v>
      </c>
      <c r="UYD1914" s="56">
        <v>18.98</v>
      </c>
      <c r="UYE1914" s="56">
        <v>17.5</v>
      </c>
      <c r="UYF1914" s="62">
        <v>13.28</v>
      </c>
      <c r="UYG1914" s="115">
        <v>19.489999999999998</v>
      </c>
      <c r="UYH1914" s="56">
        <v>18.98</v>
      </c>
      <c r="UYI1914" s="56">
        <v>17.5</v>
      </c>
      <c r="UYJ1914" s="62">
        <v>13.28</v>
      </c>
      <c r="UYK1914" s="115">
        <v>19.489999999999998</v>
      </c>
      <c r="UYL1914" s="56">
        <v>18.98</v>
      </c>
      <c r="UYM1914" s="56">
        <v>17.5</v>
      </c>
      <c r="UYN1914" s="62">
        <v>13.28</v>
      </c>
      <c r="UYO1914" s="115">
        <v>19.489999999999998</v>
      </c>
      <c r="UYP1914" s="56">
        <v>18.98</v>
      </c>
      <c r="UYQ1914" s="56">
        <v>17.5</v>
      </c>
      <c r="UYR1914" s="62">
        <v>13.28</v>
      </c>
      <c r="UYS1914" s="115">
        <v>19.489999999999998</v>
      </c>
      <c r="UYT1914" s="56">
        <v>18.98</v>
      </c>
      <c r="UYU1914" s="56">
        <v>17.5</v>
      </c>
      <c r="UYV1914" s="62">
        <v>13.28</v>
      </c>
      <c r="UYW1914" s="115">
        <v>19.489999999999998</v>
      </c>
      <c r="UYX1914" s="56">
        <v>18.98</v>
      </c>
      <c r="UYY1914" s="56">
        <v>17.5</v>
      </c>
      <c r="UYZ1914" s="62">
        <v>13.28</v>
      </c>
      <c r="UZA1914" s="115">
        <v>19.489999999999998</v>
      </c>
      <c r="UZB1914" s="56">
        <v>18.98</v>
      </c>
      <c r="UZC1914" s="56">
        <v>17.5</v>
      </c>
      <c r="UZD1914" s="62">
        <v>13.28</v>
      </c>
      <c r="UZE1914" s="115">
        <v>19.489999999999998</v>
      </c>
      <c r="UZF1914" s="56">
        <v>18.98</v>
      </c>
      <c r="UZG1914" s="56">
        <v>17.5</v>
      </c>
      <c r="UZH1914" s="62">
        <v>13.28</v>
      </c>
      <c r="UZI1914" s="115">
        <v>19.489999999999998</v>
      </c>
      <c r="UZJ1914" s="56">
        <v>18.98</v>
      </c>
      <c r="UZK1914" s="56">
        <v>17.5</v>
      </c>
      <c r="UZL1914" s="62">
        <v>13.28</v>
      </c>
      <c r="UZM1914" s="115">
        <v>19.489999999999998</v>
      </c>
      <c r="UZN1914" s="56">
        <v>18.98</v>
      </c>
      <c r="UZO1914" s="56">
        <v>17.5</v>
      </c>
      <c r="UZP1914" s="62">
        <v>13.28</v>
      </c>
      <c r="UZQ1914" s="115">
        <v>19.489999999999998</v>
      </c>
      <c r="UZR1914" s="56">
        <v>18.98</v>
      </c>
      <c r="UZS1914" s="56">
        <v>17.5</v>
      </c>
      <c r="UZT1914" s="62">
        <v>13.28</v>
      </c>
      <c r="UZU1914" s="115">
        <v>19.489999999999998</v>
      </c>
      <c r="UZV1914" s="56">
        <v>18.98</v>
      </c>
      <c r="UZW1914" s="56">
        <v>17.5</v>
      </c>
      <c r="UZX1914" s="62">
        <v>13.28</v>
      </c>
      <c r="UZY1914" s="115">
        <v>19.489999999999998</v>
      </c>
      <c r="UZZ1914" s="56">
        <v>18.98</v>
      </c>
      <c r="VAA1914" s="56">
        <v>17.5</v>
      </c>
      <c r="VAB1914" s="62">
        <v>13.28</v>
      </c>
      <c r="VAC1914" s="115">
        <v>19.489999999999998</v>
      </c>
      <c r="VAD1914" s="56">
        <v>18.98</v>
      </c>
      <c r="VAE1914" s="56">
        <v>17.5</v>
      </c>
      <c r="VAF1914" s="62">
        <v>13.28</v>
      </c>
      <c r="VAG1914" s="115">
        <v>19.489999999999998</v>
      </c>
      <c r="VAH1914" s="56">
        <v>18.98</v>
      </c>
      <c r="VAI1914" s="56">
        <v>17.5</v>
      </c>
      <c r="VAJ1914" s="62">
        <v>13.28</v>
      </c>
      <c r="VAK1914" s="115">
        <v>19.489999999999998</v>
      </c>
      <c r="VAL1914" s="56">
        <v>18.98</v>
      </c>
      <c r="VAM1914" s="56">
        <v>17.5</v>
      </c>
      <c r="VAN1914" s="62">
        <v>13.28</v>
      </c>
      <c r="VAO1914" s="115">
        <v>19.489999999999998</v>
      </c>
      <c r="VAP1914" s="56">
        <v>18.98</v>
      </c>
      <c r="VAQ1914" s="56">
        <v>17.5</v>
      </c>
      <c r="VAR1914" s="62">
        <v>13.28</v>
      </c>
      <c r="VAS1914" s="115">
        <v>19.489999999999998</v>
      </c>
      <c r="VAT1914" s="56">
        <v>18.98</v>
      </c>
      <c r="VAU1914" s="56">
        <v>17.5</v>
      </c>
      <c r="VAV1914" s="62">
        <v>13.28</v>
      </c>
      <c r="VAW1914" s="115">
        <v>19.489999999999998</v>
      </c>
      <c r="VAX1914" s="56">
        <v>18.98</v>
      </c>
      <c r="VAY1914" s="56">
        <v>17.5</v>
      </c>
      <c r="VAZ1914" s="62">
        <v>13.28</v>
      </c>
      <c r="VBA1914" s="115">
        <v>19.489999999999998</v>
      </c>
      <c r="VBB1914" s="56">
        <v>18.98</v>
      </c>
      <c r="VBC1914" s="56">
        <v>17.5</v>
      </c>
      <c r="VBD1914" s="62">
        <v>13.28</v>
      </c>
      <c r="VBE1914" s="115">
        <v>19.489999999999998</v>
      </c>
      <c r="VBF1914" s="56">
        <v>18.98</v>
      </c>
      <c r="VBG1914" s="56">
        <v>17.5</v>
      </c>
      <c r="VBH1914" s="62">
        <v>13.28</v>
      </c>
      <c r="VBI1914" s="115">
        <v>19.489999999999998</v>
      </c>
      <c r="VBJ1914" s="56">
        <v>18.98</v>
      </c>
      <c r="VBK1914" s="56">
        <v>17.5</v>
      </c>
      <c r="VBL1914" s="62">
        <v>13.28</v>
      </c>
      <c r="VBM1914" s="115">
        <v>19.489999999999998</v>
      </c>
      <c r="VBN1914" s="56">
        <v>18.98</v>
      </c>
      <c r="VBO1914" s="56">
        <v>17.5</v>
      </c>
      <c r="VBP1914" s="62">
        <v>13.28</v>
      </c>
      <c r="VBQ1914" s="115">
        <v>19.489999999999998</v>
      </c>
      <c r="VBR1914" s="56">
        <v>18.98</v>
      </c>
      <c r="VBS1914" s="56">
        <v>17.5</v>
      </c>
      <c r="VBT1914" s="62">
        <v>13.28</v>
      </c>
      <c r="VBU1914" s="115">
        <v>19.489999999999998</v>
      </c>
      <c r="VBV1914" s="56">
        <v>18.98</v>
      </c>
      <c r="VBW1914" s="56">
        <v>17.5</v>
      </c>
      <c r="VBX1914" s="62">
        <v>13.28</v>
      </c>
      <c r="VBY1914" s="115">
        <v>19.489999999999998</v>
      </c>
      <c r="VBZ1914" s="56">
        <v>18.98</v>
      </c>
      <c r="VCA1914" s="56">
        <v>17.5</v>
      </c>
      <c r="VCB1914" s="62">
        <v>13.28</v>
      </c>
      <c r="VCC1914" s="115">
        <v>19.489999999999998</v>
      </c>
      <c r="VCD1914" s="56">
        <v>18.98</v>
      </c>
      <c r="VCE1914" s="56">
        <v>17.5</v>
      </c>
      <c r="VCF1914" s="62">
        <v>13.28</v>
      </c>
      <c r="VCG1914" s="115">
        <v>19.489999999999998</v>
      </c>
      <c r="VCH1914" s="56">
        <v>18.98</v>
      </c>
      <c r="VCI1914" s="56">
        <v>17.5</v>
      </c>
      <c r="VCJ1914" s="62">
        <v>13.28</v>
      </c>
      <c r="VCK1914" s="115">
        <v>19.489999999999998</v>
      </c>
      <c r="VCL1914" s="56">
        <v>18.98</v>
      </c>
      <c r="VCM1914" s="56">
        <v>17.5</v>
      </c>
      <c r="VCN1914" s="62">
        <v>13.28</v>
      </c>
      <c r="VCO1914" s="115">
        <v>19.489999999999998</v>
      </c>
      <c r="VCP1914" s="56">
        <v>18.98</v>
      </c>
      <c r="VCQ1914" s="56">
        <v>17.5</v>
      </c>
      <c r="VCR1914" s="62">
        <v>13.28</v>
      </c>
      <c r="VCS1914" s="115">
        <v>19.489999999999998</v>
      </c>
      <c r="VCT1914" s="56">
        <v>18.98</v>
      </c>
      <c r="VCU1914" s="56">
        <v>17.5</v>
      </c>
      <c r="VCV1914" s="62">
        <v>13.28</v>
      </c>
      <c r="VCW1914" s="115">
        <v>19.489999999999998</v>
      </c>
      <c r="VCX1914" s="56">
        <v>18.98</v>
      </c>
      <c r="VCY1914" s="56">
        <v>17.5</v>
      </c>
      <c r="VCZ1914" s="62">
        <v>13.28</v>
      </c>
      <c r="VDA1914" s="115">
        <v>19.489999999999998</v>
      </c>
      <c r="VDB1914" s="56">
        <v>18.98</v>
      </c>
      <c r="VDC1914" s="56">
        <v>17.5</v>
      </c>
      <c r="VDD1914" s="62">
        <v>13.28</v>
      </c>
      <c r="VDE1914" s="115">
        <v>19.489999999999998</v>
      </c>
      <c r="VDF1914" s="56">
        <v>18.98</v>
      </c>
      <c r="VDG1914" s="56">
        <v>17.5</v>
      </c>
      <c r="VDH1914" s="62">
        <v>13.28</v>
      </c>
      <c r="VDI1914" s="115">
        <v>19.489999999999998</v>
      </c>
      <c r="VDJ1914" s="56">
        <v>18.98</v>
      </c>
      <c r="VDK1914" s="56">
        <v>17.5</v>
      </c>
      <c r="VDL1914" s="62">
        <v>13.28</v>
      </c>
      <c r="VDM1914" s="115">
        <v>19.489999999999998</v>
      </c>
      <c r="VDN1914" s="56">
        <v>18.98</v>
      </c>
      <c r="VDO1914" s="56">
        <v>17.5</v>
      </c>
      <c r="VDP1914" s="62">
        <v>13.28</v>
      </c>
      <c r="VDQ1914" s="115">
        <v>19.489999999999998</v>
      </c>
      <c r="VDR1914" s="56">
        <v>18.98</v>
      </c>
      <c r="VDS1914" s="56">
        <v>17.5</v>
      </c>
      <c r="VDT1914" s="62">
        <v>13.28</v>
      </c>
      <c r="VDU1914" s="115">
        <v>19.489999999999998</v>
      </c>
      <c r="VDV1914" s="56">
        <v>18.98</v>
      </c>
      <c r="VDW1914" s="56">
        <v>17.5</v>
      </c>
      <c r="VDX1914" s="62">
        <v>13.28</v>
      </c>
      <c r="VDY1914" s="115">
        <v>19.489999999999998</v>
      </c>
      <c r="VDZ1914" s="56">
        <v>18.98</v>
      </c>
      <c r="VEA1914" s="56">
        <v>17.5</v>
      </c>
      <c r="VEB1914" s="62">
        <v>13.28</v>
      </c>
      <c r="VEC1914" s="115">
        <v>19.489999999999998</v>
      </c>
      <c r="VED1914" s="56">
        <v>18.98</v>
      </c>
      <c r="VEE1914" s="56">
        <v>17.5</v>
      </c>
      <c r="VEF1914" s="62">
        <v>13.28</v>
      </c>
      <c r="VEG1914" s="115">
        <v>19.489999999999998</v>
      </c>
      <c r="VEH1914" s="56">
        <v>18.98</v>
      </c>
      <c r="VEI1914" s="56">
        <v>17.5</v>
      </c>
      <c r="VEJ1914" s="62">
        <v>13.28</v>
      </c>
      <c r="VEK1914" s="115">
        <v>19.489999999999998</v>
      </c>
      <c r="VEL1914" s="56">
        <v>18.98</v>
      </c>
      <c r="VEM1914" s="56">
        <v>17.5</v>
      </c>
      <c r="VEN1914" s="62">
        <v>13.28</v>
      </c>
      <c r="VEO1914" s="115">
        <v>19.489999999999998</v>
      </c>
      <c r="VEP1914" s="56">
        <v>18.98</v>
      </c>
      <c r="VEQ1914" s="56">
        <v>17.5</v>
      </c>
      <c r="VER1914" s="62">
        <v>13.28</v>
      </c>
      <c r="VES1914" s="115">
        <v>19.489999999999998</v>
      </c>
      <c r="VET1914" s="56">
        <v>18.98</v>
      </c>
      <c r="VEU1914" s="56">
        <v>17.5</v>
      </c>
      <c r="VEV1914" s="62">
        <v>13.28</v>
      </c>
      <c r="VEW1914" s="115">
        <v>19.489999999999998</v>
      </c>
      <c r="VEX1914" s="56">
        <v>18.98</v>
      </c>
      <c r="VEY1914" s="56">
        <v>17.5</v>
      </c>
      <c r="VEZ1914" s="62">
        <v>13.28</v>
      </c>
      <c r="VFA1914" s="115">
        <v>19.489999999999998</v>
      </c>
      <c r="VFB1914" s="56">
        <v>18.98</v>
      </c>
      <c r="VFC1914" s="56">
        <v>17.5</v>
      </c>
      <c r="VFD1914" s="62">
        <v>13.28</v>
      </c>
      <c r="VFE1914" s="115">
        <v>19.489999999999998</v>
      </c>
      <c r="VFF1914" s="56">
        <v>18.98</v>
      </c>
      <c r="VFG1914" s="56">
        <v>17.5</v>
      </c>
      <c r="VFH1914" s="62">
        <v>13.28</v>
      </c>
      <c r="VFI1914" s="115">
        <v>19.489999999999998</v>
      </c>
      <c r="VFJ1914" s="56">
        <v>18.98</v>
      </c>
      <c r="VFK1914" s="56">
        <v>17.5</v>
      </c>
      <c r="VFL1914" s="62">
        <v>13.28</v>
      </c>
      <c r="VFM1914" s="115">
        <v>19.489999999999998</v>
      </c>
      <c r="VFN1914" s="56">
        <v>18.98</v>
      </c>
      <c r="VFO1914" s="56">
        <v>17.5</v>
      </c>
      <c r="VFP1914" s="62">
        <v>13.28</v>
      </c>
      <c r="VFQ1914" s="115">
        <v>19.489999999999998</v>
      </c>
      <c r="VFR1914" s="56">
        <v>18.98</v>
      </c>
      <c r="VFS1914" s="56">
        <v>17.5</v>
      </c>
      <c r="VFT1914" s="62">
        <v>13.28</v>
      </c>
      <c r="VFU1914" s="115">
        <v>19.489999999999998</v>
      </c>
      <c r="VFV1914" s="56">
        <v>18.98</v>
      </c>
      <c r="VFW1914" s="56">
        <v>17.5</v>
      </c>
      <c r="VFX1914" s="62">
        <v>13.28</v>
      </c>
      <c r="VFY1914" s="115">
        <v>19.489999999999998</v>
      </c>
      <c r="VFZ1914" s="56">
        <v>18.98</v>
      </c>
      <c r="VGA1914" s="56">
        <v>17.5</v>
      </c>
      <c r="VGB1914" s="62">
        <v>13.28</v>
      </c>
      <c r="VGC1914" s="115">
        <v>19.489999999999998</v>
      </c>
      <c r="VGD1914" s="56">
        <v>18.98</v>
      </c>
      <c r="VGE1914" s="56">
        <v>17.5</v>
      </c>
      <c r="VGF1914" s="62">
        <v>13.28</v>
      </c>
      <c r="VGG1914" s="115">
        <v>19.489999999999998</v>
      </c>
      <c r="VGH1914" s="56">
        <v>18.98</v>
      </c>
      <c r="VGI1914" s="56">
        <v>17.5</v>
      </c>
      <c r="VGJ1914" s="62">
        <v>13.28</v>
      </c>
      <c r="VGK1914" s="115">
        <v>19.489999999999998</v>
      </c>
      <c r="VGL1914" s="56">
        <v>18.98</v>
      </c>
      <c r="VGM1914" s="56">
        <v>17.5</v>
      </c>
      <c r="VGN1914" s="62">
        <v>13.28</v>
      </c>
      <c r="VGO1914" s="115">
        <v>19.489999999999998</v>
      </c>
      <c r="VGP1914" s="56">
        <v>18.98</v>
      </c>
      <c r="VGQ1914" s="56">
        <v>17.5</v>
      </c>
      <c r="VGR1914" s="62">
        <v>13.28</v>
      </c>
      <c r="VGS1914" s="115">
        <v>19.489999999999998</v>
      </c>
      <c r="VGT1914" s="56">
        <v>18.98</v>
      </c>
      <c r="VGU1914" s="56">
        <v>17.5</v>
      </c>
      <c r="VGV1914" s="62">
        <v>13.28</v>
      </c>
      <c r="VGW1914" s="115">
        <v>19.489999999999998</v>
      </c>
      <c r="VGX1914" s="56">
        <v>18.98</v>
      </c>
      <c r="VGY1914" s="56">
        <v>17.5</v>
      </c>
      <c r="VGZ1914" s="62">
        <v>13.28</v>
      </c>
      <c r="VHA1914" s="115">
        <v>19.489999999999998</v>
      </c>
      <c r="VHB1914" s="56">
        <v>18.98</v>
      </c>
      <c r="VHC1914" s="56">
        <v>17.5</v>
      </c>
      <c r="VHD1914" s="62">
        <v>13.28</v>
      </c>
      <c r="VHE1914" s="115">
        <v>19.489999999999998</v>
      </c>
      <c r="VHF1914" s="56">
        <v>18.98</v>
      </c>
      <c r="VHG1914" s="56">
        <v>17.5</v>
      </c>
      <c r="VHH1914" s="62">
        <v>13.28</v>
      </c>
      <c r="VHI1914" s="115">
        <v>19.489999999999998</v>
      </c>
      <c r="VHJ1914" s="56">
        <v>18.98</v>
      </c>
      <c r="VHK1914" s="56">
        <v>17.5</v>
      </c>
      <c r="VHL1914" s="62">
        <v>13.28</v>
      </c>
      <c r="VHM1914" s="115">
        <v>19.489999999999998</v>
      </c>
      <c r="VHN1914" s="56">
        <v>18.98</v>
      </c>
      <c r="VHO1914" s="56">
        <v>17.5</v>
      </c>
      <c r="VHP1914" s="62">
        <v>13.28</v>
      </c>
      <c r="VHQ1914" s="115">
        <v>19.489999999999998</v>
      </c>
      <c r="VHR1914" s="56">
        <v>18.98</v>
      </c>
      <c r="VHS1914" s="56">
        <v>17.5</v>
      </c>
      <c r="VHT1914" s="62">
        <v>13.28</v>
      </c>
      <c r="VHU1914" s="115">
        <v>19.489999999999998</v>
      </c>
      <c r="VHV1914" s="56">
        <v>18.98</v>
      </c>
      <c r="VHW1914" s="56">
        <v>17.5</v>
      </c>
      <c r="VHX1914" s="62">
        <v>13.28</v>
      </c>
      <c r="VHY1914" s="115">
        <v>19.489999999999998</v>
      </c>
      <c r="VHZ1914" s="56">
        <v>18.98</v>
      </c>
      <c r="VIA1914" s="56">
        <v>17.5</v>
      </c>
      <c r="VIB1914" s="62">
        <v>13.28</v>
      </c>
      <c r="VIC1914" s="115">
        <v>19.489999999999998</v>
      </c>
      <c r="VID1914" s="56">
        <v>18.98</v>
      </c>
      <c r="VIE1914" s="56">
        <v>17.5</v>
      </c>
      <c r="VIF1914" s="62">
        <v>13.28</v>
      </c>
      <c r="VIG1914" s="115">
        <v>19.489999999999998</v>
      </c>
      <c r="VIH1914" s="56">
        <v>18.98</v>
      </c>
      <c r="VII1914" s="56">
        <v>17.5</v>
      </c>
      <c r="VIJ1914" s="62">
        <v>13.28</v>
      </c>
      <c r="VIK1914" s="115">
        <v>19.489999999999998</v>
      </c>
      <c r="VIL1914" s="56">
        <v>18.98</v>
      </c>
      <c r="VIM1914" s="56">
        <v>17.5</v>
      </c>
      <c r="VIN1914" s="62">
        <v>13.28</v>
      </c>
      <c r="VIO1914" s="115">
        <v>19.489999999999998</v>
      </c>
      <c r="VIP1914" s="56">
        <v>18.98</v>
      </c>
      <c r="VIQ1914" s="56">
        <v>17.5</v>
      </c>
      <c r="VIR1914" s="62">
        <v>13.28</v>
      </c>
      <c r="VIS1914" s="115">
        <v>19.489999999999998</v>
      </c>
      <c r="VIT1914" s="56">
        <v>18.98</v>
      </c>
      <c r="VIU1914" s="56">
        <v>17.5</v>
      </c>
      <c r="VIV1914" s="62">
        <v>13.28</v>
      </c>
      <c r="VIW1914" s="115">
        <v>19.489999999999998</v>
      </c>
      <c r="VIX1914" s="56">
        <v>18.98</v>
      </c>
      <c r="VIY1914" s="56">
        <v>17.5</v>
      </c>
      <c r="VIZ1914" s="62">
        <v>13.28</v>
      </c>
      <c r="VJA1914" s="115">
        <v>19.489999999999998</v>
      </c>
      <c r="VJB1914" s="56">
        <v>18.98</v>
      </c>
      <c r="VJC1914" s="56">
        <v>17.5</v>
      </c>
      <c r="VJD1914" s="62">
        <v>13.28</v>
      </c>
      <c r="VJE1914" s="115">
        <v>19.489999999999998</v>
      </c>
      <c r="VJF1914" s="56">
        <v>18.98</v>
      </c>
      <c r="VJG1914" s="56">
        <v>17.5</v>
      </c>
      <c r="VJH1914" s="62">
        <v>13.28</v>
      </c>
      <c r="VJI1914" s="115">
        <v>19.489999999999998</v>
      </c>
      <c r="VJJ1914" s="56">
        <v>18.98</v>
      </c>
      <c r="VJK1914" s="56">
        <v>17.5</v>
      </c>
      <c r="VJL1914" s="62">
        <v>13.28</v>
      </c>
      <c r="VJM1914" s="115">
        <v>19.489999999999998</v>
      </c>
      <c r="VJN1914" s="56">
        <v>18.98</v>
      </c>
      <c r="VJO1914" s="56">
        <v>17.5</v>
      </c>
      <c r="VJP1914" s="62">
        <v>13.28</v>
      </c>
      <c r="VJQ1914" s="115">
        <v>19.489999999999998</v>
      </c>
      <c r="VJR1914" s="56">
        <v>18.98</v>
      </c>
      <c r="VJS1914" s="56">
        <v>17.5</v>
      </c>
      <c r="VJT1914" s="62">
        <v>13.28</v>
      </c>
      <c r="VJU1914" s="115">
        <v>19.489999999999998</v>
      </c>
      <c r="VJV1914" s="56">
        <v>18.98</v>
      </c>
      <c r="VJW1914" s="56">
        <v>17.5</v>
      </c>
      <c r="VJX1914" s="62">
        <v>13.28</v>
      </c>
      <c r="VJY1914" s="115">
        <v>19.489999999999998</v>
      </c>
      <c r="VJZ1914" s="56">
        <v>18.98</v>
      </c>
      <c r="VKA1914" s="56">
        <v>17.5</v>
      </c>
      <c r="VKB1914" s="62">
        <v>13.28</v>
      </c>
      <c r="VKC1914" s="115">
        <v>19.489999999999998</v>
      </c>
      <c r="VKD1914" s="56">
        <v>18.98</v>
      </c>
      <c r="VKE1914" s="56">
        <v>17.5</v>
      </c>
      <c r="VKF1914" s="62">
        <v>13.28</v>
      </c>
      <c r="VKG1914" s="115">
        <v>19.489999999999998</v>
      </c>
      <c r="VKH1914" s="56">
        <v>18.98</v>
      </c>
      <c r="VKI1914" s="56">
        <v>17.5</v>
      </c>
      <c r="VKJ1914" s="62">
        <v>13.28</v>
      </c>
      <c r="VKK1914" s="115">
        <v>19.489999999999998</v>
      </c>
      <c r="VKL1914" s="56">
        <v>18.98</v>
      </c>
      <c r="VKM1914" s="56">
        <v>17.5</v>
      </c>
      <c r="VKN1914" s="62">
        <v>13.28</v>
      </c>
      <c r="VKO1914" s="115">
        <v>19.489999999999998</v>
      </c>
      <c r="VKP1914" s="56">
        <v>18.98</v>
      </c>
      <c r="VKQ1914" s="56">
        <v>17.5</v>
      </c>
      <c r="VKR1914" s="62">
        <v>13.28</v>
      </c>
      <c r="VKS1914" s="115">
        <v>19.489999999999998</v>
      </c>
      <c r="VKT1914" s="56">
        <v>18.98</v>
      </c>
      <c r="VKU1914" s="56">
        <v>17.5</v>
      </c>
      <c r="VKV1914" s="62">
        <v>13.28</v>
      </c>
      <c r="VKW1914" s="115">
        <v>19.489999999999998</v>
      </c>
      <c r="VKX1914" s="56">
        <v>18.98</v>
      </c>
      <c r="VKY1914" s="56">
        <v>17.5</v>
      </c>
      <c r="VKZ1914" s="62">
        <v>13.28</v>
      </c>
      <c r="VLA1914" s="115">
        <v>19.489999999999998</v>
      </c>
      <c r="VLB1914" s="56">
        <v>18.98</v>
      </c>
      <c r="VLC1914" s="56">
        <v>17.5</v>
      </c>
      <c r="VLD1914" s="62">
        <v>13.28</v>
      </c>
      <c r="VLE1914" s="115">
        <v>19.489999999999998</v>
      </c>
      <c r="VLF1914" s="56">
        <v>18.98</v>
      </c>
      <c r="VLG1914" s="56">
        <v>17.5</v>
      </c>
      <c r="VLH1914" s="62">
        <v>13.28</v>
      </c>
      <c r="VLI1914" s="115">
        <v>19.489999999999998</v>
      </c>
      <c r="VLJ1914" s="56">
        <v>18.98</v>
      </c>
      <c r="VLK1914" s="56">
        <v>17.5</v>
      </c>
      <c r="VLL1914" s="62">
        <v>13.28</v>
      </c>
      <c r="VLM1914" s="115">
        <v>19.489999999999998</v>
      </c>
      <c r="VLN1914" s="56">
        <v>18.98</v>
      </c>
      <c r="VLO1914" s="56">
        <v>17.5</v>
      </c>
      <c r="VLP1914" s="62">
        <v>13.28</v>
      </c>
      <c r="VLQ1914" s="115">
        <v>19.489999999999998</v>
      </c>
      <c r="VLR1914" s="56">
        <v>18.98</v>
      </c>
      <c r="VLS1914" s="56">
        <v>17.5</v>
      </c>
      <c r="VLT1914" s="62">
        <v>13.28</v>
      </c>
      <c r="VLU1914" s="115">
        <v>19.489999999999998</v>
      </c>
      <c r="VLV1914" s="56">
        <v>18.98</v>
      </c>
      <c r="VLW1914" s="56">
        <v>17.5</v>
      </c>
      <c r="VLX1914" s="62">
        <v>13.28</v>
      </c>
      <c r="VLY1914" s="115">
        <v>19.489999999999998</v>
      </c>
      <c r="VLZ1914" s="56">
        <v>18.98</v>
      </c>
      <c r="VMA1914" s="56">
        <v>17.5</v>
      </c>
      <c r="VMB1914" s="62">
        <v>13.28</v>
      </c>
      <c r="VMC1914" s="115">
        <v>19.489999999999998</v>
      </c>
      <c r="VMD1914" s="56">
        <v>18.98</v>
      </c>
      <c r="VME1914" s="56">
        <v>17.5</v>
      </c>
      <c r="VMF1914" s="62">
        <v>13.28</v>
      </c>
      <c r="VMG1914" s="115">
        <v>19.489999999999998</v>
      </c>
      <c r="VMH1914" s="56">
        <v>18.98</v>
      </c>
      <c r="VMI1914" s="56">
        <v>17.5</v>
      </c>
      <c r="VMJ1914" s="62">
        <v>13.28</v>
      </c>
      <c r="VMK1914" s="115">
        <v>19.489999999999998</v>
      </c>
      <c r="VML1914" s="56">
        <v>18.98</v>
      </c>
      <c r="VMM1914" s="56">
        <v>17.5</v>
      </c>
      <c r="VMN1914" s="62">
        <v>13.28</v>
      </c>
      <c r="VMO1914" s="115">
        <v>19.489999999999998</v>
      </c>
      <c r="VMP1914" s="56">
        <v>18.98</v>
      </c>
      <c r="VMQ1914" s="56">
        <v>17.5</v>
      </c>
      <c r="VMR1914" s="62">
        <v>13.28</v>
      </c>
      <c r="VMS1914" s="115">
        <v>19.489999999999998</v>
      </c>
      <c r="VMT1914" s="56">
        <v>18.98</v>
      </c>
      <c r="VMU1914" s="56">
        <v>17.5</v>
      </c>
      <c r="VMV1914" s="62">
        <v>13.28</v>
      </c>
      <c r="VMW1914" s="115">
        <v>19.489999999999998</v>
      </c>
      <c r="VMX1914" s="56">
        <v>18.98</v>
      </c>
      <c r="VMY1914" s="56">
        <v>17.5</v>
      </c>
      <c r="VMZ1914" s="62">
        <v>13.28</v>
      </c>
      <c r="VNA1914" s="115">
        <v>19.489999999999998</v>
      </c>
      <c r="VNB1914" s="56">
        <v>18.98</v>
      </c>
      <c r="VNC1914" s="56">
        <v>17.5</v>
      </c>
      <c r="VND1914" s="62">
        <v>13.28</v>
      </c>
      <c r="VNE1914" s="115">
        <v>19.489999999999998</v>
      </c>
      <c r="VNF1914" s="56">
        <v>18.98</v>
      </c>
      <c r="VNG1914" s="56">
        <v>17.5</v>
      </c>
      <c r="VNH1914" s="62">
        <v>13.28</v>
      </c>
      <c r="VNI1914" s="115">
        <v>19.489999999999998</v>
      </c>
      <c r="VNJ1914" s="56">
        <v>18.98</v>
      </c>
      <c r="VNK1914" s="56">
        <v>17.5</v>
      </c>
      <c r="VNL1914" s="62">
        <v>13.28</v>
      </c>
      <c r="VNM1914" s="115">
        <v>19.489999999999998</v>
      </c>
      <c r="VNN1914" s="56">
        <v>18.98</v>
      </c>
      <c r="VNO1914" s="56">
        <v>17.5</v>
      </c>
      <c r="VNP1914" s="62">
        <v>13.28</v>
      </c>
      <c r="VNQ1914" s="115">
        <v>19.489999999999998</v>
      </c>
      <c r="VNR1914" s="56">
        <v>18.98</v>
      </c>
      <c r="VNS1914" s="56">
        <v>17.5</v>
      </c>
      <c r="VNT1914" s="62">
        <v>13.28</v>
      </c>
      <c r="VNU1914" s="115">
        <v>19.489999999999998</v>
      </c>
      <c r="VNV1914" s="56">
        <v>18.98</v>
      </c>
      <c r="VNW1914" s="56">
        <v>17.5</v>
      </c>
      <c r="VNX1914" s="62">
        <v>13.28</v>
      </c>
      <c r="VNY1914" s="115">
        <v>19.489999999999998</v>
      </c>
      <c r="VNZ1914" s="56">
        <v>18.98</v>
      </c>
      <c r="VOA1914" s="56">
        <v>17.5</v>
      </c>
      <c r="VOB1914" s="62">
        <v>13.28</v>
      </c>
      <c r="VOC1914" s="115">
        <v>19.489999999999998</v>
      </c>
      <c r="VOD1914" s="56">
        <v>18.98</v>
      </c>
      <c r="VOE1914" s="56">
        <v>17.5</v>
      </c>
      <c r="VOF1914" s="62">
        <v>13.28</v>
      </c>
      <c r="VOG1914" s="115">
        <v>19.489999999999998</v>
      </c>
      <c r="VOH1914" s="56">
        <v>18.98</v>
      </c>
      <c r="VOI1914" s="56">
        <v>17.5</v>
      </c>
      <c r="VOJ1914" s="62">
        <v>13.28</v>
      </c>
      <c r="VOK1914" s="115">
        <v>19.489999999999998</v>
      </c>
      <c r="VOL1914" s="56">
        <v>18.98</v>
      </c>
      <c r="VOM1914" s="56">
        <v>17.5</v>
      </c>
      <c r="VON1914" s="62">
        <v>13.28</v>
      </c>
      <c r="VOO1914" s="115">
        <v>19.489999999999998</v>
      </c>
      <c r="VOP1914" s="56">
        <v>18.98</v>
      </c>
      <c r="VOQ1914" s="56">
        <v>17.5</v>
      </c>
      <c r="VOR1914" s="62">
        <v>13.28</v>
      </c>
      <c r="VOS1914" s="115">
        <v>19.489999999999998</v>
      </c>
      <c r="VOT1914" s="56">
        <v>18.98</v>
      </c>
      <c r="VOU1914" s="56">
        <v>17.5</v>
      </c>
      <c r="VOV1914" s="62">
        <v>13.28</v>
      </c>
      <c r="VOW1914" s="115">
        <v>19.489999999999998</v>
      </c>
      <c r="VOX1914" s="56">
        <v>18.98</v>
      </c>
      <c r="VOY1914" s="56">
        <v>17.5</v>
      </c>
      <c r="VOZ1914" s="62">
        <v>13.28</v>
      </c>
      <c r="VPA1914" s="115">
        <v>19.489999999999998</v>
      </c>
      <c r="VPB1914" s="56">
        <v>18.98</v>
      </c>
      <c r="VPC1914" s="56">
        <v>17.5</v>
      </c>
      <c r="VPD1914" s="62">
        <v>13.28</v>
      </c>
      <c r="VPE1914" s="115">
        <v>19.489999999999998</v>
      </c>
      <c r="VPF1914" s="56">
        <v>18.98</v>
      </c>
      <c r="VPG1914" s="56">
        <v>17.5</v>
      </c>
      <c r="VPH1914" s="62">
        <v>13.28</v>
      </c>
      <c r="VPI1914" s="115">
        <v>19.489999999999998</v>
      </c>
      <c r="VPJ1914" s="56">
        <v>18.98</v>
      </c>
      <c r="VPK1914" s="56">
        <v>17.5</v>
      </c>
      <c r="VPL1914" s="62">
        <v>13.28</v>
      </c>
      <c r="VPM1914" s="115">
        <v>19.489999999999998</v>
      </c>
      <c r="VPN1914" s="56">
        <v>18.98</v>
      </c>
      <c r="VPO1914" s="56">
        <v>17.5</v>
      </c>
      <c r="VPP1914" s="62">
        <v>13.28</v>
      </c>
      <c r="VPQ1914" s="115">
        <v>19.489999999999998</v>
      </c>
      <c r="VPR1914" s="56">
        <v>18.98</v>
      </c>
      <c r="VPS1914" s="56">
        <v>17.5</v>
      </c>
      <c r="VPT1914" s="62">
        <v>13.28</v>
      </c>
      <c r="VPU1914" s="115">
        <v>19.489999999999998</v>
      </c>
      <c r="VPV1914" s="56">
        <v>18.98</v>
      </c>
      <c r="VPW1914" s="56">
        <v>17.5</v>
      </c>
      <c r="VPX1914" s="62">
        <v>13.28</v>
      </c>
      <c r="VPY1914" s="115">
        <v>19.489999999999998</v>
      </c>
      <c r="VPZ1914" s="56">
        <v>18.98</v>
      </c>
      <c r="VQA1914" s="56">
        <v>17.5</v>
      </c>
      <c r="VQB1914" s="62">
        <v>13.28</v>
      </c>
      <c r="VQC1914" s="115">
        <v>19.489999999999998</v>
      </c>
      <c r="VQD1914" s="56">
        <v>18.98</v>
      </c>
      <c r="VQE1914" s="56">
        <v>17.5</v>
      </c>
      <c r="VQF1914" s="62">
        <v>13.28</v>
      </c>
      <c r="VQG1914" s="115">
        <v>19.489999999999998</v>
      </c>
      <c r="VQH1914" s="56">
        <v>18.98</v>
      </c>
      <c r="VQI1914" s="56">
        <v>17.5</v>
      </c>
      <c r="VQJ1914" s="62">
        <v>13.28</v>
      </c>
      <c r="VQK1914" s="115">
        <v>19.489999999999998</v>
      </c>
      <c r="VQL1914" s="56">
        <v>18.98</v>
      </c>
      <c r="VQM1914" s="56">
        <v>17.5</v>
      </c>
      <c r="VQN1914" s="62">
        <v>13.28</v>
      </c>
      <c r="VQO1914" s="115">
        <v>19.489999999999998</v>
      </c>
      <c r="VQP1914" s="56">
        <v>18.98</v>
      </c>
      <c r="VQQ1914" s="56">
        <v>17.5</v>
      </c>
      <c r="VQR1914" s="62">
        <v>13.28</v>
      </c>
      <c r="VQS1914" s="115">
        <v>19.489999999999998</v>
      </c>
      <c r="VQT1914" s="56">
        <v>18.98</v>
      </c>
      <c r="VQU1914" s="56">
        <v>17.5</v>
      </c>
      <c r="VQV1914" s="62">
        <v>13.28</v>
      </c>
      <c r="VQW1914" s="115">
        <v>19.489999999999998</v>
      </c>
      <c r="VQX1914" s="56">
        <v>18.98</v>
      </c>
      <c r="VQY1914" s="56">
        <v>17.5</v>
      </c>
      <c r="VQZ1914" s="62">
        <v>13.28</v>
      </c>
      <c r="VRA1914" s="115">
        <v>19.489999999999998</v>
      </c>
      <c r="VRB1914" s="56">
        <v>18.98</v>
      </c>
      <c r="VRC1914" s="56">
        <v>17.5</v>
      </c>
      <c r="VRD1914" s="62">
        <v>13.28</v>
      </c>
      <c r="VRE1914" s="115">
        <v>19.489999999999998</v>
      </c>
      <c r="VRF1914" s="56">
        <v>18.98</v>
      </c>
      <c r="VRG1914" s="56">
        <v>17.5</v>
      </c>
      <c r="VRH1914" s="62">
        <v>13.28</v>
      </c>
      <c r="VRI1914" s="115">
        <v>19.489999999999998</v>
      </c>
      <c r="VRJ1914" s="56">
        <v>18.98</v>
      </c>
      <c r="VRK1914" s="56">
        <v>17.5</v>
      </c>
      <c r="VRL1914" s="62">
        <v>13.28</v>
      </c>
      <c r="VRM1914" s="115">
        <v>19.489999999999998</v>
      </c>
      <c r="VRN1914" s="56">
        <v>18.98</v>
      </c>
      <c r="VRO1914" s="56">
        <v>17.5</v>
      </c>
      <c r="VRP1914" s="62">
        <v>13.28</v>
      </c>
      <c r="VRQ1914" s="115">
        <v>19.489999999999998</v>
      </c>
      <c r="VRR1914" s="56">
        <v>18.98</v>
      </c>
      <c r="VRS1914" s="56">
        <v>17.5</v>
      </c>
      <c r="VRT1914" s="62">
        <v>13.28</v>
      </c>
      <c r="VRU1914" s="115">
        <v>19.489999999999998</v>
      </c>
      <c r="VRV1914" s="56">
        <v>18.98</v>
      </c>
      <c r="VRW1914" s="56">
        <v>17.5</v>
      </c>
      <c r="VRX1914" s="62">
        <v>13.28</v>
      </c>
      <c r="VRY1914" s="115">
        <v>19.489999999999998</v>
      </c>
      <c r="VRZ1914" s="56">
        <v>18.98</v>
      </c>
      <c r="VSA1914" s="56">
        <v>17.5</v>
      </c>
      <c r="VSB1914" s="62">
        <v>13.28</v>
      </c>
      <c r="VSC1914" s="115">
        <v>19.489999999999998</v>
      </c>
      <c r="VSD1914" s="56">
        <v>18.98</v>
      </c>
      <c r="VSE1914" s="56">
        <v>17.5</v>
      </c>
      <c r="VSF1914" s="62">
        <v>13.28</v>
      </c>
      <c r="VSG1914" s="115">
        <v>19.489999999999998</v>
      </c>
      <c r="VSH1914" s="56">
        <v>18.98</v>
      </c>
      <c r="VSI1914" s="56">
        <v>17.5</v>
      </c>
      <c r="VSJ1914" s="62">
        <v>13.28</v>
      </c>
      <c r="VSK1914" s="115">
        <v>19.489999999999998</v>
      </c>
      <c r="VSL1914" s="56">
        <v>18.98</v>
      </c>
      <c r="VSM1914" s="56">
        <v>17.5</v>
      </c>
      <c r="VSN1914" s="62">
        <v>13.28</v>
      </c>
      <c r="VSO1914" s="115">
        <v>19.489999999999998</v>
      </c>
      <c r="VSP1914" s="56">
        <v>18.98</v>
      </c>
      <c r="VSQ1914" s="56">
        <v>17.5</v>
      </c>
      <c r="VSR1914" s="62">
        <v>13.28</v>
      </c>
      <c r="VSS1914" s="115">
        <v>19.489999999999998</v>
      </c>
      <c r="VST1914" s="56">
        <v>18.98</v>
      </c>
      <c r="VSU1914" s="56">
        <v>17.5</v>
      </c>
      <c r="VSV1914" s="62">
        <v>13.28</v>
      </c>
      <c r="VSW1914" s="115">
        <v>19.489999999999998</v>
      </c>
      <c r="VSX1914" s="56">
        <v>18.98</v>
      </c>
      <c r="VSY1914" s="56">
        <v>17.5</v>
      </c>
      <c r="VSZ1914" s="62">
        <v>13.28</v>
      </c>
      <c r="VTA1914" s="115">
        <v>19.489999999999998</v>
      </c>
      <c r="VTB1914" s="56">
        <v>18.98</v>
      </c>
      <c r="VTC1914" s="56">
        <v>17.5</v>
      </c>
      <c r="VTD1914" s="62">
        <v>13.28</v>
      </c>
      <c r="VTE1914" s="115">
        <v>19.489999999999998</v>
      </c>
      <c r="VTF1914" s="56">
        <v>18.98</v>
      </c>
      <c r="VTG1914" s="56">
        <v>17.5</v>
      </c>
      <c r="VTH1914" s="62">
        <v>13.28</v>
      </c>
      <c r="VTI1914" s="115">
        <v>19.489999999999998</v>
      </c>
      <c r="VTJ1914" s="56">
        <v>18.98</v>
      </c>
      <c r="VTK1914" s="56">
        <v>17.5</v>
      </c>
      <c r="VTL1914" s="62">
        <v>13.28</v>
      </c>
      <c r="VTM1914" s="115">
        <v>19.489999999999998</v>
      </c>
      <c r="VTN1914" s="56">
        <v>18.98</v>
      </c>
      <c r="VTO1914" s="56">
        <v>17.5</v>
      </c>
      <c r="VTP1914" s="62">
        <v>13.28</v>
      </c>
      <c r="VTQ1914" s="115">
        <v>19.489999999999998</v>
      </c>
      <c r="VTR1914" s="56">
        <v>18.98</v>
      </c>
      <c r="VTS1914" s="56">
        <v>17.5</v>
      </c>
      <c r="VTT1914" s="62">
        <v>13.28</v>
      </c>
      <c r="VTU1914" s="115">
        <v>19.489999999999998</v>
      </c>
      <c r="VTV1914" s="56">
        <v>18.98</v>
      </c>
      <c r="VTW1914" s="56">
        <v>17.5</v>
      </c>
      <c r="VTX1914" s="62">
        <v>13.28</v>
      </c>
      <c r="VTY1914" s="115">
        <v>19.489999999999998</v>
      </c>
      <c r="VTZ1914" s="56">
        <v>18.98</v>
      </c>
      <c r="VUA1914" s="56">
        <v>17.5</v>
      </c>
      <c r="VUB1914" s="62">
        <v>13.28</v>
      </c>
      <c r="VUC1914" s="115">
        <v>19.489999999999998</v>
      </c>
      <c r="VUD1914" s="56">
        <v>18.98</v>
      </c>
      <c r="VUE1914" s="56">
        <v>17.5</v>
      </c>
      <c r="VUF1914" s="62">
        <v>13.28</v>
      </c>
      <c r="VUG1914" s="115">
        <v>19.489999999999998</v>
      </c>
      <c r="VUH1914" s="56">
        <v>18.98</v>
      </c>
      <c r="VUI1914" s="56">
        <v>17.5</v>
      </c>
      <c r="VUJ1914" s="62">
        <v>13.28</v>
      </c>
      <c r="VUK1914" s="115">
        <v>19.489999999999998</v>
      </c>
      <c r="VUL1914" s="56">
        <v>18.98</v>
      </c>
      <c r="VUM1914" s="56">
        <v>17.5</v>
      </c>
      <c r="VUN1914" s="62">
        <v>13.28</v>
      </c>
      <c r="VUO1914" s="115">
        <v>19.489999999999998</v>
      </c>
      <c r="VUP1914" s="56">
        <v>18.98</v>
      </c>
      <c r="VUQ1914" s="56">
        <v>17.5</v>
      </c>
      <c r="VUR1914" s="62">
        <v>13.28</v>
      </c>
      <c r="VUS1914" s="115">
        <v>19.489999999999998</v>
      </c>
      <c r="VUT1914" s="56">
        <v>18.98</v>
      </c>
      <c r="VUU1914" s="56">
        <v>17.5</v>
      </c>
      <c r="VUV1914" s="62">
        <v>13.28</v>
      </c>
      <c r="VUW1914" s="115">
        <v>19.489999999999998</v>
      </c>
      <c r="VUX1914" s="56">
        <v>18.98</v>
      </c>
      <c r="VUY1914" s="56">
        <v>17.5</v>
      </c>
      <c r="VUZ1914" s="62">
        <v>13.28</v>
      </c>
      <c r="VVA1914" s="115">
        <v>19.489999999999998</v>
      </c>
      <c r="VVB1914" s="56">
        <v>18.98</v>
      </c>
      <c r="VVC1914" s="56">
        <v>17.5</v>
      </c>
      <c r="VVD1914" s="62">
        <v>13.28</v>
      </c>
      <c r="VVE1914" s="115">
        <v>19.489999999999998</v>
      </c>
      <c r="VVF1914" s="56">
        <v>18.98</v>
      </c>
      <c r="VVG1914" s="56">
        <v>17.5</v>
      </c>
      <c r="VVH1914" s="62">
        <v>13.28</v>
      </c>
      <c r="VVI1914" s="115">
        <v>19.489999999999998</v>
      </c>
      <c r="VVJ1914" s="56">
        <v>18.98</v>
      </c>
      <c r="VVK1914" s="56">
        <v>17.5</v>
      </c>
      <c r="VVL1914" s="62">
        <v>13.28</v>
      </c>
      <c r="VVM1914" s="115">
        <v>19.489999999999998</v>
      </c>
      <c r="VVN1914" s="56">
        <v>18.98</v>
      </c>
      <c r="VVO1914" s="56">
        <v>17.5</v>
      </c>
      <c r="VVP1914" s="62">
        <v>13.28</v>
      </c>
      <c r="VVQ1914" s="115">
        <v>19.489999999999998</v>
      </c>
      <c r="VVR1914" s="56">
        <v>18.98</v>
      </c>
      <c r="VVS1914" s="56">
        <v>17.5</v>
      </c>
      <c r="VVT1914" s="62">
        <v>13.28</v>
      </c>
      <c r="VVU1914" s="115">
        <v>19.489999999999998</v>
      </c>
      <c r="VVV1914" s="56">
        <v>18.98</v>
      </c>
      <c r="VVW1914" s="56">
        <v>17.5</v>
      </c>
      <c r="VVX1914" s="62">
        <v>13.28</v>
      </c>
      <c r="VVY1914" s="115">
        <v>19.489999999999998</v>
      </c>
      <c r="VVZ1914" s="56">
        <v>18.98</v>
      </c>
      <c r="VWA1914" s="56">
        <v>17.5</v>
      </c>
      <c r="VWB1914" s="62">
        <v>13.28</v>
      </c>
      <c r="VWC1914" s="115">
        <v>19.489999999999998</v>
      </c>
      <c r="VWD1914" s="56">
        <v>18.98</v>
      </c>
      <c r="VWE1914" s="56">
        <v>17.5</v>
      </c>
      <c r="VWF1914" s="62">
        <v>13.28</v>
      </c>
      <c r="VWG1914" s="115">
        <v>19.489999999999998</v>
      </c>
      <c r="VWH1914" s="56">
        <v>18.98</v>
      </c>
      <c r="VWI1914" s="56">
        <v>17.5</v>
      </c>
      <c r="VWJ1914" s="62">
        <v>13.28</v>
      </c>
      <c r="VWK1914" s="115">
        <v>19.489999999999998</v>
      </c>
      <c r="VWL1914" s="56">
        <v>18.98</v>
      </c>
      <c r="VWM1914" s="56">
        <v>17.5</v>
      </c>
      <c r="VWN1914" s="62">
        <v>13.28</v>
      </c>
      <c r="VWO1914" s="115">
        <v>19.489999999999998</v>
      </c>
      <c r="VWP1914" s="56">
        <v>18.98</v>
      </c>
      <c r="VWQ1914" s="56">
        <v>17.5</v>
      </c>
      <c r="VWR1914" s="62">
        <v>13.28</v>
      </c>
      <c r="VWS1914" s="115">
        <v>19.489999999999998</v>
      </c>
      <c r="VWT1914" s="56">
        <v>18.98</v>
      </c>
      <c r="VWU1914" s="56">
        <v>17.5</v>
      </c>
      <c r="VWV1914" s="62">
        <v>13.28</v>
      </c>
      <c r="VWW1914" s="115">
        <v>19.489999999999998</v>
      </c>
      <c r="VWX1914" s="56">
        <v>18.98</v>
      </c>
      <c r="VWY1914" s="56">
        <v>17.5</v>
      </c>
      <c r="VWZ1914" s="62">
        <v>13.28</v>
      </c>
      <c r="VXA1914" s="115">
        <v>19.489999999999998</v>
      </c>
      <c r="VXB1914" s="56">
        <v>18.98</v>
      </c>
      <c r="VXC1914" s="56">
        <v>17.5</v>
      </c>
      <c r="VXD1914" s="62">
        <v>13.28</v>
      </c>
      <c r="VXE1914" s="115">
        <v>19.489999999999998</v>
      </c>
      <c r="VXF1914" s="56">
        <v>18.98</v>
      </c>
      <c r="VXG1914" s="56">
        <v>17.5</v>
      </c>
      <c r="VXH1914" s="62">
        <v>13.28</v>
      </c>
      <c r="VXI1914" s="115">
        <v>19.489999999999998</v>
      </c>
      <c r="VXJ1914" s="56">
        <v>18.98</v>
      </c>
      <c r="VXK1914" s="56">
        <v>17.5</v>
      </c>
      <c r="VXL1914" s="62">
        <v>13.28</v>
      </c>
      <c r="VXM1914" s="115">
        <v>19.489999999999998</v>
      </c>
      <c r="VXN1914" s="56">
        <v>18.98</v>
      </c>
      <c r="VXO1914" s="56">
        <v>17.5</v>
      </c>
      <c r="VXP1914" s="62">
        <v>13.28</v>
      </c>
      <c r="VXQ1914" s="115">
        <v>19.489999999999998</v>
      </c>
      <c r="VXR1914" s="56">
        <v>18.98</v>
      </c>
      <c r="VXS1914" s="56">
        <v>17.5</v>
      </c>
      <c r="VXT1914" s="62">
        <v>13.28</v>
      </c>
      <c r="VXU1914" s="115">
        <v>19.489999999999998</v>
      </c>
      <c r="VXV1914" s="56">
        <v>18.98</v>
      </c>
      <c r="VXW1914" s="56">
        <v>17.5</v>
      </c>
      <c r="VXX1914" s="62">
        <v>13.28</v>
      </c>
      <c r="VXY1914" s="115">
        <v>19.489999999999998</v>
      </c>
      <c r="VXZ1914" s="56">
        <v>18.98</v>
      </c>
      <c r="VYA1914" s="56">
        <v>17.5</v>
      </c>
      <c r="VYB1914" s="62">
        <v>13.28</v>
      </c>
      <c r="VYC1914" s="115">
        <v>19.489999999999998</v>
      </c>
      <c r="VYD1914" s="56">
        <v>18.98</v>
      </c>
      <c r="VYE1914" s="56">
        <v>17.5</v>
      </c>
      <c r="VYF1914" s="62">
        <v>13.28</v>
      </c>
      <c r="VYG1914" s="115">
        <v>19.489999999999998</v>
      </c>
      <c r="VYH1914" s="56">
        <v>18.98</v>
      </c>
      <c r="VYI1914" s="56">
        <v>17.5</v>
      </c>
      <c r="VYJ1914" s="62">
        <v>13.28</v>
      </c>
      <c r="VYK1914" s="115">
        <v>19.489999999999998</v>
      </c>
      <c r="VYL1914" s="56">
        <v>18.98</v>
      </c>
      <c r="VYM1914" s="56">
        <v>17.5</v>
      </c>
      <c r="VYN1914" s="62">
        <v>13.28</v>
      </c>
      <c r="VYO1914" s="115">
        <v>19.489999999999998</v>
      </c>
      <c r="VYP1914" s="56">
        <v>18.98</v>
      </c>
      <c r="VYQ1914" s="56">
        <v>17.5</v>
      </c>
      <c r="VYR1914" s="62">
        <v>13.28</v>
      </c>
      <c r="VYS1914" s="115">
        <v>19.489999999999998</v>
      </c>
      <c r="VYT1914" s="56">
        <v>18.98</v>
      </c>
      <c r="VYU1914" s="56">
        <v>17.5</v>
      </c>
      <c r="VYV1914" s="62">
        <v>13.28</v>
      </c>
      <c r="VYW1914" s="115">
        <v>19.489999999999998</v>
      </c>
      <c r="VYX1914" s="56">
        <v>18.98</v>
      </c>
      <c r="VYY1914" s="56">
        <v>17.5</v>
      </c>
      <c r="VYZ1914" s="62">
        <v>13.28</v>
      </c>
      <c r="VZA1914" s="115">
        <v>19.489999999999998</v>
      </c>
      <c r="VZB1914" s="56">
        <v>18.98</v>
      </c>
      <c r="VZC1914" s="56">
        <v>17.5</v>
      </c>
      <c r="VZD1914" s="62">
        <v>13.28</v>
      </c>
      <c r="VZE1914" s="115">
        <v>19.489999999999998</v>
      </c>
      <c r="VZF1914" s="56">
        <v>18.98</v>
      </c>
      <c r="VZG1914" s="56">
        <v>17.5</v>
      </c>
      <c r="VZH1914" s="62">
        <v>13.28</v>
      </c>
      <c r="VZI1914" s="115">
        <v>19.489999999999998</v>
      </c>
      <c r="VZJ1914" s="56">
        <v>18.98</v>
      </c>
      <c r="VZK1914" s="56">
        <v>17.5</v>
      </c>
      <c r="VZL1914" s="62">
        <v>13.28</v>
      </c>
      <c r="VZM1914" s="115">
        <v>19.489999999999998</v>
      </c>
      <c r="VZN1914" s="56">
        <v>18.98</v>
      </c>
      <c r="VZO1914" s="56">
        <v>17.5</v>
      </c>
      <c r="VZP1914" s="62">
        <v>13.28</v>
      </c>
      <c r="VZQ1914" s="115">
        <v>19.489999999999998</v>
      </c>
      <c r="VZR1914" s="56">
        <v>18.98</v>
      </c>
      <c r="VZS1914" s="56">
        <v>17.5</v>
      </c>
      <c r="VZT1914" s="62">
        <v>13.28</v>
      </c>
      <c r="VZU1914" s="115">
        <v>19.489999999999998</v>
      </c>
      <c r="VZV1914" s="56">
        <v>18.98</v>
      </c>
      <c r="VZW1914" s="56">
        <v>17.5</v>
      </c>
      <c r="VZX1914" s="62">
        <v>13.28</v>
      </c>
      <c r="VZY1914" s="115">
        <v>19.489999999999998</v>
      </c>
      <c r="VZZ1914" s="56">
        <v>18.98</v>
      </c>
      <c r="WAA1914" s="56">
        <v>17.5</v>
      </c>
      <c r="WAB1914" s="62">
        <v>13.28</v>
      </c>
      <c r="WAC1914" s="115">
        <v>19.489999999999998</v>
      </c>
      <c r="WAD1914" s="56">
        <v>18.98</v>
      </c>
      <c r="WAE1914" s="56">
        <v>17.5</v>
      </c>
      <c r="WAF1914" s="62">
        <v>13.28</v>
      </c>
      <c r="WAG1914" s="115">
        <v>19.489999999999998</v>
      </c>
      <c r="WAH1914" s="56">
        <v>18.98</v>
      </c>
      <c r="WAI1914" s="56">
        <v>17.5</v>
      </c>
      <c r="WAJ1914" s="62">
        <v>13.28</v>
      </c>
      <c r="WAK1914" s="115">
        <v>19.489999999999998</v>
      </c>
      <c r="WAL1914" s="56">
        <v>18.98</v>
      </c>
      <c r="WAM1914" s="56">
        <v>17.5</v>
      </c>
      <c r="WAN1914" s="62">
        <v>13.28</v>
      </c>
      <c r="WAO1914" s="115">
        <v>19.489999999999998</v>
      </c>
      <c r="WAP1914" s="56">
        <v>18.98</v>
      </c>
      <c r="WAQ1914" s="56">
        <v>17.5</v>
      </c>
      <c r="WAR1914" s="62">
        <v>13.28</v>
      </c>
      <c r="WAS1914" s="115">
        <v>19.489999999999998</v>
      </c>
      <c r="WAT1914" s="56">
        <v>18.98</v>
      </c>
      <c r="WAU1914" s="56">
        <v>17.5</v>
      </c>
      <c r="WAV1914" s="62">
        <v>13.28</v>
      </c>
      <c r="WAW1914" s="115">
        <v>19.489999999999998</v>
      </c>
      <c r="WAX1914" s="56">
        <v>18.98</v>
      </c>
      <c r="WAY1914" s="56">
        <v>17.5</v>
      </c>
      <c r="WAZ1914" s="62">
        <v>13.28</v>
      </c>
      <c r="WBA1914" s="115">
        <v>19.489999999999998</v>
      </c>
      <c r="WBB1914" s="56">
        <v>18.98</v>
      </c>
      <c r="WBC1914" s="56">
        <v>17.5</v>
      </c>
      <c r="WBD1914" s="62">
        <v>13.28</v>
      </c>
      <c r="WBE1914" s="115">
        <v>19.489999999999998</v>
      </c>
      <c r="WBF1914" s="56">
        <v>18.98</v>
      </c>
      <c r="WBG1914" s="56">
        <v>17.5</v>
      </c>
      <c r="WBH1914" s="62">
        <v>13.28</v>
      </c>
      <c r="WBI1914" s="115">
        <v>19.489999999999998</v>
      </c>
      <c r="WBJ1914" s="56">
        <v>18.98</v>
      </c>
      <c r="WBK1914" s="56">
        <v>17.5</v>
      </c>
      <c r="WBL1914" s="62">
        <v>13.28</v>
      </c>
      <c r="WBM1914" s="115">
        <v>19.489999999999998</v>
      </c>
      <c r="WBN1914" s="56">
        <v>18.98</v>
      </c>
      <c r="WBO1914" s="56">
        <v>17.5</v>
      </c>
      <c r="WBP1914" s="62">
        <v>13.28</v>
      </c>
      <c r="WBQ1914" s="115">
        <v>19.489999999999998</v>
      </c>
      <c r="WBR1914" s="56">
        <v>18.98</v>
      </c>
      <c r="WBS1914" s="56">
        <v>17.5</v>
      </c>
      <c r="WBT1914" s="62">
        <v>13.28</v>
      </c>
      <c r="WBU1914" s="115">
        <v>19.489999999999998</v>
      </c>
      <c r="WBV1914" s="56">
        <v>18.98</v>
      </c>
      <c r="WBW1914" s="56">
        <v>17.5</v>
      </c>
      <c r="WBX1914" s="62">
        <v>13.28</v>
      </c>
      <c r="WBY1914" s="115">
        <v>19.489999999999998</v>
      </c>
      <c r="WBZ1914" s="56">
        <v>18.98</v>
      </c>
      <c r="WCA1914" s="56">
        <v>17.5</v>
      </c>
      <c r="WCB1914" s="62">
        <v>13.28</v>
      </c>
      <c r="WCC1914" s="115">
        <v>19.489999999999998</v>
      </c>
      <c r="WCD1914" s="56">
        <v>18.98</v>
      </c>
      <c r="WCE1914" s="56">
        <v>17.5</v>
      </c>
      <c r="WCF1914" s="62">
        <v>13.28</v>
      </c>
      <c r="WCG1914" s="115">
        <v>19.489999999999998</v>
      </c>
      <c r="WCH1914" s="56">
        <v>18.98</v>
      </c>
      <c r="WCI1914" s="56">
        <v>17.5</v>
      </c>
      <c r="WCJ1914" s="62">
        <v>13.28</v>
      </c>
      <c r="WCK1914" s="115">
        <v>19.489999999999998</v>
      </c>
      <c r="WCL1914" s="56">
        <v>18.98</v>
      </c>
      <c r="WCM1914" s="56">
        <v>17.5</v>
      </c>
      <c r="WCN1914" s="62">
        <v>13.28</v>
      </c>
      <c r="WCO1914" s="115">
        <v>19.489999999999998</v>
      </c>
      <c r="WCP1914" s="56">
        <v>18.98</v>
      </c>
      <c r="WCQ1914" s="56">
        <v>17.5</v>
      </c>
      <c r="WCR1914" s="62">
        <v>13.28</v>
      </c>
      <c r="WCS1914" s="115">
        <v>19.489999999999998</v>
      </c>
      <c r="WCT1914" s="56">
        <v>18.98</v>
      </c>
      <c r="WCU1914" s="56">
        <v>17.5</v>
      </c>
      <c r="WCV1914" s="62">
        <v>13.28</v>
      </c>
      <c r="WCW1914" s="115">
        <v>19.489999999999998</v>
      </c>
      <c r="WCX1914" s="56">
        <v>18.98</v>
      </c>
      <c r="WCY1914" s="56">
        <v>17.5</v>
      </c>
      <c r="WCZ1914" s="62">
        <v>13.28</v>
      </c>
      <c r="WDA1914" s="115">
        <v>19.489999999999998</v>
      </c>
      <c r="WDB1914" s="56">
        <v>18.98</v>
      </c>
      <c r="WDC1914" s="56">
        <v>17.5</v>
      </c>
      <c r="WDD1914" s="62">
        <v>13.28</v>
      </c>
      <c r="WDE1914" s="115">
        <v>19.489999999999998</v>
      </c>
      <c r="WDF1914" s="56">
        <v>18.98</v>
      </c>
      <c r="WDG1914" s="56">
        <v>17.5</v>
      </c>
      <c r="WDH1914" s="62">
        <v>13.28</v>
      </c>
      <c r="WDI1914" s="115">
        <v>19.489999999999998</v>
      </c>
      <c r="WDJ1914" s="56">
        <v>18.98</v>
      </c>
      <c r="WDK1914" s="56">
        <v>17.5</v>
      </c>
      <c r="WDL1914" s="62">
        <v>13.28</v>
      </c>
      <c r="WDM1914" s="115">
        <v>19.489999999999998</v>
      </c>
      <c r="WDN1914" s="56">
        <v>18.98</v>
      </c>
      <c r="WDO1914" s="56">
        <v>17.5</v>
      </c>
      <c r="WDP1914" s="62">
        <v>13.28</v>
      </c>
      <c r="WDQ1914" s="115">
        <v>19.489999999999998</v>
      </c>
      <c r="WDR1914" s="56">
        <v>18.98</v>
      </c>
      <c r="WDS1914" s="56">
        <v>17.5</v>
      </c>
      <c r="WDT1914" s="62">
        <v>13.28</v>
      </c>
      <c r="WDU1914" s="115">
        <v>19.489999999999998</v>
      </c>
      <c r="WDV1914" s="56">
        <v>18.98</v>
      </c>
      <c r="WDW1914" s="56">
        <v>17.5</v>
      </c>
      <c r="WDX1914" s="62">
        <v>13.28</v>
      </c>
      <c r="WDY1914" s="115">
        <v>19.489999999999998</v>
      </c>
      <c r="WDZ1914" s="56">
        <v>18.98</v>
      </c>
      <c r="WEA1914" s="56">
        <v>17.5</v>
      </c>
      <c r="WEB1914" s="62">
        <v>13.28</v>
      </c>
      <c r="WEC1914" s="115">
        <v>19.489999999999998</v>
      </c>
      <c r="WED1914" s="56">
        <v>18.98</v>
      </c>
      <c r="WEE1914" s="56">
        <v>17.5</v>
      </c>
      <c r="WEF1914" s="62">
        <v>13.28</v>
      </c>
      <c r="WEG1914" s="115">
        <v>19.489999999999998</v>
      </c>
      <c r="WEH1914" s="56">
        <v>18.98</v>
      </c>
      <c r="WEI1914" s="56">
        <v>17.5</v>
      </c>
      <c r="WEJ1914" s="62">
        <v>13.28</v>
      </c>
      <c r="WEK1914" s="115">
        <v>19.489999999999998</v>
      </c>
      <c r="WEL1914" s="56">
        <v>18.98</v>
      </c>
      <c r="WEM1914" s="56">
        <v>17.5</v>
      </c>
      <c r="WEN1914" s="62">
        <v>13.28</v>
      </c>
      <c r="WEO1914" s="115">
        <v>19.489999999999998</v>
      </c>
      <c r="WEP1914" s="56">
        <v>18.98</v>
      </c>
      <c r="WEQ1914" s="56">
        <v>17.5</v>
      </c>
      <c r="WER1914" s="62">
        <v>13.28</v>
      </c>
      <c r="WES1914" s="115">
        <v>19.489999999999998</v>
      </c>
      <c r="WET1914" s="56">
        <v>18.98</v>
      </c>
      <c r="WEU1914" s="56">
        <v>17.5</v>
      </c>
      <c r="WEV1914" s="62">
        <v>13.28</v>
      </c>
      <c r="WEW1914" s="115">
        <v>19.489999999999998</v>
      </c>
      <c r="WEX1914" s="56">
        <v>18.98</v>
      </c>
      <c r="WEY1914" s="56">
        <v>17.5</v>
      </c>
      <c r="WEZ1914" s="62">
        <v>13.28</v>
      </c>
      <c r="WFA1914" s="115">
        <v>19.489999999999998</v>
      </c>
      <c r="WFB1914" s="56">
        <v>18.98</v>
      </c>
      <c r="WFC1914" s="56">
        <v>17.5</v>
      </c>
      <c r="WFD1914" s="62">
        <v>13.28</v>
      </c>
      <c r="WFE1914" s="115">
        <v>19.489999999999998</v>
      </c>
      <c r="WFF1914" s="56">
        <v>18.98</v>
      </c>
      <c r="WFG1914" s="56">
        <v>17.5</v>
      </c>
      <c r="WFH1914" s="62">
        <v>13.28</v>
      </c>
      <c r="WFI1914" s="115">
        <v>19.489999999999998</v>
      </c>
      <c r="WFJ1914" s="56">
        <v>18.98</v>
      </c>
      <c r="WFK1914" s="56">
        <v>17.5</v>
      </c>
      <c r="WFL1914" s="62">
        <v>13.28</v>
      </c>
      <c r="WFM1914" s="115">
        <v>19.489999999999998</v>
      </c>
      <c r="WFN1914" s="56">
        <v>18.98</v>
      </c>
      <c r="WFO1914" s="56">
        <v>17.5</v>
      </c>
      <c r="WFP1914" s="62">
        <v>13.28</v>
      </c>
      <c r="WFQ1914" s="115">
        <v>19.489999999999998</v>
      </c>
      <c r="WFR1914" s="56">
        <v>18.98</v>
      </c>
      <c r="WFS1914" s="56">
        <v>17.5</v>
      </c>
      <c r="WFT1914" s="62">
        <v>13.28</v>
      </c>
      <c r="WFU1914" s="115">
        <v>19.489999999999998</v>
      </c>
      <c r="WFV1914" s="56">
        <v>18.98</v>
      </c>
      <c r="WFW1914" s="56">
        <v>17.5</v>
      </c>
      <c r="WFX1914" s="62">
        <v>13.28</v>
      </c>
      <c r="WFY1914" s="115">
        <v>19.489999999999998</v>
      </c>
      <c r="WFZ1914" s="56">
        <v>18.98</v>
      </c>
      <c r="WGA1914" s="56">
        <v>17.5</v>
      </c>
      <c r="WGB1914" s="62">
        <v>13.28</v>
      </c>
      <c r="WGC1914" s="115">
        <v>19.489999999999998</v>
      </c>
      <c r="WGD1914" s="56">
        <v>18.98</v>
      </c>
      <c r="WGE1914" s="56">
        <v>17.5</v>
      </c>
      <c r="WGF1914" s="62">
        <v>13.28</v>
      </c>
      <c r="WGG1914" s="115">
        <v>19.489999999999998</v>
      </c>
      <c r="WGH1914" s="56">
        <v>18.98</v>
      </c>
      <c r="WGI1914" s="56">
        <v>17.5</v>
      </c>
      <c r="WGJ1914" s="62">
        <v>13.28</v>
      </c>
      <c r="WGK1914" s="115">
        <v>19.489999999999998</v>
      </c>
      <c r="WGL1914" s="56">
        <v>18.98</v>
      </c>
      <c r="WGM1914" s="56">
        <v>17.5</v>
      </c>
      <c r="WGN1914" s="62">
        <v>13.28</v>
      </c>
      <c r="WGO1914" s="115">
        <v>19.489999999999998</v>
      </c>
      <c r="WGP1914" s="56">
        <v>18.98</v>
      </c>
      <c r="WGQ1914" s="56">
        <v>17.5</v>
      </c>
      <c r="WGR1914" s="62">
        <v>13.28</v>
      </c>
      <c r="WGS1914" s="115">
        <v>19.489999999999998</v>
      </c>
      <c r="WGT1914" s="56">
        <v>18.98</v>
      </c>
      <c r="WGU1914" s="56">
        <v>17.5</v>
      </c>
      <c r="WGV1914" s="62">
        <v>13.28</v>
      </c>
      <c r="WGW1914" s="115">
        <v>19.489999999999998</v>
      </c>
      <c r="WGX1914" s="56">
        <v>18.98</v>
      </c>
      <c r="WGY1914" s="56">
        <v>17.5</v>
      </c>
      <c r="WGZ1914" s="62">
        <v>13.28</v>
      </c>
      <c r="WHA1914" s="115">
        <v>19.489999999999998</v>
      </c>
      <c r="WHB1914" s="56">
        <v>18.98</v>
      </c>
      <c r="WHC1914" s="56">
        <v>17.5</v>
      </c>
      <c r="WHD1914" s="62">
        <v>13.28</v>
      </c>
      <c r="WHE1914" s="115">
        <v>19.489999999999998</v>
      </c>
      <c r="WHF1914" s="56">
        <v>18.98</v>
      </c>
      <c r="WHG1914" s="56">
        <v>17.5</v>
      </c>
      <c r="WHH1914" s="62">
        <v>13.28</v>
      </c>
      <c r="WHI1914" s="115">
        <v>19.489999999999998</v>
      </c>
      <c r="WHJ1914" s="56">
        <v>18.98</v>
      </c>
      <c r="WHK1914" s="56">
        <v>17.5</v>
      </c>
      <c r="WHL1914" s="62">
        <v>13.28</v>
      </c>
      <c r="WHM1914" s="115">
        <v>19.489999999999998</v>
      </c>
      <c r="WHN1914" s="56">
        <v>18.98</v>
      </c>
      <c r="WHO1914" s="56">
        <v>17.5</v>
      </c>
      <c r="WHP1914" s="62">
        <v>13.28</v>
      </c>
      <c r="WHQ1914" s="115">
        <v>19.489999999999998</v>
      </c>
      <c r="WHR1914" s="56">
        <v>18.98</v>
      </c>
      <c r="WHS1914" s="56">
        <v>17.5</v>
      </c>
      <c r="WHT1914" s="62">
        <v>13.28</v>
      </c>
      <c r="WHU1914" s="115">
        <v>19.489999999999998</v>
      </c>
      <c r="WHV1914" s="56">
        <v>18.98</v>
      </c>
      <c r="WHW1914" s="56">
        <v>17.5</v>
      </c>
      <c r="WHX1914" s="62">
        <v>13.28</v>
      </c>
      <c r="WHY1914" s="115">
        <v>19.489999999999998</v>
      </c>
      <c r="WHZ1914" s="56">
        <v>18.98</v>
      </c>
      <c r="WIA1914" s="56">
        <v>17.5</v>
      </c>
      <c r="WIB1914" s="62">
        <v>13.28</v>
      </c>
      <c r="WIC1914" s="115">
        <v>19.489999999999998</v>
      </c>
      <c r="WID1914" s="56">
        <v>18.98</v>
      </c>
      <c r="WIE1914" s="56">
        <v>17.5</v>
      </c>
      <c r="WIF1914" s="62">
        <v>13.28</v>
      </c>
      <c r="WIG1914" s="115">
        <v>19.489999999999998</v>
      </c>
      <c r="WIH1914" s="56">
        <v>18.98</v>
      </c>
      <c r="WII1914" s="56">
        <v>17.5</v>
      </c>
      <c r="WIJ1914" s="62">
        <v>13.28</v>
      </c>
      <c r="WIK1914" s="115">
        <v>19.489999999999998</v>
      </c>
      <c r="WIL1914" s="56">
        <v>18.98</v>
      </c>
      <c r="WIM1914" s="56">
        <v>17.5</v>
      </c>
      <c r="WIN1914" s="62">
        <v>13.28</v>
      </c>
      <c r="WIO1914" s="115">
        <v>19.489999999999998</v>
      </c>
      <c r="WIP1914" s="56">
        <v>18.98</v>
      </c>
      <c r="WIQ1914" s="56">
        <v>17.5</v>
      </c>
      <c r="WIR1914" s="62">
        <v>13.28</v>
      </c>
      <c r="WIS1914" s="115">
        <v>19.489999999999998</v>
      </c>
      <c r="WIT1914" s="56">
        <v>18.98</v>
      </c>
      <c r="WIU1914" s="56">
        <v>17.5</v>
      </c>
      <c r="WIV1914" s="62">
        <v>13.28</v>
      </c>
      <c r="WIW1914" s="115">
        <v>19.489999999999998</v>
      </c>
      <c r="WIX1914" s="56">
        <v>18.98</v>
      </c>
      <c r="WIY1914" s="56">
        <v>17.5</v>
      </c>
      <c r="WIZ1914" s="62">
        <v>13.28</v>
      </c>
      <c r="WJA1914" s="115">
        <v>19.489999999999998</v>
      </c>
      <c r="WJB1914" s="56">
        <v>18.98</v>
      </c>
      <c r="WJC1914" s="56">
        <v>17.5</v>
      </c>
      <c r="WJD1914" s="62">
        <v>13.28</v>
      </c>
      <c r="WJE1914" s="115">
        <v>19.489999999999998</v>
      </c>
      <c r="WJF1914" s="56">
        <v>18.98</v>
      </c>
      <c r="WJG1914" s="56">
        <v>17.5</v>
      </c>
      <c r="WJH1914" s="62">
        <v>13.28</v>
      </c>
      <c r="WJI1914" s="115">
        <v>19.489999999999998</v>
      </c>
      <c r="WJJ1914" s="56">
        <v>18.98</v>
      </c>
      <c r="WJK1914" s="56">
        <v>17.5</v>
      </c>
      <c r="WJL1914" s="62">
        <v>13.28</v>
      </c>
      <c r="WJM1914" s="115">
        <v>19.489999999999998</v>
      </c>
      <c r="WJN1914" s="56">
        <v>18.98</v>
      </c>
      <c r="WJO1914" s="56">
        <v>17.5</v>
      </c>
      <c r="WJP1914" s="62">
        <v>13.28</v>
      </c>
      <c r="WJQ1914" s="115">
        <v>19.489999999999998</v>
      </c>
      <c r="WJR1914" s="56">
        <v>18.98</v>
      </c>
      <c r="WJS1914" s="56">
        <v>17.5</v>
      </c>
      <c r="WJT1914" s="62">
        <v>13.28</v>
      </c>
      <c r="WJU1914" s="115">
        <v>19.489999999999998</v>
      </c>
      <c r="WJV1914" s="56">
        <v>18.98</v>
      </c>
      <c r="WJW1914" s="56">
        <v>17.5</v>
      </c>
      <c r="WJX1914" s="62">
        <v>13.28</v>
      </c>
      <c r="WJY1914" s="115">
        <v>19.489999999999998</v>
      </c>
      <c r="WJZ1914" s="56">
        <v>18.98</v>
      </c>
      <c r="WKA1914" s="56">
        <v>17.5</v>
      </c>
      <c r="WKB1914" s="62">
        <v>13.28</v>
      </c>
      <c r="WKC1914" s="115">
        <v>19.489999999999998</v>
      </c>
      <c r="WKD1914" s="56">
        <v>18.98</v>
      </c>
      <c r="WKE1914" s="56">
        <v>17.5</v>
      </c>
      <c r="WKF1914" s="62">
        <v>13.28</v>
      </c>
      <c r="WKG1914" s="115">
        <v>19.489999999999998</v>
      </c>
      <c r="WKH1914" s="56">
        <v>18.98</v>
      </c>
      <c r="WKI1914" s="56">
        <v>17.5</v>
      </c>
      <c r="WKJ1914" s="62">
        <v>13.28</v>
      </c>
      <c r="WKK1914" s="115">
        <v>19.489999999999998</v>
      </c>
      <c r="WKL1914" s="56">
        <v>18.98</v>
      </c>
      <c r="WKM1914" s="56">
        <v>17.5</v>
      </c>
      <c r="WKN1914" s="62">
        <v>13.28</v>
      </c>
      <c r="WKO1914" s="115">
        <v>19.489999999999998</v>
      </c>
      <c r="WKP1914" s="56">
        <v>18.98</v>
      </c>
      <c r="WKQ1914" s="56">
        <v>17.5</v>
      </c>
      <c r="WKR1914" s="62">
        <v>13.28</v>
      </c>
      <c r="WKS1914" s="115">
        <v>19.489999999999998</v>
      </c>
      <c r="WKT1914" s="56">
        <v>18.98</v>
      </c>
      <c r="WKU1914" s="56">
        <v>17.5</v>
      </c>
      <c r="WKV1914" s="62">
        <v>13.28</v>
      </c>
      <c r="WKW1914" s="115">
        <v>19.489999999999998</v>
      </c>
      <c r="WKX1914" s="56">
        <v>18.98</v>
      </c>
      <c r="WKY1914" s="56">
        <v>17.5</v>
      </c>
      <c r="WKZ1914" s="62">
        <v>13.28</v>
      </c>
      <c r="WLA1914" s="115">
        <v>19.489999999999998</v>
      </c>
      <c r="WLB1914" s="56">
        <v>18.98</v>
      </c>
      <c r="WLC1914" s="56">
        <v>17.5</v>
      </c>
      <c r="WLD1914" s="62">
        <v>13.28</v>
      </c>
      <c r="WLE1914" s="115">
        <v>19.489999999999998</v>
      </c>
      <c r="WLF1914" s="56">
        <v>18.98</v>
      </c>
      <c r="WLG1914" s="56">
        <v>17.5</v>
      </c>
      <c r="WLH1914" s="62">
        <v>13.28</v>
      </c>
      <c r="WLI1914" s="115">
        <v>19.489999999999998</v>
      </c>
      <c r="WLJ1914" s="56">
        <v>18.98</v>
      </c>
      <c r="WLK1914" s="56">
        <v>17.5</v>
      </c>
      <c r="WLL1914" s="62">
        <v>13.28</v>
      </c>
      <c r="WLM1914" s="115">
        <v>19.489999999999998</v>
      </c>
      <c r="WLN1914" s="56">
        <v>18.98</v>
      </c>
      <c r="WLO1914" s="56">
        <v>17.5</v>
      </c>
      <c r="WLP1914" s="62">
        <v>13.28</v>
      </c>
      <c r="WLQ1914" s="115">
        <v>19.489999999999998</v>
      </c>
      <c r="WLR1914" s="56">
        <v>18.98</v>
      </c>
      <c r="WLS1914" s="56">
        <v>17.5</v>
      </c>
      <c r="WLT1914" s="62">
        <v>13.28</v>
      </c>
      <c r="WLU1914" s="115">
        <v>19.489999999999998</v>
      </c>
      <c r="WLV1914" s="56">
        <v>18.98</v>
      </c>
      <c r="WLW1914" s="56">
        <v>17.5</v>
      </c>
      <c r="WLX1914" s="62">
        <v>13.28</v>
      </c>
      <c r="WLY1914" s="115">
        <v>19.489999999999998</v>
      </c>
      <c r="WLZ1914" s="56">
        <v>18.98</v>
      </c>
      <c r="WMA1914" s="56">
        <v>17.5</v>
      </c>
      <c r="WMB1914" s="62">
        <v>13.28</v>
      </c>
      <c r="WMC1914" s="115">
        <v>19.489999999999998</v>
      </c>
      <c r="WMD1914" s="56">
        <v>18.98</v>
      </c>
      <c r="WME1914" s="56">
        <v>17.5</v>
      </c>
      <c r="WMF1914" s="62">
        <v>13.28</v>
      </c>
      <c r="WMG1914" s="115">
        <v>19.489999999999998</v>
      </c>
      <c r="WMH1914" s="56">
        <v>18.98</v>
      </c>
      <c r="WMI1914" s="56">
        <v>17.5</v>
      </c>
      <c r="WMJ1914" s="62">
        <v>13.28</v>
      </c>
      <c r="WMK1914" s="115">
        <v>19.489999999999998</v>
      </c>
      <c r="WML1914" s="56">
        <v>18.98</v>
      </c>
      <c r="WMM1914" s="56">
        <v>17.5</v>
      </c>
      <c r="WMN1914" s="62">
        <v>13.28</v>
      </c>
      <c r="WMO1914" s="115">
        <v>19.489999999999998</v>
      </c>
      <c r="WMP1914" s="56">
        <v>18.98</v>
      </c>
      <c r="WMQ1914" s="56">
        <v>17.5</v>
      </c>
      <c r="WMR1914" s="62">
        <v>13.28</v>
      </c>
      <c r="WMS1914" s="115">
        <v>19.489999999999998</v>
      </c>
      <c r="WMT1914" s="56">
        <v>18.98</v>
      </c>
      <c r="WMU1914" s="56">
        <v>17.5</v>
      </c>
      <c r="WMV1914" s="62">
        <v>13.28</v>
      </c>
      <c r="WMW1914" s="115">
        <v>19.489999999999998</v>
      </c>
      <c r="WMX1914" s="56">
        <v>18.98</v>
      </c>
      <c r="WMY1914" s="56">
        <v>17.5</v>
      </c>
      <c r="WMZ1914" s="62">
        <v>13.28</v>
      </c>
      <c r="WNA1914" s="115">
        <v>19.489999999999998</v>
      </c>
      <c r="WNB1914" s="56">
        <v>18.98</v>
      </c>
      <c r="WNC1914" s="56">
        <v>17.5</v>
      </c>
      <c r="WND1914" s="62">
        <v>13.28</v>
      </c>
      <c r="WNE1914" s="115">
        <v>19.489999999999998</v>
      </c>
      <c r="WNF1914" s="56">
        <v>18.98</v>
      </c>
      <c r="WNG1914" s="56">
        <v>17.5</v>
      </c>
      <c r="WNH1914" s="62">
        <v>13.28</v>
      </c>
      <c r="WNI1914" s="115">
        <v>19.489999999999998</v>
      </c>
      <c r="WNJ1914" s="56">
        <v>18.98</v>
      </c>
      <c r="WNK1914" s="56">
        <v>17.5</v>
      </c>
      <c r="WNL1914" s="62">
        <v>13.28</v>
      </c>
      <c r="WNM1914" s="115">
        <v>19.489999999999998</v>
      </c>
      <c r="WNN1914" s="56">
        <v>18.98</v>
      </c>
      <c r="WNO1914" s="56">
        <v>17.5</v>
      </c>
      <c r="WNP1914" s="62">
        <v>13.28</v>
      </c>
      <c r="WNQ1914" s="115">
        <v>19.489999999999998</v>
      </c>
      <c r="WNR1914" s="56">
        <v>18.98</v>
      </c>
      <c r="WNS1914" s="56">
        <v>17.5</v>
      </c>
      <c r="WNT1914" s="62">
        <v>13.28</v>
      </c>
      <c r="WNU1914" s="115">
        <v>19.489999999999998</v>
      </c>
      <c r="WNV1914" s="56">
        <v>18.98</v>
      </c>
      <c r="WNW1914" s="56">
        <v>17.5</v>
      </c>
      <c r="WNX1914" s="62">
        <v>13.28</v>
      </c>
      <c r="WNY1914" s="115">
        <v>19.489999999999998</v>
      </c>
      <c r="WNZ1914" s="56">
        <v>18.98</v>
      </c>
      <c r="WOA1914" s="56">
        <v>17.5</v>
      </c>
      <c r="WOB1914" s="62">
        <v>13.28</v>
      </c>
      <c r="WOC1914" s="115">
        <v>19.489999999999998</v>
      </c>
      <c r="WOD1914" s="56">
        <v>18.98</v>
      </c>
      <c r="WOE1914" s="56">
        <v>17.5</v>
      </c>
      <c r="WOF1914" s="62">
        <v>13.28</v>
      </c>
      <c r="WOG1914" s="115">
        <v>19.489999999999998</v>
      </c>
      <c r="WOH1914" s="56">
        <v>18.98</v>
      </c>
      <c r="WOI1914" s="56">
        <v>17.5</v>
      </c>
      <c r="WOJ1914" s="62">
        <v>13.28</v>
      </c>
      <c r="WOK1914" s="115">
        <v>19.489999999999998</v>
      </c>
      <c r="WOL1914" s="56">
        <v>18.98</v>
      </c>
      <c r="WOM1914" s="56">
        <v>17.5</v>
      </c>
      <c r="WON1914" s="62">
        <v>13.28</v>
      </c>
      <c r="WOO1914" s="115">
        <v>19.489999999999998</v>
      </c>
      <c r="WOP1914" s="56">
        <v>18.98</v>
      </c>
      <c r="WOQ1914" s="56">
        <v>17.5</v>
      </c>
      <c r="WOR1914" s="62">
        <v>13.28</v>
      </c>
      <c r="WOS1914" s="115">
        <v>19.489999999999998</v>
      </c>
      <c r="WOT1914" s="56">
        <v>18.98</v>
      </c>
      <c r="WOU1914" s="56">
        <v>17.5</v>
      </c>
      <c r="WOV1914" s="62">
        <v>13.28</v>
      </c>
      <c r="WOW1914" s="115">
        <v>19.489999999999998</v>
      </c>
      <c r="WOX1914" s="56">
        <v>18.98</v>
      </c>
      <c r="WOY1914" s="56">
        <v>17.5</v>
      </c>
      <c r="WOZ1914" s="62">
        <v>13.28</v>
      </c>
      <c r="WPA1914" s="115">
        <v>19.489999999999998</v>
      </c>
      <c r="WPB1914" s="56">
        <v>18.98</v>
      </c>
      <c r="WPC1914" s="56">
        <v>17.5</v>
      </c>
      <c r="WPD1914" s="62">
        <v>13.28</v>
      </c>
      <c r="WPE1914" s="115">
        <v>19.489999999999998</v>
      </c>
      <c r="WPF1914" s="56">
        <v>18.98</v>
      </c>
      <c r="WPG1914" s="56">
        <v>17.5</v>
      </c>
      <c r="WPH1914" s="62">
        <v>13.28</v>
      </c>
      <c r="WPI1914" s="115">
        <v>19.489999999999998</v>
      </c>
      <c r="WPJ1914" s="56">
        <v>18.98</v>
      </c>
      <c r="WPK1914" s="56">
        <v>17.5</v>
      </c>
      <c r="WPL1914" s="62">
        <v>13.28</v>
      </c>
      <c r="WPM1914" s="115">
        <v>19.489999999999998</v>
      </c>
      <c r="WPN1914" s="56">
        <v>18.98</v>
      </c>
      <c r="WPO1914" s="56">
        <v>17.5</v>
      </c>
      <c r="WPP1914" s="62">
        <v>13.28</v>
      </c>
      <c r="WPQ1914" s="115">
        <v>19.489999999999998</v>
      </c>
      <c r="WPR1914" s="56">
        <v>18.98</v>
      </c>
      <c r="WPS1914" s="56">
        <v>17.5</v>
      </c>
      <c r="WPT1914" s="62">
        <v>13.28</v>
      </c>
      <c r="WPU1914" s="115">
        <v>19.489999999999998</v>
      </c>
      <c r="WPV1914" s="56">
        <v>18.98</v>
      </c>
      <c r="WPW1914" s="56">
        <v>17.5</v>
      </c>
      <c r="WPX1914" s="62">
        <v>13.28</v>
      </c>
      <c r="WPY1914" s="115">
        <v>19.489999999999998</v>
      </c>
      <c r="WPZ1914" s="56">
        <v>18.98</v>
      </c>
      <c r="WQA1914" s="56">
        <v>17.5</v>
      </c>
      <c r="WQB1914" s="62">
        <v>13.28</v>
      </c>
      <c r="WQC1914" s="115">
        <v>19.489999999999998</v>
      </c>
      <c r="WQD1914" s="56">
        <v>18.98</v>
      </c>
      <c r="WQE1914" s="56">
        <v>17.5</v>
      </c>
      <c r="WQF1914" s="62">
        <v>13.28</v>
      </c>
      <c r="WQG1914" s="115">
        <v>19.489999999999998</v>
      </c>
      <c r="WQH1914" s="56">
        <v>18.98</v>
      </c>
      <c r="WQI1914" s="56">
        <v>17.5</v>
      </c>
      <c r="WQJ1914" s="62">
        <v>13.28</v>
      </c>
      <c r="WQK1914" s="115">
        <v>19.489999999999998</v>
      </c>
      <c r="WQL1914" s="56">
        <v>18.98</v>
      </c>
      <c r="WQM1914" s="56">
        <v>17.5</v>
      </c>
      <c r="WQN1914" s="62">
        <v>13.28</v>
      </c>
      <c r="WQO1914" s="115">
        <v>19.489999999999998</v>
      </c>
      <c r="WQP1914" s="56">
        <v>18.98</v>
      </c>
      <c r="WQQ1914" s="56">
        <v>17.5</v>
      </c>
      <c r="WQR1914" s="62">
        <v>13.28</v>
      </c>
      <c r="WQS1914" s="115">
        <v>19.489999999999998</v>
      </c>
      <c r="WQT1914" s="56">
        <v>18.98</v>
      </c>
      <c r="WQU1914" s="56">
        <v>17.5</v>
      </c>
      <c r="WQV1914" s="62">
        <v>13.28</v>
      </c>
      <c r="WQW1914" s="115">
        <v>19.489999999999998</v>
      </c>
      <c r="WQX1914" s="56">
        <v>18.98</v>
      </c>
      <c r="WQY1914" s="56">
        <v>17.5</v>
      </c>
      <c r="WQZ1914" s="62">
        <v>13.28</v>
      </c>
      <c r="WRA1914" s="115">
        <v>19.489999999999998</v>
      </c>
      <c r="WRB1914" s="56">
        <v>18.98</v>
      </c>
      <c r="WRC1914" s="56">
        <v>17.5</v>
      </c>
      <c r="WRD1914" s="62">
        <v>13.28</v>
      </c>
      <c r="WRE1914" s="115">
        <v>19.489999999999998</v>
      </c>
      <c r="WRF1914" s="56">
        <v>18.98</v>
      </c>
      <c r="WRG1914" s="56">
        <v>17.5</v>
      </c>
      <c r="WRH1914" s="62">
        <v>13.28</v>
      </c>
      <c r="WRI1914" s="115">
        <v>19.489999999999998</v>
      </c>
      <c r="WRJ1914" s="56">
        <v>18.98</v>
      </c>
      <c r="WRK1914" s="56">
        <v>17.5</v>
      </c>
      <c r="WRL1914" s="62">
        <v>13.28</v>
      </c>
      <c r="WRM1914" s="115">
        <v>19.489999999999998</v>
      </c>
      <c r="WRN1914" s="56">
        <v>18.98</v>
      </c>
      <c r="WRO1914" s="56">
        <v>17.5</v>
      </c>
      <c r="WRP1914" s="62">
        <v>13.28</v>
      </c>
      <c r="WRQ1914" s="115">
        <v>19.489999999999998</v>
      </c>
      <c r="WRR1914" s="56">
        <v>18.98</v>
      </c>
      <c r="WRS1914" s="56">
        <v>17.5</v>
      </c>
      <c r="WRT1914" s="62">
        <v>13.28</v>
      </c>
      <c r="WRU1914" s="115">
        <v>19.489999999999998</v>
      </c>
      <c r="WRV1914" s="56">
        <v>18.98</v>
      </c>
      <c r="WRW1914" s="56">
        <v>17.5</v>
      </c>
      <c r="WRX1914" s="62">
        <v>13.28</v>
      </c>
      <c r="WRY1914" s="115">
        <v>19.489999999999998</v>
      </c>
      <c r="WRZ1914" s="56">
        <v>18.98</v>
      </c>
      <c r="WSA1914" s="56">
        <v>17.5</v>
      </c>
      <c r="WSB1914" s="62">
        <v>13.28</v>
      </c>
      <c r="WSC1914" s="115">
        <v>19.489999999999998</v>
      </c>
      <c r="WSD1914" s="56">
        <v>18.98</v>
      </c>
      <c r="WSE1914" s="56">
        <v>17.5</v>
      </c>
      <c r="WSF1914" s="62">
        <v>13.28</v>
      </c>
      <c r="WSG1914" s="115">
        <v>19.489999999999998</v>
      </c>
      <c r="WSH1914" s="56">
        <v>18.98</v>
      </c>
      <c r="WSI1914" s="56">
        <v>17.5</v>
      </c>
      <c r="WSJ1914" s="62">
        <v>13.28</v>
      </c>
      <c r="WSK1914" s="115">
        <v>19.489999999999998</v>
      </c>
      <c r="WSL1914" s="56">
        <v>18.98</v>
      </c>
      <c r="WSM1914" s="56">
        <v>17.5</v>
      </c>
      <c r="WSN1914" s="62">
        <v>13.28</v>
      </c>
      <c r="WSO1914" s="115">
        <v>19.489999999999998</v>
      </c>
      <c r="WSP1914" s="56">
        <v>18.98</v>
      </c>
      <c r="WSQ1914" s="56">
        <v>17.5</v>
      </c>
      <c r="WSR1914" s="62">
        <v>13.28</v>
      </c>
      <c r="WSS1914" s="115">
        <v>19.489999999999998</v>
      </c>
      <c r="WST1914" s="56">
        <v>18.98</v>
      </c>
      <c r="WSU1914" s="56">
        <v>17.5</v>
      </c>
      <c r="WSV1914" s="62">
        <v>13.28</v>
      </c>
      <c r="WSW1914" s="115">
        <v>19.489999999999998</v>
      </c>
      <c r="WSX1914" s="56">
        <v>18.98</v>
      </c>
      <c r="WSY1914" s="56">
        <v>17.5</v>
      </c>
      <c r="WSZ1914" s="62">
        <v>13.28</v>
      </c>
      <c r="WTA1914" s="115">
        <v>19.489999999999998</v>
      </c>
      <c r="WTB1914" s="56">
        <v>18.98</v>
      </c>
      <c r="WTC1914" s="56">
        <v>17.5</v>
      </c>
      <c r="WTD1914" s="62">
        <v>13.28</v>
      </c>
      <c r="WTE1914" s="115">
        <v>19.489999999999998</v>
      </c>
      <c r="WTF1914" s="56">
        <v>18.98</v>
      </c>
      <c r="WTG1914" s="56">
        <v>17.5</v>
      </c>
      <c r="WTH1914" s="62">
        <v>13.28</v>
      </c>
      <c r="WTI1914" s="115">
        <v>19.489999999999998</v>
      </c>
      <c r="WTJ1914" s="56">
        <v>18.98</v>
      </c>
      <c r="WTK1914" s="56">
        <v>17.5</v>
      </c>
      <c r="WTL1914" s="62">
        <v>13.28</v>
      </c>
      <c r="WTM1914" s="115">
        <v>19.489999999999998</v>
      </c>
      <c r="WTN1914" s="56">
        <v>18.98</v>
      </c>
      <c r="WTO1914" s="56">
        <v>17.5</v>
      </c>
      <c r="WTP1914" s="62">
        <v>13.28</v>
      </c>
      <c r="WTQ1914" s="115">
        <v>19.489999999999998</v>
      </c>
      <c r="WTR1914" s="56">
        <v>18.98</v>
      </c>
      <c r="WTS1914" s="56">
        <v>17.5</v>
      </c>
      <c r="WTT1914" s="62">
        <v>13.28</v>
      </c>
      <c r="WTU1914" s="115">
        <v>19.489999999999998</v>
      </c>
      <c r="WTV1914" s="56">
        <v>18.98</v>
      </c>
      <c r="WTW1914" s="56">
        <v>17.5</v>
      </c>
      <c r="WTX1914" s="62">
        <v>13.28</v>
      </c>
      <c r="WTY1914" s="115">
        <v>19.489999999999998</v>
      </c>
      <c r="WTZ1914" s="56">
        <v>18.98</v>
      </c>
      <c r="WUA1914" s="56">
        <v>17.5</v>
      </c>
      <c r="WUB1914" s="62">
        <v>13.28</v>
      </c>
      <c r="WUC1914" s="115">
        <v>19.489999999999998</v>
      </c>
      <c r="WUD1914" s="56">
        <v>18.98</v>
      </c>
      <c r="WUE1914" s="56">
        <v>17.5</v>
      </c>
      <c r="WUF1914" s="62">
        <v>13.28</v>
      </c>
      <c r="WUG1914" s="115">
        <v>19.489999999999998</v>
      </c>
      <c r="WUH1914" s="56">
        <v>18.98</v>
      </c>
      <c r="WUI1914" s="56">
        <v>17.5</v>
      </c>
      <c r="WUJ1914" s="62">
        <v>13.28</v>
      </c>
      <c r="WUK1914" s="115">
        <v>19.489999999999998</v>
      </c>
      <c r="WUL1914" s="56">
        <v>18.98</v>
      </c>
      <c r="WUM1914" s="56">
        <v>17.5</v>
      </c>
      <c r="WUN1914" s="62">
        <v>13.28</v>
      </c>
      <c r="WUO1914" s="115">
        <v>19.489999999999998</v>
      </c>
      <c r="WUP1914" s="56">
        <v>18.98</v>
      </c>
      <c r="WUQ1914" s="56">
        <v>17.5</v>
      </c>
      <c r="WUR1914" s="62">
        <v>13.28</v>
      </c>
      <c r="WUS1914" s="115">
        <v>19.489999999999998</v>
      </c>
      <c r="WUT1914" s="56">
        <v>18.98</v>
      </c>
      <c r="WUU1914" s="56">
        <v>17.5</v>
      </c>
      <c r="WUV1914" s="62">
        <v>13.28</v>
      </c>
      <c r="WUW1914" s="115">
        <v>19.489999999999998</v>
      </c>
      <c r="WUX1914" s="56">
        <v>18.98</v>
      </c>
      <c r="WUY1914" s="56">
        <v>17.5</v>
      </c>
      <c r="WUZ1914" s="62">
        <v>13.28</v>
      </c>
      <c r="WVA1914" s="115">
        <v>19.489999999999998</v>
      </c>
      <c r="WVB1914" s="56">
        <v>18.98</v>
      </c>
      <c r="WVC1914" s="56">
        <v>17.5</v>
      </c>
      <c r="WVD1914" s="62">
        <v>13.28</v>
      </c>
      <c r="WVE1914" s="115">
        <v>19.489999999999998</v>
      </c>
      <c r="WVF1914" s="56">
        <v>18.98</v>
      </c>
      <c r="WVG1914" s="56">
        <v>17.5</v>
      </c>
      <c r="WVH1914" s="62">
        <v>13.28</v>
      </c>
      <c r="WVI1914" s="115">
        <v>19.489999999999998</v>
      </c>
      <c r="WVJ1914" s="56">
        <v>18.98</v>
      </c>
      <c r="WVK1914" s="56">
        <v>17.5</v>
      </c>
      <c r="WVL1914" s="62">
        <v>13.28</v>
      </c>
      <c r="WVM1914" s="115">
        <v>19.489999999999998</v>
      </c>
      <c r="WVN1914" s="56">
        <v>18.98</v>
      </c>
      <c r="WVO1914" s="56">
        <v>17.5</v>
      </c>
      <c r="WVP1914" s="62">
        <v>13.28</v>
      </c>
      <c r="WVQ1914" s="115">
        <v>19.489999999999998</v>
      </c>
      <c r="WVR1914" s="56">
        <v>18.98</v>
      </c>
      <c r="WVS1914" s="56">
        <v>17.5</v>
      </c>
      <c r="WVT1914" s="62">
        <v>13.28</v>
      </c>
      <c r="WVU1914" s="115">
        <v>19.489999999999998</v>
      </c>
      <c r="WVV1914" s="56">
        <v>18.98</v>
      </c>
      <c r="WVW1914" s="56">
        <v>17.5</v>
      </c>
      <c r="WVX1914" s="62">
        <v>13.28</v>
      </c>
      <c r="WVY1914" s="115">
        <v>19.489999999999998</v>
      </c>
      <c r="WVZ1914" s="56">
        <v>18.98</v>
      </c>
      <c r="WWA1914" s="56">
        <v>17.5</v>
      </c>
      <c r="WWB1914" s="62">
        <v>13.28</v>
      </c>
      <c r="WWC1914" s="115">
        <v>19.489999999999998</v>
      </c>
      <c r="WWD1914" s="56">
        <v>18.98</v>
      </c>
      <c r="WWE1914" s="56">
        <v>17.5</v>
      </c>
      <c r="WWF1914" s="62">
        <v>13.28</v>
      </c>
      <c r="WWG1914" s="115">
        <v>19.489999999999998</v>
      </c>
      <c r="WWH1914" s="56">
        <v>18.98</v>
      </c>
      <c r="WWI1914" s="56">
        <v>17.5</v>
      </c>
      <c r="WWJ1914" s="62">
        <v>13.28</v>
      </c>
      <c r="WWK1914" s="115">
        <v>19.489999999999998</v>
      </c>
      <c r="WWL1914" s="56">
        <v>18.98</v>
      </c>
      <c r="WWM1914" s="56">
        <v>17.5</v>
      </c>
      <c r="WWN1914" s="62">
        <v>13.28</v>
      </c>
      <c r="WWO1914" s="115">
        <v>19.489999999999998</v>
      </c>
      <c r="WWP1914" s="56">
        <v>18.98</v>
      </c>
      <c r="WWQ1914" s="56">
        <v>17.5</v>
      </c>
      <c r="WWR1914" s="62">
        <v>13.28</v>
      </c>
      <c r="WWS1914" s="115">
        <v>19.489999999999998</v>
      </c>
      <c r="WWT1914" s="56">
        <v>18.98</v>
      </c>
      <c r="WWU1914" s="56">
        <v>17.5</v>
      </c>
      <c r="WWV1914" s="62">
        <v>13.28</v>
      </c>
      <c r="WWW1914" s="115">
        <v>19.489999999999998</v>
      </c>
      <c r="WWX1914" s="56">
        <v>18.98</v>
      </c>
      <c r="WWY1914" s="56">
        <v>17.5</v>
      </c>
      <c r="WWZ1914" s="62">
        <v>13.28</v>
      </c>
      <c r="WXA1914" s="115">
        <v>19.489999999999998</v>
      </c>
      <c r="WXB1914" s="56">
        <v>18.98</v>
      </c>
      <c r="WXC1914" s="56">
        <v>17.5</v>
      </c>
      <c r="WXD1914" s="62">
        <v>13.28</v>
      </c>
      <c r="WXE1914" s="115">
        <v>19.489999999999998</v>
      </c>
      <c r="WXF1914" s="56">
        <v>18.98</v>
      </c>
      <c r="WXG1914" s="56">
        <v>17.5</v>
      </c>
      <c r="WXH1914" s="62">
        <v>13.28</v>
      </c>
      <c r="WXI1914" s="115">
        <v>19.489999999999998</v>
      </c>
      <c r="WXJ1914" s="56">
        <v>18.98</v>
      </c>
      <c r="WXK1914" s="56">
        <v>17.5</v>
      </c>
      <c r="WXL1914" s="62">
        <v>13.28</v>
      </c>
      <c r="WXM1914" s="115">
        <v>19.489999999999998</v>
      </c>
      <c r="WXN1914" s="56">
        <v>18.98</v>
      </c>
      <c r="WXO1914" s="56">
        <v>17.5</v>
      </c>
      <c r="WXP1914" s="62">
        <v>13.28</v>
      </c>
      <c r="WXQ1914" s="115">
        <v>19.489999999999998</v>
      </c>
      <c r="WXR1914" s="56">
        <v>18.98</v>
      </c>
      <c r="WXS1914" s="56">
        <v>17.5</v>
      </c>
      <c r="WXT1914" s="62">
        <v>13.28</v>
      </c>
      <c r="WXU1914" s="115">
        <v>19.489999999999998</v>
      </c>
      <c r="WXV1914" s="56">
        <v>18.98</v>
      </c>
      <c r="WXW1914" s="56">
        <v>17.5</v>
      </c>
      <c r="WXX1914" s="62">
        <v>13.28</v>
      </c>
      <c r="WXY1914" s="115">
        <v>19.489999999999998</v>
      </c>
      <c r="WXZ1914" s="56">
        <v>18.98</v>
      </c>
      <c r="WYA1914" s="56">
        <v>17.5</v>
      </c>
      <c r="WYB1914" s="62">
        <v>13.28</v>
      </c>
      <c r="WYC1914" s="115">
        <v>19.489999999999998</v>
      </c>
      <c r="WYD1914" s="56">
        <v>18.98</v>
      </c>
      <c r="WYE1914" s="56">
        <v>17.5</v>
      </c>
      <c r="WYF1914" s="62">
        <v>13.28</v>
      </c>
      <c r="WYG1914" s="115">
        <v>19.489999999999998</v>
      </c>
      <c r="WYH1914" s="56">
        <v>18.98</v>
      </c>
      <c r="WYI1914" s="56">
        <v>17.5</v>
      </c>
      <c r="WYJ1914" s="62">
        <v>13.28</v>
      </c>
      <c r="WYK1914" s="115">
        <v>19.489999999999998</v>
      </c>
      <c r="WYL1914" s="56">
        <v>18.98</v>
      </c>
      <c r="WYM1914" s="56">
        <v>17.5</v>
      </c>
      <c r="WYN1914" s="62">
        <v>13.28</v>
      </c>
      <c r="WYO1914" s="115">
        <v>19.489999999999998</v>
      </c>
      <c r="WYP1914" s="56">
        <v>18.98</v>
      </c>
      <c r="WYQ1914" s="56">
        <v>17.5</v>
      </c>
      <c r="WYR1914" s="62">
        <v>13.28</v>
      </c>
      <c r="WYS1914" s="115">
        <v>19.489999999999998</v>
      </c>
      <c r="WYT1914" s="56">
        <v>18.98</v>
      </c>
      <c r="WYU1914" s="56">
        <v>17.5</v>
      </c>
      <c r="WYV1914" s="62">
        <v>13.28</v>
      </c>
      <c r="WYW1914" s="115">
        <v>19.489999999999998</v>
      </c>
      <c r="WYX1914" s="56">
        <v>18.98</v>
      </c>
      <c r="WYY1914" s="56">
        <v>17.5</v>
      </c>
      <c r="WYZ1914" s="62">
        <v>13.28</v>
      </c>
      <c r="WZA1914" s="115">
        <v>19.489999999999998</v>
      </c>
      <c r="WZB1914" s="56">
        <v>18.98</v>
      </c>
      <c r="WZC1914" s="56">
        <v>17.5</v>
      </c>
      <c r="WZD1914" s="62">
        <v>13.28</v>
      </c>
      <c r="WZE1914" s="115">
        <v>19.489999999999998</v>
      </c>
      <c r="WZF1914" s="56">
        <v>18.98</v>
      </c>
      <c r="WZG1914" s="56">
        <v>17.5</v>
      </c>
      <c r="WZH1914" s="62">
        <v>13.28</v>
      </c>
      <c r="WZI1914" s="115">
        <v>19.489999999999998</v>
      </c>
      <c r="WZJ1914" s="56">
        <v>18.98</v>
      </c>
      <c r="WZK1914" s="56">
        <v>17.5</v>
      </c>
      <c r="WZL1914" s="62">
        <v>13.28</v>
      </c>
      <c r="WZM1914" s="115">
        <v>19.489999999999998</v>
      </c>
      <c r="WZN1914" s="56">
        <v>18.98</v>
      </c>
      <c r="WZO1914" s="56">
        <v>17.5</v>
      </c>
      <c r="WZP1914" s="62">
        <v>13.28</v>
      </c>
      <c r="WZQ1914" s="115">
        <v>19.489999999999998</v>
      </c>
      <c r="WZR1914" s="56">
        <v>18.98</v>
      </c>
      <c r="WZS1914" s="56">
        <v>17.5</v>
      </c>
      <c r="WZT1914" s="62">
        <v>13.28</v>
      </c>
      <c r="WZU1914" s="115">
        <v>19.489999999999998</v>
      </c>
      <c r="WZV1914" s="56">
        <v>18.98</v>
      </c>
      <c r="WZW1914" s="56">
        <v>17.5</v>
      </c>
      <c r="WZX1914" s="62">
        <v>13.28</v>
      </c>
      <c r="WZY1914" s="115">
        <v>19.489999999999998</v>
      </c>
      <c r="WZZ1914" s="56">
        <v>18.98</v>
      </c>
      <c r="XAA1914" s="56">
        <v>17.5</v>
      </c>
      <c r="XAB1914" s="62">
        <v>13.28</v>
      </c>
      <c r="XAC1914" s="115">
        <v>19.489999999999998</v>
      </c>
      <c r="XAD1914" s="56">
        <v>18.98</v>
      </c>
      <c r="XAE1914" s="56">
        <v>17.5</v>
      </c>
      <c r="XAF1914" s="62">
        <v>13.28</v>
      </c>
      <c r="XAG1914" s="115">
        <v>19.489999999999998</v>
      </c>
      <c r="XAH1914" s="56">
        <v>18.98</v>
      </c>
      <c r="XAI1914" s="56">
        <v>17.5</v>
      </c>
      <c r="XAJ1914" s="62">
        <v>13.28</v>
      </c>
      <c r="XAK1914" s="115">
        <v>19.489999999999998</v>
      </c>
      <c r="XAL1914" s="56">
        <v>18.98</v>
      </c>
      <c r="XAM1914" s="56">
        <v>17.5</v>
      </c>
      <c r="XAN1914" s="62">
        <v>13.28</v>
      </c>
      <c r="XAO1914" s="115">
        <v>19.489999999999998</v>
      </c>
      <c r="XAP1914" s="56">
        <v>18.98</v>
      </c>
      <c r="XAQ1914" s="56">
        <v>17.5</v>
      </c>
      <c r="XAR1914" s="62">
        <v>13.28</v>
      </c>
      <c r="XAS1914" s="115">
        <v>19.489999999999998</v>
      </c>
      <c r="XAT1914" s="56">
        <v>18.98</v>
      </c>
      <c r="XAU1914" s="56">
        <v>17.5</v>
      </c>
      <c r="XAV1914" s="62">
        <v>13.28</v>
      </c>
      <c r="XAW1914" s="115">
        <v>19.489999999999998</v>
      </c>
      <c r="XAX1914" s="56">
        <v>18.98</v>
      </c>
      <c r="XAY1914" s="56">
        <v>17.5</v>
      </c>
      <c r="XAZ1914" s="62">
        <v>13.28</v>
      </c>
      <c r="XBA1914" s="115">
        <v>19.489999999999998</v>
      </c>
      <c r="XBB1914" s="56">
        <v>18.98</v>
      </c>
      <c r="XBC1914" s="56">
        <v>17.5</v>
      </c>
      <c r="XBD1914" s="62">
        <v>13.28</v>
      </c>
      <c r="XBE1914" s="115">
        <v>19.489999999999998</v>
      </c>
      <c r="XBF1914" s="56">
        <v>18.98</v>
      </c>
      <c r="XBG1914" s="56">
        <v>17.5</v>
      </c>
      <c r="XBH1914" s="62">
        <v>13.28</v>
      </c>
      <c r="XBI1914" s="115">
        <v>19.489999999999998</v>
      </c>
      <c r="XBJ1914" s="56">
        <v>18.98</v>
      </c>
      <c r="XBK1914" s="56">
        <v>17.5</v>
      </c>
      <c r="XBL1914" s="62">
        <v>13.28</v>
      </c>
      <c r="XBM1914" s="115">
        <v>19.489999999999998</v>
      </c>
      <c r="XBN1914" s="56">
        <v>18.98</v>
      </c>
      <c r="XBO1914" s="56">
        <v>17.5</v>
      </c>
      <c r="XBP1914" s="62">
        <v>13.28</v>
      </c>
      <c r="XBQ1914" s="115">
        <v>19.489999999999998</v>
      </c>
      <c r="XBR1914" s="56">
        <v>18.98</v>
      </c>
      <c r="XBS1914" s="56">
        <v>17.5</v>
      </c>
      <c r="XBT1914" s="62">
        <v>13.28</v>
      </c>
      <c r="XBU1914" s="115">
        <v>19.489999999999998</v>
      </c>
      <c r="XBV1914" s="56">
        <v>18.98</v>
      </c>
      <c r="XBW1914" s="56">
        <v>17.5</v>
      </c>
      <c r="XBX1914" s="62">
        <v>13.28</v>
      </c>
      <c r="XBY1914" s="115">
        <v>19.489999999999998</v>
      </c>
      <c r="XBZ1914" s="56">
        <v>18.98</v>
      </c>
      <c r="XCA1914" s="56">
        <v>17.5</v>
      </c>
      <c r="XCB1914" s="62">
        <v>13.28</v>
      </c>
      <c r="XCC1914" s="115">
        <v>19.489999999999998</v>
      </c>
      <c r="XCD1914" s="56">
        <v>18.98</v>
      </c>
      <c r="XCE1914" s="56">
        <v>17.5</v>
      </c>
      <c r="XCF1914" s="62">
        <v>13.28</v>
      </c>
      <c r="XCG1914" s="115">
        <v>19.489999999999998</v>
      </c>
      <c r="XCH1914" s="56">
        <v>18.98</v>
      </c>
      <c r="XCI1914" s="56">
        <v>17.5</v>
      </c>
      <c r="XCJ1914" s="62">
        <v>13.28</v>
      </c>
      <c r="XCK1914" s="115">
        <v>19.489999999999998</v>
      </c>
      <c r="XCL1914" s="56">
        <v>18.98</v>
      </c>
      <c r="XCM1914" s="56">
        <v>17.5</v>
      </c>
      <c r="XCN1914" s="62">
        <v>13.28</v>
      </c>
      <c r="XCO1914" s="115">
        <v>19.489999999999998</v>
      </c>
      <c r="XCP1914" s="56">
        <v>18.98</v>
      </c>
      <c r="XCQ1914" s="56">
        <v>17.5</v>
      </c>
      <c r="XCR1914" s="62">
        <v>13.28</v>
      </c>
      <c r="XCS1914" s="115">
        <v>19.489999999999998</v>
      </c>
      <c r="XCT1914" s="56">
        <v>18.98</v>
      </c>
      <c r="XCU1914" s="56">
        <v>17.5</v>
      </c>
      <c r="XCV1914" s="62">
        <v>13.28</v>
      </c>
      <c r="XCW1914" s="115">
        <v>19.489999999999998</v>
      </c>
      <c r="XCX1914" s="56">
        <v>18.98</v>
      </c>
      <c r="XCY1914" s="56">
        <v>17.5</v>
      </c>
      <c r="XCZ1914" s="62">
        <v>13.28</v>
      </c>
      <c r="XDA1914" s="115">
        <v>19.489999999999998</v>
      </c>
      <c r="XDB1914" s="56">
        <v>18.98</v>
      </c>
      <c r="XDC1914" s="56">
        <v>17.5</v>
      </c>
      <c r="XDD1914" s="62">
        <v>13.28</v>
      </c>
      <c r="XDE1914" s="115">
        <v>19.489999999999998</v>
      </c>
      <c r="XDF1914" s="56">
        <v>18.98</v>
      </c>
      <c r="XDG1914" s="56">
        <v>17.5</v>
      </c>
      <c r="XDH1914" s="62">
        <v>13.28</v>
      </c>
      <c r="XDI1914" s="115">
        <v>19.489999999999998</v>
      </c>
      <c r="XDJ1914" s="56">
        <v>18.98</v>
      </c>
      <c r="XDK1914" s="56">
        <v>17.5</v>
      </c>
      <c r="XDL1914" s="62">
        <v>13.28</v>
      </c>
      <c r="XDM1914" s="115">
        <v>19.489999999999998</v>
      </c>
      <c r="XDN1914" s="56">
        <v>18.98</v>
      </c>
      <c r="XDO1914" s="56">
        <v>17.5</v>
      </c>
      <c r="XDP1914" s="62">
        <v>13.28</v>
      </c>
      <c r="XDQ1914" s="115">
        <v>19.489999999999998</v>
      </c>
      <c r="XDR1914" s="56">
        <v>18.98</v>
      </c>
      <c r="XDS1914" s="56">
        <v>17.5</v>
      </c>
      <c r="XDT1914" s="62">
        <v>13.28</v>
      </c>
      <c r="XDU1914" s="115">
        <v>19.489999999999998</v>
      </c>
      <c r="XDV1914" s="56">
        <v>18.98</v>
      </c>
      <c r="XDW1914" s="56">
        <v>17.5</v>
      </c>
      <c r="XDX1914" s="62">
        <v>13.28</v>
      </c>
      <c r="XDY1914" s="115">
        <v>19.489999999999998</v>
      </c>
      <c r="XDZ1914" s="56">
        <v>18.98</v>
      </c>
      <c r="XEA1914" s="56">
        <v>17.5</v>
      </c>
      <c r="XEB1914" s="62">
        <v>13.28</v>
      </c>
      <c r="XEC1914" s="115">
        <v>19.489999999999998</v>
      </c>
      <c r="XED1914" s="56">
        <v>18.98</v>
      </c>
      <c r="XEE1914" s="56">
        <v>17.5</v>
      </c>
      <c r="XEF1914" s="62">
        <v>13.28</v>
      </c>
      <c r="XEG1914" s="115">
        <v>19.489999999999998</v>
      </c>
      <c r="XEH1914" s="56">
        <v>18.98</v>
      </c>
      <c r="XEI1914" s="56">
        <v>17.5</v>
      </c>
      <c r="XEJ1914" s="62">
        <v>13.28</v>
      </c>
      <c r="XEK1914" s="115">
        <v>19.489999999999998</v>
      </c>
      <c r="XEL1914" s="56">
        <v>18.98</v>
      </c>
      <c r="XEM1914" s="56">
        <v>17.5</v>
      </c>
      <c r="XEN1914" s="62">
        <v>13.28</v>
      </c>
      <c r="XEO1914" s="115">
        <v>19.489999999999998</v>
      </c>
      <c r="XEP1914" s="56">
        <v>18.98</v>
      </c>
      <c r="XEQ1914" s="56">
        <v>17.5</v>
      </c>
      <c r="XER1914" s="62">
        <v>13.28</v>
      </c>
      <c r="XES1914" s="115">
        <v>19.489999999999998</v>
      </c>
      <c r="XET1914" s="56">
        <v>18.98</v>
      </c>
      <c r="XEU1914" s="56">
        <v>17.5</v>
      </c>
      <c r="XEV1914" s="62">
        <v>13.28</v>
      </c>
      <c r="XEW1914" s="115">
        <v>19.489999999999998</v>
      </c>
      <c r="XEX1914" s="56">
        <v>18.98</v>
      </c>
      <c r="XEY1914" s="56">
        <v>17.5</v>
      </c>
      <c r="XEZ1914" s="62">
        <v>13.28</v>
      </c>
      <c r="XFA1914" s="115">
        <v>19.489999999999998</v>
      </c>
      <c r="XFB1914" s="56">
        <v>18.98</v>
      </c>
      <c r="XFC1914" s="56">
        <v>17.5</v>
      </c>
      <c r="XFD1914" s="62">
        <v>13.28</v>
      </c>
    </row>
    <row r="1915" spans="1:16384" ht="13.5" thickBot="1">
      <c r="A1915" s="10">
        <v>42415</v>
      </c>
      <c r="B1915" s="734">
        <v>18.52</v>
      </c>
      <c r="C1915" s="318">
        <v>18.09</v>
      </c>
      <c r="D1915" s="318">
        <v>16.600000000000001</v>
      </c>
      <c r="E1915" s="318">
        <v>12.5</v>
      </c>
      <c r="F1915" s="257">
        <v>28.49</v>
      </c>
      <c r="G1915" s="134">
        <v>8.75</v>
      </c>
      <c r="H1915" s="732">
        <v>39.799999999999997</v>
      </c>
      <c r="I1915" s="547">
        <v>17</v>
      </c>
      <c r="J1915" s="733">
        <f>(90/5.966)</f>
        <v>15.085484411666107</v>
      </c>
    </row>
    <row r="1916" spans="1:16384" ht="13.5" thickBot="1">
      <c r="A1916" s="10">
        <v>42422</v>
      </c>
      <c r="B1916" s="734">
        <v>18.510000000000002</v>
      </c>
      <c r="C1916" s="318">
        <v>18.010000000000002</v>
      </c>
      <c r="D1916" s="318">
        <v>16.52</v>
      </c>
      <c r="E1916" s="318">
        <v>12.32</v>
      </c>
      <c r="F1916" s="257">
        <v>25</v>
      </c>
      <c r="G1916" s="134">
        <v>8.6300000000000008</v>
      </c>
      <c r="H1916" s="732">
        <v>39.799999999999997</v>
      </c>
      <c r="I1916" s="547">
        <v>17</v>
      </c>
      <c r="J1916" s="733">
        <f>(90/5.966)</f>
        <v>15.085484411666107</v>
      </c>
    </row>
    <row r="1917" spans="1:16384" ht="13.5" thickBot="1">
      <c r="A1917" s="10">
        <v>42429</v>
      </c>
      <c r="B1917" s="743">
        <v>19.489999999999998</v>
      </c>
      <c r="C1917" s="744">
        <v>18.98</v>
      </c>
      <c r="D1917" s="744">
        <v>17.5</v>
      </c>
      <c r="E1917" s="744">
        <v>13.28</v>
      </c>
      <c r="F1917" s="745">
        <v>25</v>
      </c>
      <c r="G1917" s="746">
        <v>8.68</v>
      </c>
      <c r="H1917" s="732">
        <v>39.799999999999997</v>
      </c>
      <c r="I1917" s="748">
        <v>17</v>
      </c>
      <c r="J1917" s="733">
        <f>(90/5.966)</f>
        <v>15.085484411666107</v>
      </c>
    </row>
    <row r="1918" spans="1:16384" ht="13.5" thickBot="1">
      <c r="A1918" s="742" t="s">
        <v>540</v>
      </c>
      <c r="B1918" s="750">
        <f t="shared" ref="B1918:J1918" si="188">AVERAGE(B1913:B1917)</f>
        <v>19.047999999999998</v>
      </c>
      <c r="C1918" s="750">
        <f t="shared" si="188"/>
        <v>18.564</v>
      </c>
      <c r="D1918" s="750">
        <f t="shared" si="188"/>
        <v>17.084</v>
      </c>
      <c r="E1918" s="750">
        <f t="shared" si="188"/>
        <v>13.02</v>
      </c>
      <c r="F1918" s="750">
        <f t="shared" si="188"/>
        <v>27.094000000000001</v>
      </c>
      <c r="G1918" s="750">
        <f t="shared" si="188"/>
        <v>8.7119999999999997</v>
      </c>
      <c r="H1918" s="750">
        <f t="shared" si="188"/>
        <v>39.799999999999997</v>
      </c>
      <c r="I1918" s="750">
        <f t="shared" si="188"/>
        <v>17</v>
      </c>
      <c r="J1918" s="751">
        <f t="shared" si="188"/>
        <v>15.085484411666107</v>
      </c>
    </row>
    <row r="1919" spans="1:16384" ht="13.5" thickBot="1"/>
    <row r="1920" spans="1:16384">
      <c r="A1920" s="1693" t="s">
        <v>1</v>
      </c>
      <c r="B1920" s="736" t="s">
        <v>139</v>
      </c>
      <c r="C1920" s="736" t="s">
        <v>140</v>
      </c>
      <c r="D1920" s="736" t="s">
        <v>5</v>
      </c>
      <c r="E1920" s="736" t="s">
        <v>6</v>
      </c>
      <c r="F1920" s="737" t="s">
        <v>57</v>
      </c>
      <c r="G1920" s="738" t="s">
        <v>154</v>
      </c>
      <c r="H1920" s="737" t="s">
        <v>149</v>
      </c>
      <c r="I1920" s="738" t="s">
        <v>155</v>
      </c>
      <c r="J1920" s="739" t="s">
        <v>61</v>
      </c>
    </row>
    <row r="1921" spans="1:10" ht="13.5" thickBot="1">
      <c r="A1921" s="1694"/>
      <c r="B1921" s="740" t="s">
        <v>146</v>
      </c>
      <c r="C1921" s="740" t="s">
        <v>146</v>
      </c>
      <c r="D1921" s="740" t="s">
        <v>146</v>
      </c>
      <c r="E1921" s="740" t="s">
        <v>146</v>
      </c>
      <c r="F1921" s="740" t="s">
        <v>146</v>
      </c>
      <c r="G1921" s="740" t="s">
        <v>146</v>
      </c>
      <c r="H1921" s="740" t="s">
        <v>146</v>
      </c>
      <c r="I1921" s="740" t="s">
        <v>146</v>
      </c>
      <c r="J1921" s="741" t="s">
        <v>146</v>
      </c>
    </row>
    <row r="1922" spans="1:10" ht="13.5" thickBot="1">
      <c r="A1922" s="103">
        <v>42436</v>
      </c>
      <c r="B1922" s="139">
        <v>19.52</v>
      </c>
      <c r="C1922" s="318">
        <v>19</v>
      </c>
      <c r="D1922" s="318">
        <v>17.52</v>
      </c>
      <c r="E1922" s="318">
        <v>13.32</v>
      </c>
      <c r="F1922" s="713">
        <v>25</v>
      </c>
      <c r="G1922" s="714">
        <v>8.76</v>
      </c>
      <c r="H1922" s="752">
        <v>39.799999999999997</v>
      </c>
      <c r="I1922" s="715">
        <v>17</v>
      </c>
      <c r="J1922" s="733">
        <f>(90/5.966)</f>
        <v>15.085484411666107</v>
      </c>
    </row>
    <row r="1923" spans="1:10" ht="13.5" thickBot="1">
      <c r="A1923" s="103">
        <v>42443</v>
      </c>
      <c r="B1923" s="139">
        <v>20.51</v>
      </c>
      <c r="C1923" s="318">
        <v>19.96</v>
      </c>
      <c r="D1923" s="318">
        <v>18.48</v>
      </c>
      <c r="E1923" s="318">
        <v>15.27</v>
      </c>
      <c r="F1923" s="554">
        <v>24</v>
      </c>
      <c r="G1923" s="134">
        <v>8.85</v>
      </c>
      <c r="H1923" s="752">
        <v>39.799999999999997</v>
      </c>
      <c r="I1923" s="547">
        <v>17</v>
      </c>
      <c r="J1923" s="735">
        <f>(90/5.966)</f>
        <v>15.085484411666107</v>
      </c>
    </row>
    <row r="1924" spans="1:10" ht="13.5" thickBot="1">
      <c r="A1924" s="103">
        <v>42450</v>
      </c>
      <c r="B1924" s="139">
        <v>21.48</v>
      </c>
      <c r="C1924" s="318">
        <v>20.99</v>
      </c>
      <c r="D1924" s="318">
        <v>19.55</v>
      </c>
      <c r="E1924" s="318">
        <v>15.3</v>
      </c>
      <c r="F1924" s="554">
        <v>24</v>
      </c>
      <c r="G1924" s="134">
        <v>9</v>
      </c>
      <c r="H1924" s="752">
        <v>39.799999999999997</v>
      </c>
      <c r="I1924" s="547">
        <v>17</v>
      </c>
      <c r="J1924" s="735">
        <f>(90/5.966)</f>
        <v>15.085484411666107</v>
      </c>
    </row>
    <row r="1925" spans="1:10" ht="13.5" thickBot="1">
      <c r="A1925" s="103">
        <v>42457</v>
      </c>
      <c r="B1925" s="139">
        <v>21.51</v>
      </c>
      <c r="C1925" s="318">
        <v>20.99</v>
      </c>
      <c r="D1925" s="318">
        <v>19.52</v>
      </c>
      <c r="E1925" s="318">
        <v>15.31</v>
      </c>
      <c r="F1925" s="762">
        <v>24</v>
      </c>
      <c r="G1925" s="746">
        <v>8.98</v>
      </c>
      <c r="H1925" s="752">
        <v>39.799999999999997</v>
      </c>
      <c r="I1925" s="748">
        <v>17</v>
      </c>
      <c r="J1925" s="749">
        <f>(90/5.966)</f>
        <v>15.085484411666107</v>
      </c>
    </row>
    <row r="1926" spans="1:10" ht="13.5" thickBot="1">
      <c r="A1926" s="742" t="s">
        <v>544</v>
      </c>
      <c r="B1926" s="763">
        <f t="shared" ref="B1926:H1926" si="189">AVERAGE(B1922:B1925)</f>
        <v>20.755000000000003</v>
      </c>
      <c r="C1926" s="763">
        <f t="shared" si="189"/>
        <v>20.234999999999999</v>
      </c>
      <c r="D1926" s="763">
        <f t="shared" si="189"/>
        <v>18.767499999999998</v>
      </c>
      <c r="E1926" s="763">
        <f t="shared" si="189"/>
        <v>14.8</v>
      </c>
      <c r="F1926" s="750">
        <f t="shared" si="189"/>
        <v>24.25</v>
      </c>
      <c r="G1926" s="750">
        <f t="shared" si="189"/>
        <v>8.8975000000000009</v>
      </c>
      <c r="H1926" s="750">
        <f t="shared" si="189"/>
        <v>39.799999999999997</v>
      </c>
      <c r="I1926" s="750">
        <f>AVERAGE(I1922:I1925)</f>
        <v>17</v>
      </c>
      <c r="J1926" s="751">
        <f>AVERAGE(J1922:J1925)</f>
        <v>15.085484411666107</v>
      </c>
    </row>
    <row r="1927" spans="1:10" ht="13.5" thickBot="1">
      <c r="A1927" s="564"/>
      <c r="B1927" s="564"/>
      <c r="C1927" s="564"/>
      <c r="D1927" s="564"/>
      <c r="E1927" s="564"/>
      <c r="F1927" s="564"/>
      <c r="G1927" s="564"/>
      <c r="H1927" s="548"/>
      <c r="I1927" s="564"/>
      <c r="J1927" s="564"/>
    </row>
    <row r="1928" spans="1:10">
      <c r="A1928" s="1693" t="s">
        <v>1</v>
      </c>
      <c r="B1928" s="736" t="s">
        <v>139</v>
      </c>
      <c r="C1928" s="736" t="s">
        <v>140</v>
      </c>
      <c r="D1928" s="736" t="s">
        <v>5</v>
      </c>
      <c r="E1928" s="736" t="s">
        <v>6</v>
      </c>
      <c r="F1928" s="737" t="s">
        <v>57</v>
      </c>
      <c r="G1928" s="738" t="s">
        <v>154</v>
      </c>
      <c r="H1928" s="737" t="s">
        <v>149</v>
      </c>
      <c r="I1928" s="738" t="s">
        <v>155</v>
      </c>
      <c r="J1928" s="739" t="s">
        <v>61</v>
      </c>
    </row>
    <row r="1929" spans="1:10" ht="13.5" thickBot="1">
      <c r="A1929" s="1694"/>
      <c r="B1929" s="740" t="s">
        <v>146</v>
      </c>
      <c r="C1929" s="740" t="s">
        <v>146</v>
      </c>
      <c r="D1929" s="740" t="s">
        <v>146</v>
      </c>
      <c r="E1929" s="740" t="s">
        <v>146</v>
      </c>
      <c r="F1929" s="740" t="s">
        <v>146</v>
      </c>
      <c r="G1929" s="740" t="s">
        <v>146</v>
      </c>
      <c r="H1929" s="740" t="s">
        <v>146</v>
      </c>
      <c r="I1929" s="740" t="s">
        <v>146</v>
      </c>
      <c r="J1929" s="741" t="s">
        <v>146</v>
      </c>
    </row>
    <row r="1930" spans="1:10" ht="13.5" thickBot="1">
      <c r="A1930" s="10">
        <v>42464</v>
      </c>
      <c r="B1930" s="139">
        <v>22.96</v>
      </c>
      <c r="C1930" s="318">
        <v>21.5</v>
      </c>
      <c r="D1930" s="318">
        <v>20</v>
      </c>
      <c r="E1930" s="318">
        <v>15.3</v>
      </c>
      <c r="F1930" s="713">
        <v>24</v>
      </c>
      <c r="G1930" s="714">
        <v>8.85</v>
      </c>
      <c r="H1930" s="752">
        <v>41.98</v>
      </c>
      <c r="I1930" s="715">
        <v>17</v>
      </c>
      <c r="J1930" s="733">
        <f>(90/5.966)</f>
        <v>15.085484411666107</v>
      </c>
    </row>
    <row r="1931" spans="1:10" ht="13.5" thickBot="1">
      <c r="A1931" s="567">
        <v>42471</v>
      </c>
      <c r="B1931" s="139">
        <v>22.47</v>
      </c>
      <c r="C1931" s="318">
        <v>21.07</v>
      </c>
      <c r="D1931" s="318">
        <v>19.63</v>
      </c>
      <c r="E1931" s="318">
        <v>14.81</v>
      </c>
      <c r="F1931" s="554">
        <v>24</v>
      </c>
      <c r="G1931" s="134">
        <v>8.85</v>
      </c>
      <c r="H1931" s="752">
        <v>41.98</v>
      </c>
      <c r="I1931" s="547">
        <v>17</v>
      </c>
      <c r="J1931" s="735">
        <f>(90/5.966)</f>
        <v>15.085484411666107</v>
      </c>
    </row>
    <row r="1932" spans="1:10" ht="13.5" thickBot="1">
      <c r="A1932" s="10">
        <v>42478</v>
      </c>
      <c r="B1932" s="139">
        <v>22.96</v>
      </c>
      <c r="C1932" s="318">
        <v>21.5</v>
      </c>
      <c r="D1932" s="318">
        <v>20.02</v>
      </c>
      <c r="E1932" s="318">
        <v>14.87</v>
      </c>
      <c r="F1932" s="554">
        <v>24</v>
      </c>
      <c r="G1932" s="134">
        <v>8.74</v>
      </c>
      <c r="H1932" s="752">
        <v>41.98</v>
      </c>
      <c r="I1932" s="547">
        <v>17</v>
      </c>
      <c r="J1932" s="735">
        <f>(90/5.966)</f>
        <v>15.085484411666107</v>
      </c>
    </row>
    <row r="1933" spans="1:10" ht="13.5" thickBot="1">
      <c r="A1933" s="567">
        <v>42485</v>
      </c>
      <c r="B1933" s="139">
        <v>23.25</v>
      </c>
      <c r="C1933" s="318">
        <v>21.8</v>
      </c>
      <c r="D1933" s="318">
        <v>20.309999999999999</v>
      </c>
      <c r="E1933" s="318">
        <v>15.5</v>
      </c>
      <c r="F1933" s="762">
        <v>24</v>
      </c>
      <c r="G1933" s="746">
        <v>8.85</v>
      </c>
      <c r="H1933" s="752">
        <v>41.98</v>
      </c>
      <c r="I1933" s="748">
        <v>17</v>
      </c>
      <c r="J1933" s="749">
        <f>(90/5.966)</f>
        <v>15.085484411666107</v>
      </c>
    </row>
    <row r="1934" spans="1:10" ht="13.5" thickBot="1">
      <c r="A1934" s="742" t="s">
        <v>545</v>
      </c>
      <c r="B1934" s="763">
        <f t="shared" ref="B1934:G1934" si="190">AVERAGE(B1930:B1933)</f>
        <v>22.91</v>
      </c>
      <c r="C1934" s="763">
        <f t="shared" si="190"/>
        <v>21.467499999999998</v>
      </c>
      <c r="D1934" s="763">
        <f t="shared" si="190"/>
        <v>19.989999999999998</v>
      </c>
      <c r="E1934" s="763">
        <f t="shared" si="190"/>
        <v>15.12</v>
      </c>
      <c r="F1934" s="750">
        <f t="shared" si="190"/>
        <v>24</v>
      </c>
      <c r="G1934" s="750">
        <f t="shared" si="190"/>
        <v>8.8224999999999998</v>
      </c>
      <c r="H1934" s="750">
        <f>AVERAGE(H1930:H1933)</f>
        <v>41.98</v>
      </c>
      <c r="I1934" s="750">
        <f>AVERAGE(I1930:I1933)</f>
        <v>17</v>
      </c>
      <c r="J1934" s="751">
        <f>AVERAGE(J1930:J1933)</f>
        <v>15.085484411666107</v>
      </c>
    </row>
    <row r="1935" spans="1:10" ht="13.5" thickBot="1"/>
    <row r="1936" spans="1:10">
      <c r="A1936" s="1693" t="s">
        <v>1</v>
      </c>
      <c r="B1936" s="736" t="s">
        <v>139</v>
      </c>
      <c r="C1936" s="736" t="s">
        <v>140</v>
      </c>
      <c r="D1936" s="736" t="s">
        <v>5</v>
      </c>
      <c r="E1936" s="736" t="s">
        <v>6</v>
      </c>
      <c r="F1936" s="737" t="s">
        <v>57</v>
      </c>
      <c r="G1936" s="738" t="s">
        <v>154</v>
      </c>
      <c r="H1936" s="737" t="s">
        <v>149</v>
      </c>
      <c r="I1936" s="738" t="s">
        <v>155</v>
      </c>
      <c r="J1936" s="739" t="s">
        <v>61</v>
      </c>
    </row>
    <row r="1937" spans="1:14" ht="13.5" thickBot="1">
      <c r="A1937" s="1694"/>
      <c r="B1937" s="740" t="s">
        <v>146</v>
      </c>
      <c r="C1937" s="740" t="s">
        <v>146</v>
      </c>
      <c r="D1937" s="740" t="s">
        <v>146</v>
      </c>
      <c r="E1937" s="740" t="s">
        <v>146</v>
      </c>
      <c r="F1937" s="740" t="s">
        <v>146</v>
      </c>
      <c r="G1937" s="740" t="s">
        <v>146</v>
      </c>
      <c r="H1937" s="740" t="s">
        <v>146</v>
      </c>
      <c r="I1937" s="740" t="s">
        <v>146</v>
      </c>
      <c r="J1937" s="741" t="s">
        <v>146</v>
      </c>
    </row>
    <row r="1938" spans="1:14" ht="13.5" thickBot="1">
      <c r="A1938" s="10">
        <v>42492</v>
      </c>
      <c r="B1938" s="139">
        <v>23.02</v>
      </c>
      <c r="C1938" s="318">
        <v>22.53</v>
      </c>
      <c r="D1938" s="318">
        <v>21.03</v>
      </c>
      <c r="E1938" s="318">
        <v>16.329999999999998</v>
      </c>
      <c r="F1938" s="713">
        <v>24</v>
      </c>
      <c r="G1938" s="714">
        <v>9.3000000000000007</v>
      </c>
      <c r="H1938" s="752">
        <v>40.15</v>
      </c>
      <c r="I1938" s="715">
        <v>17</v>
      </c>
      <c r="J1938" s="735">
        <f>(90/5.966)</f>
        <v>15.085484411666107</v>
      </c>
    </row>
    <row r="1939" spans="1:14" ht="13.5" thickBot="1">
      <c r="A1939" s="567">
        <v>42499</v>
      </c>
      <c r="B1939" s="139">
        <v>22.81</v>
      </c>
      <c r="C1939" s="318">
        <v>22.32</v>
      </c>
      <c r="D1939" s="318">
        <v>20.83</v>
      </c>
      <c r="E1939" s="318">
        <v>16.05</v>
      </c>
      <c r="F1939" s="554">
        <v>24</v>
      </c>
      <c r="G1939" s="134">
        <v>9.49</v>
      </c>
      <c r="H1939" s="752">
        <v>40.15</v>
      </c>
      <c r="I1939" s="547">
        <v>16</v>
      </c>
      <c r="J1939" s="735">
        <f>(90/5.966)</f>
        <v>15.085484411666107</v>
      </c>
    </row>
    <row r="1940" spans="1:14" ht="13.5" thickBot="1">
      <c r="A1940" s="567">
        <v>42506</v>
      </c>
      <c r="B1940" s="139">
        <v>22.61</v>
      </c>
      <c r="C1940" s="318">
        <v>22.12</v>
      </c>
      <c r="D1940" s="318">
        <v>20.65</v>
      </c>
      <c r="E1940" s="318">
        <v>15.83</v>
      </c>
      <c r="F1940" s="554">
        <v>24</v>
      </c>
      <c r="G1940" s="134">
        <v>9.48</v>
      </c>
      <c r="H1940" s="752">
        <v>40.15</v>
      </c>
      <c r="I1940" s="547">
        <v>16</v>
      </c>
      <c r="J1940" s="735">
        <f>(90/5.966)</f>
        <v>15.085484411666107</v>
      </c>
    </row>
    <row r="1941" spans="1:14" ht="13.5" thickBot="1">
      <c r="A1941" s="10">
        <v>42513</v>
      </c>
      <c r="B1941" s="139">
        <v>23.03</v>
      </c>
      <c r="C1941" s="318">
        <v>22.51</v>
      </c>
      <c r="D1941" s="318">
        <v>21</v>
      </c>
      <c r="E1941" s="318">
        <v>16.79</v>
      </c>
      <c r="F1941" s="554">
        <v>24</v>
      </c>
      <c r="G1941" s="134">
        <v>9.66</v>
      </c>
      <c r="H1941" s="752">
        <v>40.15</v>
      </c>
      <c r="I1941" s="547">
        <v>16</v>
      </c>
      <c r="J1941" s="735">
        <f>(90/5.966)</f>
        <v>15.085484411666107</v>
      </c>
    </row>
    <row r="1942" spans="1:14" ht="13.5" thickBot="1">
      <c r="A1942" s="567">
        <v>42520</v>
      </c>
      <c r="B1942" s="139">
        <v>22.45</v>
      </c>
      <c r="C1942" s="318">
        <v>22.13</v>
      </c>
      <c r="D1942" s="318">
        <v>20.65</v>
      </c>
      <c r="E1942" s="318">
        <v>16.29</v>
      </c>
      <c r="F1942" s="762">
        <v>24</v>
      </c>
      <c r="G1942" s="746">
        <v>9.68</v>
      </c>
      <c r="H1942" s="752">
        <v>40.15</v>
      </c>
      <c r="I1942" s="748">
        <v>16.149999999999999</v>
      </c>
      <c r="J1942" s="735">
        <f>(90/5.966)</f>
        <v>15.085484411666107</v>
      </c>
    </row>
    <row r="1943" spans="1:14" ht="13.5" thickBot="1">
      <c r="A1943" s="742" t="s">
        <v>546</v>
      </c>
      <c r="B1943" s="763">
        <f t="shared" ref="B1943:G1943" si="191">AVERAGE(B1938:B1942)</f>
        <v>22.783999999999999</v>
      </c>
      <c r="C1943" s="763">
        <f t="shared" si="191"/>
        <v>22.321999999999999</v>
      </c>
      <c r="D1943" s="763">
        <f t="shared" si="191"/>
        <v>20.832000000000001</v>
      </c>
      <c r="E1943" s="763">
        <f t="shared" si="191"/>
        <v>16.257999999999999</v>
      </c>
      <c r="F1943" s="750">
        <f t="shared" si="191"/>
        <v>24</v>
      </c>
      <c r="G1943" s="750">
        <f t="shared" si="191"/>
        <v>9.5220000000000002</v>
      </c>
      <c r="H1943" s="750">
        <f>AVERAGE(H1938:H1942)</f>
        <v>40.15</v>
      </c>
      <c r="I1943" s="750">
        <f>AVERAGE(I1938:I1942)</f>
        <v>16.23</v>
      </c>
      <c r="J1943" s="751">
        <f>AVERAGE(J1938:J1942)</f>
        <v>15.085484411666107</v>
      </c>
    </row>
    <row r="1944" spans="1:14" ht="13.5" thickBot="1">
      <c r="N1944" s="564">
        <f>(105/25)</f>
        <v>4.2</v>
      </c>
    </row>
    <row r="1945" spans="1:14">
      <c r="A1945" s="1693" t="s">
        <v>1</v>
      </c>
      <c r="B1945" s="736" t="s">
        <v>139</v>
      </c>
      <c r="C1945" s="736" t="s">
        <v>140</v>
      </c>
      <c r="D1945" s="736" t="s">
        <v>5</v>
      </c>
      <c r="E1945" s="736" t="s">
        <v>6</v>
      </c>
      <c r="F1945" s="737" t="s">
        <v>57</v>
      </c>
      <c r="G1945" s="738" t="s">
        <v>154</v>
      </c>
      <c r="H1945" s="737" t="s">
        <v>149</v>
      </c>
      <c r="I1945" s="738" t="s">
        <v>155</v>
      </c>
      <c r="J1945" s="739" t="s">
        <v>61</v>
      </c>
    </row>
    <row r="1946" spans="1:14" ht="13.5" thickBot="1">
      <c r="A1946" s="1694"/>
      <c r="B1946" s="740" t="s">
        <v>146</v>
      </c>
      <c r="C1946" s="740" t="s">
        <v>146</v>
      </c>
      <c r="D1946" s="740" t="s">
        <v>146</v>
      </c>
      <c r="E1946" s="740" t="s">
        <v>146</v>
      </c>
      <c r="F1946" s="740" t="s">
        <v>146</v>
      </c>
      <c r="G1946" s="740" t="s">
        <v>146</v>
      </c>
      <c r="H1946" s="740" t="s">
        <v>146</v>
      </c>
      <c r="I1946" s="740" t="s">
        <v>146</v>
      </c>
      <c r="J1946" s="741" t="s">
        <v>146</v>
      </c>
    </row>
    <row r="1947" spans="1:14" ht="13.5" thickBot="1">
      <c r="A1947" s="10">
        <v>42527</v>
      </c>
      <c r="B1947" s="139">
        <v>23.52</v>
      </c>
      <c r="C1947" s="318">
        <v>23.01</v>
      </c>
      <c r="D1947" s="318">
        <v>21.52</v>
      </c>
      <c r="E1947" s="318">
        <v>17.309999999999999</v>
      </c>
      <c r="F1947" s="713">
        <v>24</v>
      </c>
      <c r="G1947" s="714">
        <v>10.050000000000001</v>
      </c>
      <c r="H1947" s="752">
        <v>40.15</v>
      </c>
      <c r="I1947" s="715">
        <v>16.149999999999999</v>
      </c>
      <c r="J1947" s="735">
        <f>(105/5.966)</f>
        <v>17.599731813610457</v>
      </c>
    </row>
    <row r="1948" spans="1:14" ht="13.5" thickBot="1">
      <c r="A1948" s="567">
        <v>42534</v>
      </c>
      <c r="B1948" s="139">
        <v>23.51</v>
      </c>
      <c r="C1948" s="318">
        <v>23.01</v>
      </c>
      <c r="D1948" s="318">
        <v>21.52</v>
      </c>
      <c r="E1948" s="318">
        <v>17.309999999999999</v>
      </c>
      <c r="F1948" s="554">
        <v>24</v>
      </c>
      <c r="G1948" s="134">
        <v>10.130000000000001</v>
      </c>
      <c r="H1948" s="752">
        <v>40.15</v>
      </c>
      <c r="I1948" s="547">
        <v>16.149999999999999</v>
      </c>
      <c r="J1948" s="735">
        <f>(105/5.966)</f>
        <v>17.599731813610457</v>
      </c>
    </row>
    <row r="1949" spans="1:14" ht="13.5" thickBot="1">
      <c r="A1949" s="567">
        <v>42541</v>
      </c>
      <c r="B1949" s="139">
        <v>23.02</v>
      </c>
      <c r="C1949" s="318">
        <v>22.53</v>
      </c>
      <c r="D1949" s="318">
        <v>21.09</v>
      </c>
      <c r="E1949" s="318">
        <v>17.010000000000002</v>
      </c>
      <c r="F1949" s="554">
        <v>24</v>
      </c>
      <c r="G1949" s="134">
        <v>9.98</v>
      </c>
      <c r="H1949" s="752">
        <v>40.15</v>
      </c>
      <c r="I1949" s="547">
        <v>16.149999999999999</v>
      </c>
      <c r="J1949" s="735">
        <f>(105/5.966)</f>
        <v>17.599731813610457</v>
      </c>
    </row>
    <row r="1950" spans="1:14" ht="13.5" thickBot="1">
      <c r="A1950" s="10">
        <v>42548</v>
      </c>
      <c r="B1950" s="139">
        <v>23.37</v>
      </c>
      <c r="C1950" s="318">
        <v>22.88</v>
      </c>
      <c r="D1950" s="318">
        <v>21.4</v>
      </c>
      <c r="E1950" s="318">
        <v>17.190000000000001</v>
      </c>
      <c r="F1950" s="554">
        <v>24</v>
      </c>
      <c r="G1950" s="134">
        <v>10</v>
      </c>
      <c r="H1950" s="752">
        <v>40.15</v>
      </c>
      <c r="I1950" s="547">
        <v>16.149999999999999</v>
      </c>
      <c r="J1950" s="735">
        <f>(105/5.966)</f>
        <v>17.599731813610457</v>
      </c>
    </row>
    <row r="1951" spans="1:14" ht="13.5" thickBot="1">
      <c r="A1951" s="742" t="s">
        <v>547</v>
      </c>
      <c r="B1951" s="763">
        <f t="shared" ref="B1951:J1951" si="192">AVERAGE(B1947:B1950)</f>
        <v>23.355</v>
      </c>
      <c r="C1951" s="763">
        <f t="shared" si="192"/>
        <v>22.857500000000002</v>
      </c>
      <c r="D1951" s="763">
        <f t="shared" si="192"/>
        <v>21.3825</v>
      </c>
      <c r="E1951" s="763">
        <f t="shared" si="192"/>
        <v>17.204999999999998</v>
      </c>
      <c r="F1951" s="750">
        <f t="shared" si="192"/>
        <v>24</v>
      </c>
      <c r="G1951" s="750">
        <f t="shared" si="192"/>
        <v>10.039999999999999</v>
      </c>
      <c r="H1951" s="750">
        <f t="shared" si="192"/>
        <v>40.15</v>
      </c>
      <c r="I1951" s="750">
        <f t="shared" si="192"/>
        <v>16.149999999999999</v>
      </c>
      <c r="J1951" s="751">
        <f t="shared" si="192"/>
        <v>17.599731813610457</v>
      </c>
    </row>
    <row r="1952" spans="1:14" ht="13.5" thickBot="1"/>
    <row r="1953" spans="1:10">
      <c r="A1953" s="1693" t="s">
        <v>1</v>
      </c>
      <c r="B1953" s="736" t="s">
        <v>139</v>
      </c>
      <c r="C1953" s="736" t="s">
        <v>140</v>
      </c>
      <c r="D1953" s="736" t="s">
        <v>5</v>
      </c>
      <c r="E1953" s="736" t="s">
        <v>6</v>
      </c>
      <c r="F1953" s="737" t="s">
        <v>57</v>
      </c>
      <c r="G1953" s="738" t="s">
        <v>154</v>
      </c>
      <c r="H1953" s="737" t="s">
        <v>149</v>
      </c>
      <c r="I1953" s="738" t="s">
        <v>155</v>
      </c>
      <c r="J1953" s="739" t="s">
        <v>61</v>
      </c>
    </row>
    <row r="1954" spans="1:10">
      <c r="A1954" s="1694"/>
      <c r="B1954" s="740" t="s">
        <v>146</v>
      </c>
      <c r="C1954" s="740" t="s">
        <v>146</v>
      </c>
      <c r="D1954" s="740" t="s">
        <v>146</v>
      </c>
      <c r="E1954" s="740" t="s">
        <v>146</v>
      </c>
      <c r="F1954" s="740" t="s">
        <v>146</v>
      </c>
      <c r="G1954" s="740" t="s">
        <v>146</v>
      </c>
      <c r="H1954" s="740" t="s">
        <v>146</v>
      </c>
      <c r="I1954" s="740" t="s">
        <v>146</v>
      </c>
      <c r="J1954" s="741" t="s">
        <v>146</v>
      </c>
    </row>
    <row r="1955" spans="1:10">
      <c r="A1955" s="103">
        <v>42556</v>
      </c>
      <c r="B1955" s="139">
        <v>23.05</v>
      </c>
      <c r="C1955" s="318">
        <v>22.54</v>
      </c>
      <c r="D1955" s="318">
        <v>21.04</v>
      </c>
      <c r="E1955" s="318">
        <v>16.86</v>
      </c>
      <c r="F1955" s="257">
        <v>24</v>
      </c>
      <c r="G1955" s="134">
        <v>10</v>
      </c>
      <c r="H1955" s="766">
        <v>42.9</v>
      </c>
      <c r="I1955" s="547">
        <v>16.149999999999999</v>
      </c>
      <c r="J1955" s="735">
        <f>(105/5.966)</f>
        <v>17.599731813610457</v>
      </c>
    </row>
    <row r="1956" spans="1:10">
      <c r="A1956" s="764">
        <v>42562</v>
      </c>
      <c r="B1956" s="139">
        <v>22.34</v>
      </c>
      <c r="C1956" s="318">
        <v>21.9</v>
      </c>
      <c r="D1956" s="318">
        <v>20.420000000000002</v>
      </c>
      <c r="E1956" s="318">
        <v>16.54</v>
      </c>
      <c r="F1956" s="257">
        <v>24</v>
      </c>
      <c r="G1956" s="134">
        <v>10.029999999999999</v>
      </c>
      <c r="H1956" s="766">
        <v>42.9</v>
      </c>
      <c r="I1956" s="547">
        <v>16.149999999999999</v>
      </c>
      <c r="J1956" s="735">
        <f>(105/5.966)</f>
        <v>17.599731813610457</v>
      </c>
    </row>
    <row r="1957" spans="1:10">
      <c r="A1957" s="764">
        <v>42569</v>
      </c>
      <c r="B1957" s="139">
        <v>21.82</v>
      </c>
      <c r="C1957" s="318">
        <v>21.34</v>
      </c>
      <c r="D1957" s="318">
        <v>19.850000000000001</v>
      </c>
      <c r="E1957" s="318">
        <v>16.23</v>
      </c>
      <c r="F1957" s="257">
        <v>24</v>
      </c>
      <c r="G1957" s="134">
        <v>9.9600000000000009</v>
      </c>
      <c r="H1957" s="766">
        <v>42.9</v>
      </c>
      <c r="I1957" s="547">
        <v>16.149999999999999</v>
      </c>
      <c r="J1957" s="735">
        <f>(105/5.966)</f>
        <v>17.599731813610457</v>
      </c>
    </row>
    <row r="1958" spans="1:10" ht="13.5" thickBot="1">
      <c r="A1958" s="103">
        <v>42576</v>
      </c>
      <c r="B1958" s="139">
        <v>21.53</v>
      </c>
      <c r="C1958" s="318">
        <v>21.08</v>
      </c>
      <c r="D1958" s="318">
        <v>19.579999999999998</v>
      </c>
      <c r="E1958" s="318">
        <v>15.82</v>
      </c>
      <c r="F1958" s="257">
        <v>24</v>
      </c>
      <c r="G1958" s="134">
        <v>9.9600000000000009</v>
      </c>
      <c r="H1958" s="766">
        <v>42.9</v>
      </c>
      <c r="I1958" s="547">
        <v>16.149999999999999</v>
      </c>
      <c r="J1958" s="735">
        <f>(105/5.966)</f>
        <v>17.599731813610457</v>
      </c>
    </row>
    <row r="1959" spans="1:10" ht="13.5" thickBot="1">
      <c r="A1959" s="742" t="s">
        <v>548</v>
      </c>
      <c r="B1959" s="763">
        <f t="shared" ref="B1959:G1959" si="193">AVERAGE(B1955:B1958)</f>
        <v>22.185000000000002</v>
      </c>
      <c r="C1959" s="763">
        <f t="shared" si="193"/>
        <v>21.715</v>
      </c>
      <c r="D1959" s="763">
        <f t="shared" si="193"/>
        <v>20.2225</v>
      </c>
      <c r="E1959" s="763">
        <f t="shared" si="193"/>
        <v>16.362499999999997</v>
      </c>
      <c r="F1959" s="763">
        <f t="shared" si="193"/>
        <v>24</v>
      </c>
      <c r="G1959" s="763">
        <f t="shared" si="193"/>
        <v>9.9875000000000007</v>
      </c>
      <c r="H1959" s="763">
        <f>AVERAGE(H1955:H1958)</f>
        <v>42.9</v>
      </c>
      <c r="I1959" s="763">
        <f>AVERAGE(I1955:I1958)</f>
        <v>16.149999999999999</v>
      </c>
      <c r="J1959" s="765">
        <f>AVERAGE(J1955:J1958)</f>
        <v>17.599731813610457</v>
      </c>
    </row>
    <row r="1960" spans="1:10" ht="13.5" thickBot="1"/>
    <row r="1961" spans="1:10">
      <c r="A1961" s="1693" t="s">
        <v>1</v>
      </c>
      <c r="B1961" s="736" t="s">
        <v>139</v>
      </c>
      <c r="C1961" s="736" t="s">
        <v>140</v>
      </c>
      <c r="D1961" s="736" t="s">
        <v>5</v>
      </c>
      <c r="E1961" s="736" t="s">
        <v>6</v>
      </c>
      <c r="F1961" s="737" t="s">
        <v>57</v>
      </c>
      <c r="G1961" s="738" t="s">
        <v>154</v>
      </c>
      <c r="H1961" s="737" t="s">
        <v>149</v>
      </c>
      <c r="I1961" s="738" t="s">
        <v>155</v>
      </c>
      <c r="J1961" s="739" t="s">
        <v>61</v>
      </c>
    </row>
    <row r="1962" spans="1:10">
      <c r="A1962" s="1694"/>
      <c r="B1962" s="740" t="s">
        <v>146</v>
      </c>
      <c r="C1962" s="740" t="s">
        <v>146</v>
      </c>
      <c r="D1962" s="740" t="s">
        <v>146</v>
      </c>
      <c r="E1962" s="740" t="s">
        <v>146</v>
      </c>
      <c r="F1962" s="740" t="s">
        <v>146</v>
      </c>
      <c r="G1962" s="740" t="s">
        <v>146</v>
      </c>
      <c r="H1962" s="740" t="s">
        <v>146</v>
      </c>
      <c r="I1962" s="740" t="s">
        <v>146</v>
      </c>
      <c r="J1962" s="741" t="s">
        <v>146</v>
      </c>
    </row>
    <row r="1963" spans="1:10">
      <c r="A1963" s="103">
        <v>42583</v>
      </c>
      <c r="B1963" s="139">
        <v>21.32</v>
      </c>
      <c r="C1963" s="318">
        <v>20.81</v>
      </c>
      <c r="D1963" s="318">
        <v>19.34</v>
      </c>
      <c r="E1963" s="318">
        <v>15.43</v>
      </c>
      <c r="F1963" s="257">
        <v>24</v>
      </c>
      <c r="G1963" s="134">
        <v>9.85</v>
      </c>
      <c r="H1963" s="766">
        <v>45.65</v>
      </c>
      <c r="I1963" s="547">
        <v>16.149999999999999</v>
      </c>
      <c r="J1963" s="735">
        <f>(105/5.966)</f>
        <v>17.599731813610457</v>
      </c>
    </row>
    <row r="1964" spans="1:10">
      <c r="A1964" s="103">
        <v>42590</v>
      </c>
      <c r="B1964" s="139">
        <v>21.04</v>
      </c>
      <c r="C1964" s="318">
        <v>20.65</v>
      </c>
      <c r="D1964" s="318">
        <v>19.170000000000002</v>
      </c>
      <c r="E1964" s="318">
        <v>15.19</v>
      </c>
      <c r="F1964" s="257">
        <v>24</v>
      </c>
      <c r="G1964" s="134">
        <v>9.68</v>
      </c>
      <c r="H1964" s="766">
        <v>45.65</v>
      </c>
      <c r="I1964" s="547">
        <v>16.149999999999999</v>
      </c>
      <c r="J1964" s="735">
        <f>(95/5.966)</f>
        <v>15.923566878980891</v>
      </c>
    </row>
    <row r="1965" spans="1:10">
      <c r="A1965" s="764">
        <v>42598</v>
      </c>
      <c r="B1965" s="139">
        <v>21.73</v>
      </c>
      <c r="C1965" s="318">
        <v>21.22</v>
      </c>
      <c r="D1965" s="318">
        <v>19.77</v>
      </c>
      <c r="E1965" s="318">
        <v>15.97</v>
      </c>
      <c r="F1965" s="257">
        <v>24</v>
      </c>
      <c r="G1965" s="134">
        <v>9.64</v>
      </c>
      <c r="H1965" s="766">
        <v>45.65</v>
      </c>
      <c r="I1965" s="547">
        <v>16.149999999999999</v>
      </c>
      <c r="J1965" s="735">
        <f>(95/5.966)</f>
        <v>15.923566878980891</v>
      </c>
    </row>
    <row r="1966" spans="1:10">
      <c r="A1966" s="764">
        <v>42604</v>
      </c>
      <c r="B1966" s="139">
        <v>23.01</v>
      </c>
      <c r="C1966" s="318">
        <v>22.5</v>
      </c>
      <c r="D1966" s="318">
        <v>20.99</v>
      </c>
      <c r="E1966" s="318">
        <v>17.28</v>
      </c>
      <c r="F1966" s="257">
        <v>24</v>
      </c>
      <c r="G1966" s="134">
        <v>9.65</v>
      </c>
      <c r="H1966" s="766">
        <v>45.65</v>
      </c>
      <c r="I1966" s="547">
        <v>16.100000000000001</v>
      </c>
      <c r="J1966" s="735">
        <f>(95/5.966)</f>
        <v>15.923566878980891</v>
      </c>
    </row>
    <row r="1967" spans="1:10" ht="13.5" thickBot="1">
      <c r="A1967" s="103">
        <v>42611</v>
      </c>
      <c r="B1967" s="139">
        <v>23.01</v>
      </c>
      <c r="C1967" s="318">
        <v>22.53</v>
      </c>
      <c r="D1967" s="318">
        <v>21</v>
      </c>
      <c r="E1967" s="318">
        <v>17.22</v>
      </c>
      <c r="F1967" s="257">
        <v>24</v>
      </c>
      <c r="G1967" s="134">
        <v>9.65</v>
      </c>
      <c r="H1967" s="766">
        <v>45.65</v>
      </c>
      <c r="I1967" s="547">
        <v>16.100000000000001</v>
      </c>
      <c r="J1967" s="735">
        <f>(95/5.966)</f>
        <v>15.923566878980891</v>
      </c>
    </row>
    <row r="1968" spans="1:10" ht="13.5" thickBot="1">
      <c r="A1968" s="742" t="s">
        <v>564</v>
      </c>
      <c r="B1968" s="763">
        <f t="shared" ref="B1968:H1968" si="194">AVERAGE(B1963:B1967)</f>
        <v>22.022000000000002</v>
      </c>
      <c r="C1968" s="763">
        <f t="shared" si="194"/>
        <v>21.541999999999998</v>
      </c>
      <c r="D1968" s="763">
        <f t="shared" si="194"/>
        <v>20.053999999999998</v>
      </c>
      <c r="E1968" s="763">
        <f t="shared" si="194"/>
        <v>16.218</v>
      </c>
      <c r="F1968" s="763">
        <f t="shared" si="194"/>
        <v>24</v>
      </c>
      <c r="G1968" s="763">
        <f t="shared" si="194"/>
        <v>9.6939999999999991</v>
      </c>
      <c r="H1968" s="763">
        <f t="shared" si="194"/>
        <v>45.65</v>
      </c>
      <c r="I1968" s="763">
        <f>AVERAGE(I1963:I1967)</f>
        <v>16.130000000000003</v>
      </c>
      <c r="J1968" s="765">
        <f>AVERAGE(J1963:J1967)</f>
        <v>16.258799865906802</v>
      </c>
    </row>
    <row r="1969" spans="1:10" ht="21" customHeight="1" thickBot="1"/>
    <row r="1970" spans="1:10" ht="21" customHeight="1">
      <c r="A1970" s="1693" t="s">
        <v>1</v>
      </c>
      <c r="B1970" s="736" t="s">
        <v>139</v>
      </c>
      <c r="C1970" s="736" t="s">
        <v>140</v>
      </c>
      <c r="D1970" s="736" t="s">
        <v>5</v>
      </c>
      <c r="E1970" s="736" t="s">
        <v>6</v>
      </c>
      <c r="F1970" s="737" t="s">
        <v>57</v>
      </c>
      <c r="G1970" s="738" t="s">
        <v>154</v>
      </c>
      <c r="H1970" s="737" t="s">
        <v>149</v>
      </c>
      <c r="I1970" s="738" t="s">
        <v>155</v>
      </c>
      <c r="J1970" s="739" t="s">
        <v>61</v>
      </c>
    </row>
    <row r="1971" spans="1:10">
      <c r="A1971" s="1694"/>
      <c r="B1971" s="740" t="s">
        <v>146</v>
      </c>
      <c r="C1971" s="740" t="s">
        <v>146</v>
      </c>
      <c r="D1971" s="740" t="s">
        <v>146</v>
      </c>
      <c r="E1971" s="740" t="s">
        <v>146</v>
      </c>
      <c r="F1971" s="740" t="s">
        <v>146</v>
      </c>
      <c r="G1971" s="740" t="s">
        <v>146</v>
      </c>
      <c r="H1971" s="740" t="s">
        <v>146</v>
      </c>
      <c r="I1971" s="740" t="s">
        <v>146</v>
      </c>
      <c r="J1971" s="741" t="s">
        <v>146</v>
      </c>
    </row>
    <row r="1972" spans="1:10">
      <c r="A1972" s="103">
        <v>42618</v>
      </c>
      <c r="B1972" s="318">
        <v>23.09</v>
      </c>
      <c r="C1972" s="318">
        <v>22.58</v>
      </c>
      <c r="D1972" s="318">
        <v>21.08</v>
      </c>
      <c r="E1972" s="318">
        <v>17.3</v>
      </c>
      <c r="F1972" s="554">
        <v>24</v>
      </c>
      <c r="G1972" s="134">
        <v>9.5500000000000007</v>
      </c>
      <c r="H1972" s="766">
        <v>45.65</v>
      </c>
      <c r="I1972" s="547">
        <v>16.100000000000001</v>
      </c>
      <c r="J1972" s="735">
        <f>(95/5.966)</f>
        <v>15.923566878980891</v>
      </c>
    </row>
    <row r="1973" spans="1:10">
      <c r="A1973" s="103">
        <v>42625</v>
      </c>
      <c r="B1973" s="318">
        <v>23.04</v>
      </c>
      <c r="C1973" s="318">
        <v>22.51</v>
      </c>
      <c r="D1973" s="318">
        <v>21.01</v>
      </c>
      <c r="E1973" s="318">
        <v>17.05</v>
      </c>
      <c r="F1973" s="554">
        <v>24</v>
      </c>
      <c r="G1973" s="134">
        <v>9.5500000000000007</v>
      </c>
      <c r="H1973" s="766">
        <v>45.65</v>
      </c>
      <c r="I1973" s="547">
        <v>16.100000000000001</v>
      </c>
      <c r="J1973" s="735">
        <f>(95/5.966)</f>
        <v>15.923566878980891</v>
      </c>
    </row>
    <row r="1974" spans="1:10">
      <c r="A1974" s="103">
        <v>42632</v>
      </c>
      <c r="B1974" s="318">
        <v>22.58</v>
      </c>
      <c r="C1974" s="318">
        <v>22.04</v>
      </c>
      <c r="D1974" s="318">
        <v>20.54</v>
      </c>
      <c r="E1974" s="318">
        <v>16.850000000000001</v>
      </c>
      <c r="F1974" s="554">
        <v>24</v>
      </c>
      <c r="G1974" s="134">
        <v>9.5</v>
      </c>
      <c r="H1974" s="766">
        <v>45.65</v>
      </c>
      <c r="I1974" s="547">
        <v>16.100000000000001</v>
      </c>
      <c r="J1974" s="735">
        <f>(95/5.966)</f>
        <v>15.923566878980891</v>
      </c>
    </row>
    <row r="1975" spans="1:10" ht="13.5" thickBot="1">
      <c r="A1975" s="103">
        <v>42639</v>
      </c>
      <c r="B1975" s="318">
        <v>24</v>
      </c>
      <c r="C1975" s="318">
        <v>21.53</v>
      </c>
      <c r="D1975" s="318">
        <v>20.03</v>
      </c>
      <c r="E1975" s="318">
        <v>16.329999999999998</v>
      </c>
      <c r="F1975" s="554">
        <v>24</v>
      </c>
      <c r="G1975" s="134">
        <v>9.5</v>
      </c>
      <c r="H1975" s="766">
        <v>45.65</v>
      </c>
      <c r="I1975" s="547">
        <v>16.100000000000001</v>
      </c>
      <c r="J1975" s="735">
        <f>(95/5.966)</f>
        <v>15.923566878980891</v>
      </c>
    </row>
    <row r="1976" spans="1:10" ht="13.5" thickBot="1">
      <c r="A1976" s="742" t="s">
        <v>566</v>
      </c>
      <c r="B1976" s="763">
        <f t="shared" ref="B1976:G1976" si="195">AVERAGE(B1971:B1975)</f>
        <v>23.177499999999998</v>
      </c>
      <c r="C1976" s="763">
        <f t="shared" si="195"/>
        <v>22.164999999999999</v>
      </c>
      <c r="D1976" s="763">
        <f t="shared" si="195"/>
        <v>20.664999999999999</v>
      </c>
      <c r="E1976" s="763">
        <f t="shared" si="195"/>
        <v>16.8825</v>
      </c>
      <c r="F1976" s="763">
        <f t="shared" si="195"/>
        <v>24</v>
      </c>
      <c r="G1976" s="763">
        <f t="shared" si="195"/>
        <v>9.5250000000000004</v>
      </c>
      <c r="H1976" s="763" t="s">
        <v>565</v>
      </c>
      <c r="I1976" s="763">
        <f>AVERAGE(I1971:I1975)</f>
        <v>16.100000000000001</v>
      </c>
      <c r="J1976" s="765">
        <f>AVERAGE(J1971:J1975)</f>
        <v>15.923566878980891</v>
      </c>
    </row>
    <row r="1977" spans="1:10" ht="13.5" thickBot="1"/>
    <row r="1978" spans="1:10">
      <c r="A1978" s="1693" t="s">
        <v>1</v>
      </c>
      <c r="B1978" s="736" t="s">
        <v>139</v>
      </c>
      <c r="C1978" s="736" t="s">
        <v>140</v>
      </c>
      <c r="D1978" s="736" t="s">
        <v>5</v>
      </c>
      <c r="E1978" s="736" t="s">
        <v>6</v>
      </c>
      <c r="F1978" s="737" t="s">
        <v>57</v>
      </c>
      <c r="G1978" s="738" t="s">
        <v>154</v>
      </c>
      <c r="H1978" s="737" t="s">
        <v>149</v>
      </c>
      <c r="I1978" s="738" t="s">
        <v>155</v>
      </c>
      <c r="J1978" s="739" t="s">
        <v>61</v>
      </c>
    </row>
    <row r="1979" spans="1:10" ht="13.5" thickBot="1">
      <c r="A1979" s="1694"/>
      <c r="B1979" s="740" t="s">
        <v>146</v>
      </c>
      <c r="C1979" s="740" t="s">
        <v>146</v>
      </c>
      <c r="D1979" s="740" t="s">
        <v>146</v>
      </c>
      <c r="E1979" s="740" t="s">
        <v>146</v>
      </c>
      <c r="F1979" s="740" t="s">
        <v>146</v>
      </c>
      <c r="G1979" s="740" t="s">
        <v>146</v>
      </c>
      <c r="H1979" s="740" t="s">
        <v>146</v>
      </c>
      <c r="I1979" s="740" t="s">
        <v>146</v>
      </c>
      <c r="J1979" s="741" t="s">
        <v>146</v>
      </c>
    </row>
    <row r="1980" spans="1:10">
      <c r="A1980" s="74">
        <v>42646</v>
      </c>
      <c r="B1980" s="318">
        <v>22.54</v>
      </c>
      <c r="C1980" s="318">
        <v>22.01</v>
      </c>
      <c r="D1980" s="318">
        <v>20.52</v>
      </c>
      <c r="E1980" s="318">
        <v>17.03</v>
      </c>
      <c r="F1980" s="554">
        <v>24</v>
      </c>
      <c r="G1980" s="134">
        <v>9.43</v>
      </c>
      <c r="H1980" s="766">
        <v>45.65</v>
      </c>
      <c r="I1980" s="547">
        <v>16.05</v>
      </c>
      <c r="J1980" s="735">
        <f>(92.5/5.966)</f>
        <v>15.504525645323499</v>
      </c>
    </row>
    <row r="1981" spans="1:10">
      <c r="A1981" s="10">
        <v>42653</v>
      </c>
      <c r="B1981" s="318">
        <v>23.51</v>
      </c>
      <c r="C1981" s="318">
        <v>22.99</v>
      </c>
      <c r="D1981" s="318">
        <v>21.5</v>
      </c>
      <c r="E1981" s="318">
        <v>17.98</v>
      </c>
      <c r="F1981" s="554">
        <v>24</v>
      </c>
      <c r="G1981" s="134">
        <v>9.3800000000000008</v>
      </c>
      <c r="H1981" s="766">
        <v>45.65</v>
      </c>
      <c r="I1981" s="547">
        <v>16.05</v>
      </c>
      <c r="J1981" s="735">
        <f>(92.5/5.966)</f>
        <v>15.504525645323499</v>
      </c>
    </row>
    <row r="1982" spans="1:10">
      <c r="A1982" s="10">
        <v>42660</v>
      </c>
      <c r="B1982" s="318">
        <v>23.05</v>
      </c>
      <c r="C1982" s="318">
        <v>22.55</v>
      </c>
      <c r="D1982" s="318">
        <v>21.06</v>
      </c>
      <c r="E1982" s="318">
        <v>17.71</v>
      </c>
      <c r="F1982" s="554">
        <v>24</v>
      </c>
      <c r="G1982" s="134">
        <v>9.83</v>
      </c>
      <c r="H1982" s="766">
        <v>45.65</v>
      </c>
      <c r="I1982" s="547">
        <v>16.05</v>
      </c>
      <c r="J1982" s="735">
        <f>(92.5/5.966)</f>
        <v>15.504525645323499</v>
      </c>
    </row>
    <row r="1983" spans="1:10">
      <c r="A1983" s="10">
        <v>42667</v>
      </c>
      <c r="B1983" s="318">
        <v>22.81</v>
      </c>
      <c r="C1983" s="318">
        <v>22.33</v>
      </c>
      <c r="D1983" s="318">
        <v>20.83</v>
      </c>
      <c r="E1983" s="318">
        <v>17.32</v>
      </c>
      <c r="F1983" s="554">
        <v>24</v>
      </c>
      <c r="G1983" s="134">
        <v>10</v>
      </c>
      <c r="H1983" s="766">
        <v>45.65</v>
      </c>
      <c r="I1983" s="547">
        <v>16.05</v>
      </c>
      <c r="J1983" s="735">
        <f>(92.5/5.966)</f>
        <v>15.504525645323499</v>
      </c>
    </row>
    <row r="1984" spans="1:10" ht="13.5" thickBot="1">
      <c r="A1984" s="567">
        <v>42674</v>
      </c>
      <c r="B1984" s="744">
        <v>23.36</v>
      </c>
      <c r="C1984" s="744">
        <v>22.83</v>
      </c>
      <c r="D1984" s="744">
        <v>21.36</v>
      </c>
      <c r="E1984" s="744">
        <v>17.82</v>
      </c>
      <c r="F1984" s="762">
        <v>24</v>
      </c>
      <c r="G1984" s="746">
        <v>10.25</v>
      </c>
      <c r="H1984" s="847">
        <v>45.65</v>
      </c>
      <c r="I1984" s="748">
        <v>16</v>
      </c>
      <c r="J1984" s="735">
        <f>(92.5/5.966)</f>
        <v>15.504525645323499</v>
      </c>
    </row>
    <row r="1985" spans="1:10" ht="13.5" thickBot="1">
      <c r="A1985" s="846" t="s">
        <v>567</v>
      </c>
      <c r="B1985" s="848">
        <f t="shared" ref="B1985:G1985" si="196">AVERAGE(B1979:B1984)</f>
        <v>23.053999999999998</v>
      </c>
      <c r="C1985" s="750">
        <f t="shared" si="196"/>
        <v>22.541999999999998</v>
      </c>
      <c r="D1985" s="750">
        <f t="shared" si="196"/>
        <v>21.053999999999998</v>
      </c>
      <c r="E1985" s="750">
        <f t="shared" si="196"/>
        <v>17.572000000000003</v>
      </c>
      <c r="F1985" s="750">
        <f t="shared" si="196"/>
        <v>24</v>
      </c>
      <c r="G1985" s="750">
        <f t="shared" si="196"/>
        <v>9.7780000000000005</v>
      </c>
      <c r="H1985" s="750" t="s">
        <v>565</v>
      </c>
      <c r="I1985" s="750">
        <f>AVERAGE(I1979:I1984)</f>
        <v>16.04</v>
      </c>
      <c r="J1985" s="751">
        <f>AVERAGE(J1980:J1984)</f>
        <v>15.504525645323501</v>
      </c>
    </row>
    <row r="1986" spans="1:10" ht="13.5" thickBot="1"/>
    <row r="1987" spans="1:10">
      <c r="A1987" s="1693" t="s">
        <v>1</v>
      </c>
      <c r="B1987" s="736" t="s">
        <v>139</v>
      </c>
      <c r="C1987" s="736" t="s">
        <v>140</v>
      </c>
      <c r="D1987" s="736" t="s">
        <v>5</v>
      </c>
      <c r="E1987" s="736" t="s">
        <v>6</v>
      </c>
      <c r="F1987" s="737" t="s">
        <v>57</v>
      </c>
      <c r="G1987" s="738" t="s">
        <v>154</v>
      </c>
      <c r="H1987" s="737" t="s">
        <v>149</v>
      </c>
      <c r="I1987" s="738" t="s">
        <v>155</v>
      </c>
      <c r="J1987" s="739" t="s">
        <v>61</v>
      </c>
    </row>
    <row r="1988" spans="1:10" ht="13.5" thickBot="1">
      <c r="A1988" s="1694"/>
      <c r="B1988" s="740" t="s">
        <v>146</v>
      </c>
      <c r="C1988" s="740" t="s">
        <v>146</v>
      </c>
      <c r="D1988" s="740" t="s">
        <v>146</v>
      </c>
      <c r="E1988" s="740" t="s">
        <v>146</v>
      </c>
      <c r="F1988" s="740" t="s">
        <v>146</v>
      </c>
      <c r="G1988" s="740" t="s">
        <v>146</v>
      </c>
      <c r="H1988" s="740" t="s">
        <v>146</v>
      </c>
      <c r="I1988" s="740" t="s">
        <v>146</v>
      </c>
      <c r="J1988" s="741" t="s">
        <v>146</v>
      </c>
    </row>
    <row r="1989" spans="1:10">
      <c r="A1989" s="74">
        <v>42681</v>
      </c>
      <c r="B1989" s="318">
        <v>23.36</v>
      </c>
      <c r="C1989" s="318">
        <v>22.83</v>
      </c>
      <c r="D1989" s="318">
        <v>21.36</v>
      </c>
      <c r="E1989" s="318">
        <v>17.82</v>
      </c>
      <c r="F1989" s="554">
        <v>24</v>
      </c>
      <c r="G1989" s="134">
        <v>10.199999999999999</v>
      </c>
      <c r="H1989" s="766">
        <v>45.65</v>
      </c>
      <c r="I1989" s="547">
        <v>16</v>
      </c>
      <c r="J1989" s="735">
        <f>(91.67/5.966)</f>
        <v>15.365403955749246</v>
      </c>
    </row>
    <row r="1990" spans="1:10">
      <c r="A1990" s="10">
        <v>42688</v>
      </c>
      <c r="B1990" s="318">
        <v>22.57</v>
      </c>
      <c r="C1990" s="318">
        <v>22.1</v>
      </c>
      <c r="D1990" s="318">
        <v>20.59</v>
      </c>
      <c r="E1990" s="318">
        <v>17.079999999999998</v>
      </c>
      <c r="F1990" s="554">
        <v>24</v>
      </c>
      <c r="G1990" s="134">
        <v>10.18</v>
      </c>
      <c r="H1990" s="766">
        <v>45.65</v>
      </c>
      <c r="I1990" s="547">
        <v>16</v>
      </c>
      <c r="J1990" s="735">
        <v>15.37</v>
      </c>
    </row>
    <row r="1991" spans="1:10">
      <c r="A1991" s="10">
        <v>42695</v>
      </c>
      <c r="B1991" s="318">
        <v>21.47</v>
      </c>
      <c r="C1991" s="318">
        <v>21.01</v>
      </c>
      <c r="D1991" s="318">
        <v>19.52</v>
      </c>
      <c r="E1991" s="318">
        <v>16.670000000000002</v>
      </c>
      <c r="F1991" s="554">
        <v>24</v>
      </c>
      <c r="G1991" s="134">
        <v>10.18</v>
      </c>
      <c r="H1991" s="766">
        <v>45.65</v>
      </c>
      <c r="I1991" s="547">
        <v>16</v>
      </c>
      <c r="J1991" s="735">
        <v>15.37</v>
      </c>
    </row>
    <row r="1992" spans="1:10" ht="13.5" thickBot="1">
      <c r="A1992" s="10">
        <v>42702</v>
      </c>
      <c r="B1992" s="318">
        <v>21.96</v>
      </c>
      <c r="C1992" s="318">
        <v>21.44</v>
      </c>
      <c r="D1992" s="318">
        <v>19.940000000000001</v>
      </c>
      <c r="E1992" s="318">
        <v>17.13</v>
      </c>
      <c r="F1992" s="554">
        <v>24</v>
      </c>
      <c r="G1992" s="134">
        <v>10.23</v>
      </c>
      <c r="H1992" s="766">
        <v>45.65</v>
      </c>
      <c r="I1992" s="547">
        <v>16</v>
      </c>
      <c r="J1992" s="735">
        <v>15.37</v>
      </c>
    </row>
    <row r="1993" spans="1:10" ht="13.5" thickBot="1">
      <c r="A1993" s="846" t="s">
        <v>568</v>
      </c>
      <c r="B1993" s="848">
        <f t="shared" ref="B1993:H1993" si="197">AVERAGE(B1988:B1992)</f>
        <v>22.340000000000003</v>
      </c>
      <c r="C1993" s="750">
        <f t="shared" si="197"/>
        <v>21.844999999999999</v>
      </c>
      <c r="D1993" s="750">
        <f t="shared" si="197"/>
        <v>20.352499999999999</v>
      </c>
      <c r="E1993" s="750">
        <f t="shared" si="197"/>
        <v>17.175000000000001</v>
      </c>
      <c r="F1993" s="750">
        <f t="shared" si="197"/>
        <v>24</v>
      </c>
      <c r="G1993" s="750">
        <f t="shared" si="197"/>
        <v>10.1975</v>
      </c>
      <c r="H1993" s="750">
        <f t="shared" si="197"/>
        <v>45.65</v>
      </c>
      <c r="I1993" s="750">
        <f>AVERAGE(I1988:I1992)</f>
        <v>16</v>
      </c>
      <c r="J1993" s="751">
        <f>AVERAGE(J1989:J1992)</f>
        <v>15.368850988937311</v>
      </c>
    </row>
    <row r="1994" spans="1:10" ht="13.5" thickBot="1"/>
    <row r="1995" spans="1:10">
      <c r="A1995" s="1693" t="s">
        <v>1</v>
      </c>
      <c r="B1995" s="736" t="s">
        <v>139</v>
      </c>
      <c r="C1995" s="736" t="s">
        <v>140</v>
      </c>
      <c r="D1995" s="736" t="s">
        <v>5</v>
      </c>
      <c r="E1995" s="736" t="s">
        <v>6</v>
      </c>
      <c r="F1995" s="737" t="s">
        <v>57</v>
      </c>
      <c r="G1995" s="738" t="s">
        <v>154</v>
      </c>
      <c r="H1995" s="737" t="s">
        <v>149</v>
      </c>
      <c r="I1995" s="738" t="s">
        <v>155</v>
      </c>
      <c r="J1995" s="739" t="s">
        <v>61</v>
      </c>
    </row>
    <row r="1996" spans="1:10" ht="13.5" thickBot="1">
      <c r="A1996" s="1694"/>
      <c r="B1996" s="740" t="s">
        <v>146</v>
      </c>
      <c r="C1996" s="740" t="s">
        <v>146</v>
      </c>
      <c r="D1996" s="740" t="s">
        <v>146</v>
      </c>
      <c r="E1996" s="740" t="s">
        <v>146</v>
      </c>
      <c r="F1996" s="740" t="s">
        <v>146</v>
      </c>
      <c r="G1996" s="740" t="s">
        <v>146</v>
      </c>
      <c r="H1996" s="740" t="s">
        <v>146</v>
      </c>
      <c r="I1996" s="740" t="s">
        <v>146</v>
      </c>
      <c r="J1996" s="741" t="s">
        <v>146</v>
      </c>
    </row>
    <row r="1997" spans="1:10">
      <c r="A1997" s="74">
        <v>42709</v>
      </c>
      <c r="B1997" s="318">
        <v>22.59</v>
      </c>
      <c r="C1997" s="318">
        <v>22.04</v>
      </c>
      <c r="D1997" s="318">
        <v>20.57</v>
      </c>
      <c r="E1997" s="318">
        <v>17.53</v>
      </c>
      <c r="F1997" s="554">
        <v>24</v>
      </c>
      <c r="G1997" s="134">
        <v>10.55</v>
      </c>
      <c r="H1997" s="766">
        <v>45.65</v>
      </c>
      <c r="I1997" s="547">
        <v>16</v>
      </c>
      <c r="J1997" s="735">
        <f>(95/5.966)</f>
        <v>15.923566878980891</v>
      </c>
    </row>
    <row r="1998" spans="1:10">
      <c r="A1998" s="10">
        <v>42716</v>
      </c>
      <c r="B1998" s="318">
        <v>23.06</v>
      </c>
      <c r="C1998" s="318">
        <v>22.53</v>
      </c>
      <c r="D1998" s="318">
        <v>21.04</v>
      </c>
      <c r="E1998" s="318">
        <v>18.07</v>
      </c>
      <c r="F1998" s="554">
        <v>24</v>
      </c>
      <c r="G1998" s="134">
        <v>10.78</v>
      </c>
      <c r="H1998" s="766">
        <v>45.65</v>
      </c>
      <c r="I1998" s="547">
        <v>16</v>
      </c>
      <c r="J1998" s="735">
        <f>(95/5.966)</f>
        <v>15.923566878980891</v>
      </c>
    </row>
    <row r="1999" spans="1:10">
      <c r="A1999" s="10">
        <v>42723</v>
      </c>
      <c r="B1999" s="318">
        <v>23.57</v>
      </c>
      <c r="C1999" s="318">
        <v>23.05</v>
      </c>
      <c r="D1999" s="318">
        <v>21.55</v>
      </c>
      <c r="E1999" s="318">
        <v>18.37</v>
      </c>
      <c r="F1999" s="554">
        <v>24</v>
      </c>
      <c r="G1999" s="134">
        <v>11.11</v>
      </c>
      <c r="H1999" s="766">
        <v>45.65</v>
      </c>
      <c r="I1999" s="547">
        <v>16</v>
      </c>
      <c r="J1999" s="735">
        <f>(95/5.966)</f>
        <v>15.923566878980891</v>
      </c>
    </row>
    <row r="2000" spans="1:10" ht="13.5" thickBot="1">
      <c r="A2000" s="10">
        <v>42731</v>
      </c>
      <c r="B2000" s="318">
        <v>23.638999999999999</v>
      </c>
      <c r="C2000" s="318">
        <v>23.56</v>
      </c>
      <c r="D2000" s="318">
        <v>22.04</v>
      </c>
      <c r="E2000" s="318">
        <v>18.63</v>
      </c>
      <c r="F2000" s="554">
        <v>24</v>
      </c>
      <c r="G2000" s="134">
        <v>10.73</v>
      </c>
      <c r="H2000" s="766">
        <v>45.65</v>
      </c>
      <c r="I2000" s="547">
        <v>16</v>
      </c>
      <c r="J2000" s="735">
        <f>(95/5.966)</f>
        <v>15.923566878980891</v>
      </c>
    </row>
    <row r="2001" spans="1:10" ht="13.5" thickBot="1">
      <c r="A2001" s="846" t="s">
        <v>574</v>
      </c>
      <c r="B2001" s="848">
        <f t="shared" ref="B2001:H2001" si="198">AVERAGE(B1996:B2000)</f>
        <v>23.214749999999999</v>
      </c>
      <c r="C2001" s="750">
        <f t="shared" si="198"/>
        <v>22.795000000000002</v>
      </c>
      <c r="D2001" s="750">
        <f t="shared" si="198"/>
        <v>21.299999999999997</v>
      </c>
      <c r="E2001" s="750">
        <f t="shared" si="198"/>
        <v>18.149999999999999</v>
      </c>
      <c r="F2001" s="750">
        <f t="shared" si="198"/>
        <v>24</v>
      </c>
      <c r="G2001" s="750">
        <f t="shared" si="198"/>
        <v>10.7925</v>
      </c>
      <c r="H2001" s="750">
        <f t="shared" si="198"/>
        <v>45.65</v>
      </c>
      <c r="I2001" s="750">
        <f>AVERAGE(I1996:I2000)</f>
        <v>16</v>
      </c>
      <c r="J2001" s="751">
        <f>AVERAGE(J1997:J2000)</f>
        <v>15.923566878980891</v>
      </c>
    </row>
    <row r="2002" spans="1:10" ht="13.5" thickBot="1"/>
    <row r="2003" spans="1:10">
      <c r="A2003" s="1697" t="s">
        <v>1</v>
      </c>
      <c r="B2003" s="976" t="s">
        <v>139</v>
      </c>
      <c r="C2003" s="976" t="s">
        <v>140</v>
      </c>
      <c r="D2003" s="976" t="s">
        <v>5</v>
      </c>
      <c r="E2003" s="976" t="s">
        <v>6</v>
      </c>
      <c r="F2003" s="977" t="s">
        <v>57</v>
      </c>
      <c r="G2003" s="991" t="s">
        <v>154</v>
      </c>
      <c r="H2003" s="977" t="s">
        <v>149</v>
      </c>
      <c r="I2003" s="991" t="s">
        <v>155</v>
      </c>
      <c r="J2003" s="992" t="s">
        <v>61</v>
      </c>
    </row>
    <row r="2004" spans="1:10" ht="13.5" thickBot="1">
      <c r="A2004" s="1699"/>
      <c r="B2004" s="981" t="s">
        <v>146</v>
      </c>
      <c r="C2004" s="981" t="s">
        <v>146</v>
      </c>
      <c r="D2004" s="981" t="s">
        <v>146</v>
      </c>
      <c r="E2004" s="981" t="s">
        <v>146</v>
      </c>
      <c r="F2004" s="981" t="s">
        <v>146</v>
      </c>
      <c r="G2004" s="981" t="s">
        <v>146</v>
      </c>
      <c r="H2004" s="981" t="s">
        <v>146</v>
      </c>
      <c r="I2004" s="981" t="s">
        <v>146</v>
      </c>
      <c r="J2004" s="993" t="s">
        <v>146</v>
      </c>
    </row>
    <row r="2005" spans="1:10">
      <c r="A2005" s="566">
        <v>42738</v>
      </c>
      <c r="B2005" s="318">
        <v>24.77</v>
      </c>
      <c r="C2005" s="318">
        <v>24.3</v>
      </c>
      <c r="D2005" s="318">
        <v>22.78</v>
      </c>
      <c r="E2005" s="318">
        <v>18.91</v>
      </c>
      <c r="F2005" s="930">
        <v>24</v>
      </c>
      <c r="G2005" s="990">
        <v>10.75</v>
      </c>
      <c r="H2005" s="766">
        <v>45.65</v>
      </c>
      <c r="I2005" s="547">
        <v>16</v>
      </c>
      <c r="J2005" s="735">
        <f>(101.66/5.966)</f>
        <v>17.039892725444183</v>
      </c>
    </row>
    <row r="2006" spans="1:10">
      <c r="A2006" s="10">
        <v>42744</v>
      </c>
      <c r="B2006" s="318">
        <v>24.76</v>
      </c>
      <c r="C2006" s="318">
        <v>24.25</v>
      </c>
      <c r="D2006" s="318">
        <v>22.74</v>
      </c>
      <c r="E2006" s="318">
        <v>18.87</v>
      </c>
      <c r="F2006" s="554">
        <v>24</v>
      </c>
      <c r="G2006" s="134">
        <v>11.52</v>
      </c>
      <c r="H2006" s="766">
        <v>45.65</v>
      </c>
      <c r="I2006" s="547">
        <v>16</v>
      </c>
      <c r="J2006" s="735">
        <f>(105/5.966)</f>
        <v>17.599731813610457</v>
      </c>
    </row>
    <row r="2007" spans="1:10">
      <c r="A2007" s="10">
        <v>42751</v>
      </c>
      <c r="B2007" s="318">
        <v>24.26</v>
      </c>
      <c r="C2007" s="318">
        <v>23.76</v>
      </c>
      <c r="D2007" s="318">
        <v>22.27</v>
      </c>
      <c r="E2007" s="318">
        <v>18.059999999999999</v>
      </c>
      <c r="F2007" s="554">
        <v>24</v>
      </c>
      <c r="G2007" s="134">
        <v>11.55</v>
      </c>
      <c r="H2007" s="766">
        <v>45.65</v>
      </c>
      <c r="I2007" s="547">
        <v>16</v>
      </c>
      <c r="J2007" s="735">
        <f>(105/5.966)</f>
        <v>17.599731813610457</v>
      </c>
    </row>
    <row r="2008" spans="1:10">
      <c r="A2008" s="10">
        <v>42758</v>
      </c>
      <c r="B2008" s="318">
        <v>24.25</v>
      </c>
      <c r="C2008" s="318">
        <v>23.75</v>
      </c>
      <c r="D2008" s="318">
        <v>22.26</v>
      </c>
      <c r="E2008" s="318">
        <v>18.059999999999999</v>
      </c>
      <c r="F2008" s="554">
        <v>24</v>
      </c>
      <c r="G2008" s="134">
        <v>11.54</v>
      </c>
      <c r="H2008" s="766">
        <v>45.65</v>
      </c>
      <c r="I2008" s="547">
        <v>16</v>
      </c>
      <c r="J2008" s="735">
        <f>(105/5.966)</f>
        <v>17.599731813610457</v>
      </c>
    </row>
    <row r="2009" spans="1:10" ht="13.5" thickBot="1">
      <c r="A2009" s="10">
        <v>42765</v>
      </c>
      <c r="B2009" s="318">
        <v>23.74</v>
      </c>
      <c r="C2009" s="318">
        <v>23.24</v>
      </c>
      <c r="D2009" s="318">
        <v>21.74</v>
      </c>
      <c r="E2009" s="318">
        <v>17.84</v>
      </c>
      <c r="F2009" s="554">
        <v>24</v>
      </c>
      <c r="G2009" s="134">
        <v>11.53</v>
      </c>
      <c r="H2009" s="766">
        <v>45.65</v>
      </c>
      <c r="I2009" s="547">
        <v>16</v>
      </c>
      <c r="J2009" s="735">
        <f>(105/5.966)</f>
        <v>17.599731813610457</v>
      </c>
    </row>
    <row r="2010" spans="1:10" ht="13.5" thickBot="1">
      <c r="A2010" s="985" t="s">
        <v>573</v>
      </c>
      <c r="B2010" s="987">
        <f>AVERAGE(B2005:B2009)</f>
        <v>24.356000000000002</v>
      </c>
      <c r="C2010" s="987">
        <f t="shared" ref="C2010:J2010" si="199">AVERAGE(C2005:C2009)</f>
        <v>23.86</v>
      </c>
      <c r="D2010" s="987">
        <f t="shared" si="199"/>
        <v>22.357999999999997</v>
      </c>
      <c r="E2010" s="987">
        <f t="shared" si="199"/>
        <v>18.348000000000003</v>
      </c>
      <c r="F2010" s="987">
        <f t="shared" si="199"/>
        <v>24</v>
      </c>
      <c r="G2010" s="987">
        <f t="shared" si="199"/>
        <v>11.378</v>
      </c>
      <c r="H2010" s="987">
        <f t="shared" si="199"/>
        <v>45.65</v>
      </c>
      <c r="I2010" s="987">
        <f t="shared" si="199"/>
        <v>16</v>
      </c>
      <c r="J2010" s="987">
        <f t="shared" si="199"/>
        <v>17.487763995977204</v>
      </c>
    </row>
    <row r="2011" spans="1:10" ht="13.5" thickBot="1"/>
    <row r="2012" spans="1:10">
      <c r="A2012" s="1697" t="s">
        <v>1</v>
      </c>
      <c r="B2012" s="976" t="s">
        <v>139</v>
      </c>
      <c r="C2012" s="976" t="s">
        <v>140</v>
      </c>
      <c r="D2012" s="976" t="s">
        <v>5</v>
      </c>
      <c r="E2012" s="976" t="s">
        <v>6</v>
      </c>
      <c r="F2012" s="977" t="s">
        <v>57</v>
      </c>
      <c r="G2012" s="978" t="s">
        <v>154</v>
      </c>
      <c r="H2012" s="979" t="s">
        <v>149</v>
      </c>
      <c r="I2012" s="980" t="s">
        <v>155</v>
      </c>
      <c r="J2012" s="979" t="s">
        <v>61</v>
      </c>
    </row>
    <row r="2013" spans="1:10" ht="13.5" thickBot="1">
      <c r="A2013" s="1698"/>
      <c r="B2013" s="982" t="s">
        <v>146</v>
      </c>
      <c r="C2013" s="982" t="s">
        <v>146</v>
      </c>
      <c r="D2013" s="982" t="s">
        <v>146</v>
      </c>
      <c r="E2013" s="982" t="s">
        <v>146</v>
      </c>
      <c r="F2013" s="982" t="s">
        <v>146</v>
      </c>
      <c r="G2013" s="983" t="s">
        <v>146</v>
      </c>
      <c r="H2013" s="984" t="s">
        <v>146</v>
      </c>
      <c r="I2013" s="984" t="s">
        <v>146</v>
      </c>
      <c r="J2013" s="984" t="s">
        <v>146</v>
      </c>
    </row>
    <row r="2014" spans="1:10">
      <c r="A2014" s="10">
        <v>42772</v>
      </c>
      <c r="B2014" s="890">
        <v>23.55</v>
      </c>
      <c r="C2014" s="890">
        <v>23.08</v>
      </c>
      <c r="D2014" s="890">
        <v>21.55</v>
      </c>
      <c r="E2014" s="890">
        <v>17.95</v>
      </c>
      <c r="F2014" s="891">
        <v>24</v>
      </c>
      <c r="G2014" s="724">
        <v>11.53</v>
      </c>
      <c r="H2014" s="892">
        <v>43.65</v>
      </c>
      <c r="I2014" s="893">
        <v>16</v>
      </c>
      <c r="J2014" s="894">
        <f>(105/5.966)</f>
        <v>17.599731813610457</v>
      </c>
    </row>
    <row r="2015" spans="1:10">
      <c r="A2015" s="10">
        <v>42779</v>
      </c>
      <c r="B2015" s="318">
        <v>23.54</v>
      </c>
      <c r="C2015" s="318">
        <v>23.06</v>
      </c>
      <c r="D2015" s="318">
        <v>21.55</v>
      </c>
      <c r="E2015" s="318">
        <v>17.59</v>
      </c>
      <c r="F2015" s="554">
        <v>24</v>
      </c>
      <c r="G2015" s="134">
        <v>11.53</v>
      </c>
      <c r="H2015" s="766">
        <v>43.65</v>
      </c>
      <c r="I2015" s="547">
        <v>16</v>
      </c>
      <c r="J2015" s="735">
        <f>(105/5.966)</f>
        <v>17.599731813610457</v>
      </c>
    </row>
    <row r="2016" spans="1:10">
      <c r="A2016" s="10">
        <v>42786</v>
      </c>
      <c r="B2016" s="318">
        <v>23.55</v>
      </c>
      <c r="C2016" s="318">
        <v>23.01</v>
      </c>
      <c r="D2016" s="318">
        <v>21.52</v>
      </c>
      <c r="E2016" s="318">
        <v>18.010000000000002</v>
      </c>
      <c r="F2016" s="554">
        <v>24</v>
      </c>
      <c r="G2016" s="134">
        <v>11.53</v>
      </c>
      <c r="H2016" s="766">
        <v>43.65</v>
      </c>
      <c r="I2016" s="547">
        <v>16</v>
      </c>
      <c r="J2016" s="735">
        <f>(105/5.966)</f>
        <v>17.599731813610457</v>
      </c>
    </row>
    <row r="2017" spans="1:10" ht="13.5" thickBot="1">
      <c r="A2017" s="10">
        <v>42793</v>
      </c>
      <c r="B2017" s="318">
        <v>23.52</v>
      </c>
      <c r="C2017" s="318">
        <v>23.01</v>
      </c>
      <c r="D2017" s="318">
        <v>21.52</v>
      </c>
      <c r="E2017" s="318">
        <v>18.010000000000002</v>
      </c>
      <c r="F2017" s="554">
        <v>24</v>
      </c>
      <c r="G2017" s="134">
        <v>11.53</v>
      </c>
      <c r="H2017" s="766">
        <v>43.65</v>
      </c>
      <c r="I2017" s="547">
        <v>16</v>
      </c>
      <c r="J2017" s="735">
        <f>(105/5.966)</f>
        <v>17.599731813610457</v>
      </c>
    </row>
    <row r="2018" spans="1:10" ht="13.5" thickBot="1">
      <c r="A2018" s="985" t="s">
        <v>577</v>
      </c>
      <c r="B2018" s="987">
        <f t="shared" ref="B2018:J2018" si="200">AVERAGE(B2014:B2017)</f>
        <v>23.54</v>
      </c>
      <c r="C2018" s="987">
        <f t="shared" si="200"/>
        <v>23.040000000000003</v>
      </c>
      <c r="D2018" s="987">
        <f t="shared" si="200"/>
        <v>21.535</v>
      </c>
      <c r="E2018" s="987">
        <f t="shared" si="200"/>
        <v>17.89</v>
      </c>
      <c r="F2018" s="987">
        <f t="shared" si="200"/>
        <v>24</v>
      </c>
      <c r="G2018" s="987">
        <f t="shared" si="200"/>
        <v>11.53</v>
      </c>
      <c r="H2018" s="987">
        <f t="shared" si="200"/>
        <v>43.65</v>
      </c>
      <c r="I2018" s="987">
        <f t="shared" si="200"/>
        <v>16</v>
      </c>
      <c r="J2018" s="987">
        <f t="shared" si="200"/>
        <v>17.599731813610457</v>
      </c>
    </row>
    <row r="2019" spans="1:10" ht="13.5" thickBot="1">
      <c r="A2019" s="564"/>
      <c r="B2019" s="564"/>
      <c r="C2019" s="564"/>
      <c r="D2019" s="564"/>
      <c r="E2019" s="564"/>
      <c r="F2019" s="564"/>
    </row>
    <row r="2020" spans="1:10">
      <c r="A2020" s="1697" t="s">
        <v>1</v>
      </c>
      <c r="B2020" s="976" t="s">
        <v>139</v>
      </c>
      <c r="C2020" s="976" t="s">
        <v>140</v>
      </c>
      <c r="D2020" s="976" t="s">
        <v>5</v>
      </c>
      <c r="E2020" s="976" t="s">
        <v>6</v>
      </c>
      <c r="F2020" s="977" t="s">
        <v>57</v>
      </c>
      <c r="G2020" s="978" t="s">
        <v>154</v>
      </c>
      <c r="H2020" s="979" t="s">
        <v>149</v>
      </c>
      <c r="I2020" s="980" t="s">
        <v>155</v>
      </c>
      <c r="J2020" s="979" t="s">
        <v>61</v>
      </c>
    </row>
    <row r="2021" spans="1:10" ht="13.5" thickBot="1">
      <c r="A2021" s="1698"/>
      <c r="B2021" s="981" t="s">
        <v>146</v>
      </c>
      <c r="C2021" s="981" t="s">
        <v>146</v>
      </c>
      <c r="D2021" s="981" t="s">
        <v>146</v>
      </c>
      <c r="E2021" s="981" t="s">
        <v>146</v>
      </c>
      <c r="F2021" s="982" t="s">
        <v>146</v>
      </c>
      <c r="G2021" s="983" t="s">
        <v>146</v>
      </c>
      <c r="H2021" s="984" t="s">
        <v>146</v>
      </c>
      <c r="I2021" s="984" t="s">
        <v>146</v>
      </c>
      <c r="J2021" s="984" t="s">
        <v>146</v>
      </c>
    </row>
    <row r="2022" spans="1:10">
      <c r="A2022" s="10">
        <v>42800</v>
      </c>
      <c r="B2022" s="139">
        <v>23.51</v>
      </c>
      <c r="C2022" s="318">
        <v>23.01</v>
      </c>
      <c r="D2022" s="318">
        <v>21.51</v>
      </c>
      <c r="E2022" s="318">
        <v>18.010000000000002</v>
      </c>
      <c r="F2022" s="891">
        <v>24</v>
      </c>
      <c r="G2022" s="724">
        <f>AVERAGE([3]bunker!$H$3092:$H$3095)</f>
        <v>11.51</v>
      </c>
      <c r="H2022" s="892">
        <v>43.65</v>
      </c>
      <c r="I2022" s="893">
        <v>16</v>
      </c>
      <c r="J2022" s="894">
        <f>(105/5.966)</f>
        <v>17.599731813610457</v>
      </c>
    </row>
    <row r="2023" spans="1:10">
      <c r="A2023" s="10">
        <v>42442</v>
      </c>
      <c r="B2023" s="139">
        <v>23.21</v>
      </c>
      <c r="C2023" s="318">
        <v>22.71</v>
      </c>
      <c r="D2023" s="318">
        <v>21.24</v>
      </c>
      <c r="E2023" s="318">
        <v>17.809999999999999</v>
      </c>
      <c r="F2023" s="554">
        <v>24</v>
      </c>
      <c r="G2023" s="134">
        <f>AVERAGE([3]bunker!$H$3097:$H$3102)</f>
        <v>11.553333333333335</v>
      </c>
      <c r="H2023" s="766">
        <v>43.65</v>
      </c>
      <c r="I2023" s="547">
        <v>16</v>
      </c>
      <c r="J2023" s="735">
        <f>(105/5.966)</f>
        <v>17.599731813610457</v>
      </c>
    </row>
    <row r="2024" spans="1:10">
      <c r="A2024" s="10">
        <v>42814</v>
      </c>
      <c r="B2024" s="139">
        <v>23.01</v>
      </c>
      <c r="C2024" s="318">
        <v>22.52</v>
      </c>
      <c r="D2024" s="318">
        <v>21.04</v>
      </c>
      <c r="E2024" s="318">
        <v>17.61</v>
      </c>
      <c r="F2024" s="554">
        <v>24</v>
      </c>
      <c r="G2024" s="134">
        <f>AVERAGE([3]bunker!$H$3104:$H$3109)</f>
        <v>11.441666666666668</v>
      </c>
      <c r="H2024" s="766">
        <v>43.65</v>
      </c>
      <c r="I2024" s="547">
        <v>16</v>
      </c>
      <c r="J2024" s="735">
        <f>(105/5.966)</f>
        <v>17.599731813610457</v>
      </c>
    </row>
    <row r="2025" spans="1:10" ht="13.5" thickBot="1">
      <c r="A2025" s="10">
        <v>42821</v>
      </c>
      <c r="B2025" s="139">
        <v>22.53</v>
      </c>
      <c r="C2025" s="318">
        <v>22.05</v>
      </c>
      <c r="D2025" s="318">
        <v>20.56</v>
      </c>
      <c r="E2025" s="318">
        <v>16.95</v>
      </c>
      <c r="F2025" s="554">
        <v>24</v>
      </c>
      <c r="G2025" s="134">
        <f>AVERAGE([3]bunker!$H$3118:$H$3122)</f>
        <v>11.244999999999999</v>
      </c>
      <c r="H2025" s="766">
        <v>43.65</v>
      </c>
      <c r="I2025" s="547">
        <v>16</v>
      </c>
      <c r="J2025" s="735">
        <f>(105/5.966)</f>
        <v>17.599731813610457</v>
      </c>
    </row>
    <row r="2026" spans="1:10" ht="13.5" thickBot="1">
      <c r="A2026" s="985" t="s">
        <v>580</v>
      </c>
      <c r="B2026" s="986">
        <f t="shared" ref="B2026:J2026" si="201">AVERAGE(B2022:B2025)</f>
        <v>23.065000000000001</v>
      </c>
      <c r="C2026" s="986">
        <f t="shared" si="201"/>
        <v>22.572499999999998</v>
      </c>
      <c r="D2026" s="986">
        <f t="shared" si="201"/>
        <v>21.087499999999999</v>
      </c>
      <c r="E2026" s="986">
        <f t="shared" si="201"/>
        <v>17.594999999999999</v>
      </c>
      <c r="F2026" s="987">
        <f t="shared" si="201"/>
        <v>24</v>
      </c>
      <c r="G2026" s="987">
        <f t="shared" si="201"/>
        <v>11.4375</v>
      </c>
      <c r="H2026" s="987">
        <f t="shared" si="201"/>
        <v>43.65</v>
      </c>
      <c r="I2026" s="987">
        <f t="shared" si="201"/>
        <v>16</v>
      </c>
      <c r="J2026" s="987">
        <f t="shared" si="201"/>
        <v>17.599731813610457</v>
      </c>
    </row>
    <row r="2027" spans="1:10" ht="13.5" thickBot="1">
      <c r="A2027" s="564"/>
      <c r="B2027" s="564"/>
      <c r="C2027" s="564"/>
      <c r="D2027" s="564"/>
      <c r="E2027" s="564"/>
      <c r="F2027" s="564"/>
    </row>
    <row r="2028" spans="1:10">
      <c r="A2028" s="1697" t="s">
        <v>1</v>
      </c>
      <c r="B2028" s="976" t="s">
        <v>139</v>
      </c>
      <c r="C2028" s="976" t="s">
        <v>140</v>
      </c>
      <c r="D2028" s="976" t="s">
        <v>5</v>
      </c>
      <c r="E2028" s="976" t="s">
        <v>6</v>
      </c>
      <c r="F2028" s="977" t="s">
        <v>57</v>
      </c>
      <c r="G2028" s="978" t="s">
        <v>154</v>
      </c>
      <c r="H2028" s="979" t="s">
        <v>149</v>
      </c>
      <c r="I2028" s="980" t="s">
        <v>155</v>
      </c>
      <c r="J2028" s="979" t="s">
        <v>61</v>
      </c>
    </row>
    <row r="2029" spans="1:10" ht="13.5" thickBot="1">
      <c r="A2029" s="1698"/>
      <c r="B2029" s="981" t="s">
        <v>146</v>
      </c>
      <c r="C2029" s="981" t="s">
        <v>146</v>
      </c>
      <c r="D2029" s="981" t="s">
        <v>146</v>
      </c>
      <c r="E2029" s="981" t="s">
        <v>146</v>
      </c>
      <c r="F2029" s="982" t="s">
        <v>146</v>
      </c>
      <c r="G2029" s="983" t="s">
        <v>146</v>
      </c>
      <c r="H2029" s="984" t="s">
        <v>146</v>
      </c>
      <c r="I2029" s="984" t="s">
        <v>146</v>
      </c>
      <c r="J2029" s="984" t="s">
        <v>146</v>
      </c>
    </row>
    <row r="2030" spans="1:10">
      <c r="A2030" s="10">
        <v>42828</v>
      </c>
      <c r="B2030" s="139">
        <v>23.21</v>
      </c>
      <c r="C2030" s="318">
        <v>22.7</v>
      </c>
      <c r="D2030" s="318">
        <v>21.22</v>
      </c>
      <c r="E2030" s="318">
        <v>17.03</v>
      </c>
      <c r="F2030" s="891">
        <v>24</v>
      </c>
      <c r="G2030" s="724">
        <f>AVERAGE([3]bunker!$H$3123:$H$3130)</f>
        <v>11.189285714285713</v>
      </c>
      <c r="H2030" s="892">
        <v>43.65</v>
      </c>
      <c r="I2030" s="893">
        <v>16</v>
      </c>
      <c r="J2030" s="894">
        <f>(105/5.966)</f>
        <v>17.599731813610457</v>
      </c>
    </row>
    <row r="2031" spans="1:10">
      <c r="A2031" s="10">
        <v>42835</v>
      </c>
      <c r="B2031" s="139">
        <v>24.01</v>
      </c>
      <c r="C2031" s="318">
        <v>23.51</v>
      </c>
      <c r="D2031" s="318">
        <v>22.04</v>
      </c>
      <c r="E2031" s="318">
        <v>17.73</v>
      </c>
      <c r="F2031" s="554">
        <v>24</v>
      </c>
      <c r="G2031" s="134">
        <f>AVERAGE([3]bunker!$H$3132:$H$3137)</f>
        <v>11.225</v>
      </c>
      <c r="H2031" s="766">
        <v>43.65</v>
      </c>
      <c r="I2031" s="547">
        <v>16</v>
      </c>
      <c r="J2031" s="735">
        <f>(105/5.966)</f>
        <v>17.599731813610457</v>
      </c>
    </row>
    <row r="2032" spans="1:10">
      <c r="A2032" s="10">
        <v>42842</v>
      </c>
      <c r="B2032" s="139">
        <v>24.01</v>
      </c>
      <c r="C2032" s="318">
        <v>23.51</v>
      </c>
      <c r="D2032" s="318">
        <v>22.01</v>
      </c>
      <c r="E2032" s="318">
        <v>17.690000000000001</v>
      </c>
      <c r="F2032" s="554">
        <v>24</v>
      </c>
      <c r="G2032" s="134">
        <f>AVERAGE([3]bunker!$H$3139:$H$3144)</f>
        <v>11.375</v>
      </c>
      <c r="H2032" s="766">
        <v>43.65</v>
      </c>
      <c r="I2032" s="547">
        <v>16</v>
      </c>
      <c r="J2032" s="735">
        <f>(105/5.966)</f>
        <v>17.599731813610457</v>
      </c>
    </row>
    <row r="2033" spans="1:10" ht="13.5" thickBot="1">
      <c r="A2033" s="10">
        <v>42849</v>
      </c>
      <c r="B2033" s="139">
        <v>24.03</v>
      </c>
      <c r="C2033" s="318">
        <v>23.69</v>
      </c>
      <c r="D2033" s="318">
        <v>22.2</v>
      </c>
      <c r="E2033" s="318">
        <v>17.93</v>
      </c>
      <c r="F2033" s="554">
        <v>24</v>
      </c>
      <c r="G2033" s="134">
        <f>AVERAGE([3]bunker!$H$3146:$H$3151)</f>
        <v>11.274999999999999</v>
      </c>
      <c r="H2033" s="766">
        <v>43.65</v>
      </c>
      <c r="I2033" s="547">
        <v>16</v>
      </c>
      <c r="J2033" s="735">
        <f>(105/5.966)</f>
        <v>17.599731813610457</v>
      </c>
    </row>
    <row r="2034" spans="1:10" ht="13.5" thickBot="1">
      <c r="A2034" s="985" t="s">
        <v>581</v>
      </c>
      <c r="B2034" s="986">
        <f t="shared" ref="B2034:J2034" si="202">AVERAGE(B2030:B2033)</f>
        <v>23.815000000000001</v>
      </c>
      <c r="C2034" s="986">
        <f t="shared" si="202"/>
        <v>23.352499999999999</v>
      </c>
      <c r="D2034" s="986">
        <f t="shared" si="202"/>
        <v>21.8675</v>
      </c>
      <c r="E2034" s="986">
        <f t="shared" si="202"/>
        <v>17.594999999999999</v>
      </c>
      <c r="F2034" s="987">
        <f t="shared" si="202"/>
        <v>24</v>
      </c>
      <c r="G2034" s="987">
        <f t="shared" si="202"/>
        <v>11.266071428571427</v>
      </c>
      <c r="H2034" s="987">
        <f t="shared" si="202"/>
        <v>43.65</v>
      </c>
      <c r="I2034" s="987">
        <f t="shared" si="202"/>
        <v>16</v>
      </c>
      <c r="J2034" s="987">
        <f t="shared" si="202"/>
        <v>17.599731813610457</v>
      </c>
    </row>
    <row r="2035" spans="1:10" ht="13.5" thickBot="1"/>
    <row r="2036" spans="1:10">
      <c r="A2036" s="1697" t="s">
        <v>1</v>
      </c>
      <c r="B2036" s="976" t="s">
        <v>139</v>
      </c>
      <c r="C2036" s="976" t="s">
        <v>140</v>
      </c>
      <c r="D2036" s="976" t="s">
        <v>5</v>
      </c>
      <c r="E2036" s="976" t="s">
        <v>6</v>
      </c>
      <c r="F2036" s="977" t="s">
        <v>57</v>
      </c>
      <c r="G2036" s="978" t="s">
        <v>154</v>
      </c>
      <c r="H2036" s="979" t="s">
        <v>149</v>
      </c>
      <c r="I2036" s="980" t="s">
        <v>155</v>
      </c>
      <c r="J2036" s="979" t="s">
        <v>61</v>
      </c>
    </row>
    <row r="2037" spans="1:10" ht="13.5" thickBot="1">
      <c r="A2037" s="1698"/>
      <c r="B2037" s="981" t="s">
        <v>146</v>
      </c>
      <c r="C2037" s="981" t="s">
        <v>146</v>
      </c>
      <c r="D2037" s="981" t="s">
        <v>146</v>
      </c>
      <c r="E2037" s="981" t="s">
        <v>146</v>
      </c>
      <c r="F2037" s="982" t="s">
        <v>146</v>
      </c>
      <c r="G2037" s="983" t="s">
        <v>146</v>
      </c>
      <c r="H2037" s="984" t="s">
        <v>146</v>
      </c>
      <c r="I2037" s="984" t="s">
        <v>146</v>
      </c>
      <c r="J2037" s="984" t="s">
        <v>146</v>
      </c>
    </row>
    <row r="2038" spans="1:10">
      <c r="A2038" s="10">
        <v>42857</v>
      </c>
      <c r="B2038" s="139">
        <v>23.51</v>
      </c>
      <c r="C2038" s="318">
        <v>23.03</v>
      </c>
      <c r="D2038" s="318">
        <v>21.56</v>
      </c>
      <c r="E2038" s="318">
        <v>17.25</v>
      </c>
      <c r="F2038" s="891">
        <v>24</v>
      </c>
      <c r="G2038" s="724">
        <v>11.08</v>
      </c>
      <c r="H2038" s="892">
        <v>43.65</v>
      </c>
      <c r="I2038" s="893">
        <v>16</v>
      </c>
      <c r="J2038" s="894">
        <f>(105/5.966)</f>
        <v>17.599731813610457</v>
      </c>
    </row>
    <row r="2039" spans="1:10">
      <c r="A2039" s="10">
        <v>42863</v>
      </c>
      <c r="B2039" s="139">
        <v>22.81</v>
      </c>
      <c r="C2039" s="318">
        <v>22.41</v>
      </c>
      <c r="D2039" s="318">
        <v>20.9</v>
      </c>
      <c r="E2039" s="318">
        <v>16.600000000000001</v>
      </c>
      <c r="F2039" s="554">
        <v>24</v>
      </c>
      <c r="G2039" s="724">
        <v>10.97</v>
      </c>
      <c r="H2039" s="892">
        <v>43.65</v>
      </c>
      <c r="I2039" s="893">
        <v>16</v>
      </c>
      <c r="J2039" s="735">
        <f>(105/5.966)</f>
        <v>17.599731813610457</v>
      </c>
    </row>
    <row r="2040" spans="1:10">
      <c r="A2040" s="10">
        <v>42870</v>
      </c>
      <c r="B2040" s="139">
        <v>22.81</v>
      </c>
      <c r="C2040" s="318">
        <v>22.39</v>
      </c>
      <c r="D2040" s="318">
        <v>20.9</v>
      </c>
      <c r="E2040" s="318">
        <v>16.579999999999998</v>
      </c>
      <c r="F2040" s="554">
        <v>24</v>
      </c>
      <c r="G2040" s="134">
        <v>11.07</v>
      </c>
      <c r="H2040" s="892">
        <v>43.65</v>
      </c>
      <c r="I2040" s="547">
        <v>16</v>
      </c>
      <c r="J2040" s="735">
        <f>(105/5.966)</f>
        <v>17.599731813610457</v>
      </c>
    </row>
    <row r="2041" spans="1:10">
      <c r="A2041" s="10">
        <v>42877</v>
      </c>
      <c r="B2041" s="139">
        <v>23.3</v>
      </c>
      <c r="C2041" s="318">
        <v>22.82</v>
      </c>
      <c r="D2041" s="318">
        <v>21.33</v>
      </c>
      <c r="E2041" s="318">
        <v>16.84</v>
      </c>
      <c r="F2041" s="554">
        <v>24</v>
      </c>
      <c r="G2041" s="134">
        <v>11.23</v>
      </c>
      <c r="H2041" s="892">
        <v>43.65</v>
      </c>
      <c r="I2041" s="547">
        <v>16</v>
      </c>
      <c r="J2041" s="735">
        <f>(105/5.966)</f>
        <v>17.599731813610457</v>
      </c>
    </row>
    <row r="2042" spans="1:10" ht="13.5" thickBot="1">
      <c r="A2042" s="10">
        <v>42884</v>
      </c>
      <c r="B2042" s="139">
        <v>23.51</v>
      </c>
      <c r="C2042" s="318">
        <v>23.01</v>
      </c>
      <c r="D2042" s="318">
        <v>21.51</v>
      </c>
      <c r="E2042" s="318">
        <v>17.02</v>
      </c>
      <c r="F2042" s="554">
        <v>24</v>
      </c>
      <c r="G2042" s="134">
        <v>11.27</v>
      </c>
      <c r="H2042" s="892">
        <v>43.65</v>
      </c>
      <c r="I2042" s="547">
        <v>16</v>
      </c>
      <c r="J2042" s="735">
        <v>17.600000000000001</v>
      </c>
    </row>
    <row r="2043" spans="1:10" ht="13.5" thickBot="1">
      <c r="A2043" s="985" t="s">
        <v>582</v>
      </c>
      <c r="B2043" s="986">
        <f t="shared" ref="B2043:J2043" si="203">AVERAGE(B2038:B2042)</f>
        <v>23.187999999999999</v>
      </c>
      <c r="C2043" s="986">
        <f t="shared" si="203"/>
        <v>22.732000000000003</v>
      </c>
      <c r="D2043" s="986">
        <f t="shared" si="203"/>
        <v>21.240000000000002</v>
      </c>
      <c r="E2043" s="986">
        <f t="shared" si="203"/>
        <v>16.857999999999997</v>
      </c>
      <c r="F2043" s="987">
        <f t="shared" si="203"/>
        <v>24</v>
      </c>
      <c r="G2043" s="987">
        <f t="shared" si="203"/>
        <v>11.124000000000001</v>
      </c>
      <c r="H2043" s="987">
        <f t="shared" si="203"/>
        <v>43.65</v>
      </c>
      <c r="I2043" s="987">
        <f t="shared" si="203"/>
        <v>16</v>
      </c>
      <c r="J2043" s="987">
        <f t="shared" si="203"/>
        <v>17.599785450888369</v>
      </c>
    </row>
    <row r="2044" spans="1:10" ht="13.5" thickBot="1"/>
    <row r="2045" spans="1:10">
      <c r="A2045" s="1697" t="s">
        <v>1</v>
      </c>
      <c r="B2045" s="976" t="s">
        <v>139</v>
      </c>
      <c r="C2045" s="976" t="s">
        <v>140</v>
      </c>
      <c r="D2045" s="976" t="s">
        <v>5</v>
      </c>
      <c r="E2045" s="976" t="s">
        <v>6</v>
      </c>
      <c r="F2045" s="977" t="s">
        <v>57</v>
      </c>
      <c r="G2045" s="978" t="s">
        <v>154</v>
      </c>
      <c r="H2045" s="979" t="s">
        <v>149</v>
      </c>
      <c r="I2045" s="980" t="s">
        <v>155</v>
      </c>
      <c r="J2045" s="979" t="s">
        <v>61</v>
      </c>
    </row>
    <row r="2046" spans="1:10" ht="13.5" thickBot="1">
      <c r="A2046" s="1698"/>
      <c r="B2046" s="981" t="s">
        <v>146</v>
      </c>
      <c r="C2046" s="981" t="s">
        <v>146</v>
      </c>
      <c r="D2046" s="981" t="s">
        <v>146</v>
      </c>
      <c r="E2046" s="981" t="s">
        <v>146</v>
      </c>
      <c r="F2046" s="982" t="s">
        <v>146</v>
      </c>
      <c r="G2046" s="983" t="s">
        <v>146</v>
      </c>
      <c r="H2046" s="984" t="s">
        <v>146</v>
      </c>
      <c r="I2046" s="984" t="s">
        <v>146</v>
      </c>
      <c r="J2046" s="984" t="s">
        <v>146</v>
      </c>
    </row>
    <row r="2047" spans="1:10">
      <c r="A2047" s="10">
        <v>42891</v>
      </c>
      <c r="B2047" s="139">
        <v>23.7</v>
      </c>
      <c r="C2047" s="318">
        <v>23.22</v>
      </c>
      <c r="D2047" s="318">
        <v>21.71</v>
      </c>
      <c r="E2047" s="318">
        <v>17.41</v>
      </c>
      <c r="F2047" s="891">
        <v>24</v>
      </c>
      <c r="G2047" s="724">
        <v>11.01</v>
      </c>
      <c r="H2047" s="892">
        <v>43.65</v>
      </c>
      <c r="I2047" s="893">
        <v>16</v>
      </c>
      <c r="J2047" s="894">
        <f>(105/5.966)</f>
        <v>17.599731813610457</v>
      </c>
    </row>
    <row r="2048" spans="1:10">
      <c r="A2048" s="10">
        <v>42898</v>
      </c>
      <c r="B2048" s="139">
        <v>23.02</v>
      </c>
      <c r="C2048" s="318">
        <v>22.59</v>
      </c>
      <c r="D2048" s="318">
        <v>21.1</v>
      </c>
      <c r="E2048" s="318">
        <v>16.57</v>
      </c>
      <c r="F2048" s="554">
        <v>24</v>
      </c>
      <c r="G2048" s="724">
        <v>10.85</v>
      </c>
      <c r="H2048" s="892">
        <v>43.65</v>
      </c>
      <c r="I2048" s="893">
        <v>16</v>
      </c>
      <c r="J2048" s="735">
        <f>(105/5.966)</f>
        <v>17.599731813610457</v>
      </c>
    </row>
    <row r="2049" spans="1:10">
      <c r="A2049" s="10">
        <v>42905</v>
      </c>
      <c r="B2049" s="139">
        <v>22.54</v>
      </c>
      <c r="C2049" s="318">
        <v>22.05</v>
      </c>
      <c r="D2049" s="318">
        <v>20.56</v>
      </c>
      <c r="E2049" s="318">
        <v>16.059999999999999</v>
      </c>
      <c r="F2049" s="554">
        <v>24</v>
      </c>
      <c r="G2049" s="134">
        <v>10.8</v>
      </c>
      <c r="H2049" s="766">
        <v>43.65</v>
      </c>
      <c r="I2049" s="547">
        <v>16</v>
      </c>
      <c r="J2049" s="735">
        <f>(105/5.966)</f>
        <v>17.599731813610457</v>
      </c>
    </row>
    <row r="2050" spans="1:10" ht="13.5" thickBot="1">
      <c r="A2050" s="10">
        <v>42912</v>
      </c>
      <c r="B2050" s="139">
        <v>22.33</v>
      </c>
      <c r="C2050" s="318">
        <v>21.84</v>
      </c>
      <c r="D2050" s="318">
        <v>20.350000000000001</v>
      </c>
      <c r="E2050" s="318">
        <v>15.74</v>
      </c>
      <c r="F2050" s="554">
        <v>24</v>
      </c>
      <c r="G2050" s="134">
        <v>10.75</v>
      </c>
      <c r="H2050" s="766">
        <v>46.65</v>
      </c>
      <c r="I2050" s="547">
        <v>16</v>
      </c>
      <c r="J2050" s="735">
        <f>(105/5.966)</f>
        <v>17.599731813610457</v>
      </c>
    </row>
    <row r="2051" spans="1:10" ht="13.5" thickBot="1">
      <c r="A2051" s="985" t="s">
        <v>583</v>
      </c>
      <c r="B2051" s="986">
        <f t="shared" ref="B2051:J2051" si="204">AVERAGE(B2047:B2050)</f>
        <v>22.897499999999997</v>
      </c>
      <c r="C2051" s="986">
        <f t="shared" si="204"/>
        <v>22.425000000000001</v>
      </c>
      <c r="D2051" s="986">
        <f t="shared" si="204"/>
        <v>20.93</v>
      </c>
      <c r="E2051" s="986">
        <f t="shared" si="204"/>
        <v>16.445</v>
      </c>
      <c r="F2051" s="987">
        <f t="shared" si="204"/>
        <v>24</v>
      </c>
      <c r="G2051" s="987">
        <f t="shared" si="204"/>
        <v>10.852499999999999</v>
      </c>
      <c r="H2051" s="987">
        <f t="shared" si="204"/>
        <v>44.4</v>
      </c>
      <c r="I2051" s="987">
        <f t="shared" si="204"/>
        <v>16</v>
      </c>
      <c r="J2051" s="987">
        <f t="shared" si="204"/>
        <v>17.599731813610457</v>
      </c>
    </row>
    <row r="2052" spans="1:10" ht="13.5" thickBot="1"/>
    <row r="2053" spans="1:10">
      <c r="A2053" s="1697" t="s">
        <v>1</v>
      </c>
      <c r="B2053" s="976" t="s">
        <v>139</v>
      </c>
      <c r="C2053" s="976" t="s">
        <v>140</v>
      </c>
      <c r="D2053" s="976" t="s">
        <v>5</v>
      </c>
      <c r="E2053" s="976" t="s">
        <v>6</v>
      </c>
      <c r="F2053" s="977" t="s">
        <v>57</v>
      </c>
      <c r="G2053" s="978" t="s">
        <v>154</v>
      </c>
      <c r="H2053" s="979" t="s">
        <v>149</v>
      </c>
      <c r="I2053" s="980" t="s">
        <v>155</v>
      </c>
      <c r="J2053" s="979" t="s">
        <v>61</v>
      </c>
    </row>
    <row r="2054" spans="1:10" ht="13.5" thickBot="1">
      <c r="A2054" s="1698"/>
      <c r="B2054" s="981" t="s">
        <v>146</v>
      </c>
      <c r="C2054" s="981" t="s">
        <v>146</v>
      </c>
      <c r="D2054" s="981" t="s">
        <v>146</v>
      </c>
      <c r="E2054" s="981" t="s">
        <v>146</v>
      </c>
      <c r="F2054" s="982" t="s">
        <v>146</v>
      </c>
      <c r="G2054" s="983" t="s">
        <v>146</v>
      </c>
      <c r="H2054" s="984" t="s">
        <v>146</v>
      </c>
      <c r="I2054" s="984" t="s">
        <v>146</v>
      </c>
      <c r="J2054" s="984" t="s">
        <v>146</v>
      </c>
    </row>
    <row r="2055" spans="1:10">
      <c r="A2055" s="567">
        <v>42920</v>
      </c>
      <c r="B2055" s="139">
        <v>22.33</v>
      </c>
      <c r="C2055" s="318">
        <v>21.81</v>
      </c>
      <c r="D2055" s="318">
        <v>20.32</v>
      </c>
      <c r="E2055" s="318">
        <v>15.99</v>
      </c>
      <c r="F2055" s="891">
        <v>24</v>
      </c>
      <c r="G2055" s="724">
        <v>10.75</v>
      </c>
      <c r="H2055" s="892">
        <v>43.65</v>
      </c>
      <c r="I2055" s="893">
        <v>16</v>
      </c>
      <c r="J2055" s="894">
        <f>(105/5.966)</f>
        <v>17.599731813610457</v>
      </c>
    </row>
    <row r="2056" spans="1:10">
      <c r="A2056" s="567">
        <v>42926</v>
      </c>
      <c r="B2056" s="139">
        <v>22.31</v>
      </c>
      <c r="C2056" s="318">
        <v>21.82</v>
      </c>
      <c r="D2056" s="318">
        <v>20.34</v>
      </c>
      <c r="E2056" s="318">
        <v>16</v>
      </c>
      <c r="F2056" s="554">
        <v>24</v>
      </c>
      <c r="G2056" s="724">
        <v>10.84</v>
      </c>
      <c r="H2056" s="892">
        <v>43.65</v>
      </c>
      <c r="I2056" s="893">
        <v>16</v>
      </c>
      <c r="J2056" s="735">
        <f>(105/5.966)</f>
        <v>17.599731813610457</v>
      </c>
    </row>
    <row r="2057" spans="1:10">
      <c r="A2057" s="112">
        <v>42933</v>
      </c>
      <c r="B2057" s="139">
        <v>23.01</v>
      </c>
      <c r="C2057" s="318">
        <v>22.51</v>
      </c>
      <c r="D2057" s="318">
        <v>21.21</v>
      </c>
      <c r="E2057" s="318">
        <v>16.89</v>
      </c>
      <c r="F2057" s="554">
        <v>24</v>
      </c>
      <c r="G2057" s="724">
        <v>10.87</v>
      </c>
      <c r="H2057" s="892">
        <v>43.65</v>
      </c>
      <c r="I2057" s="893">
        <v>16</v>
      </c>
      <c r="J2057" s="735">
        <v>17.600000000000001</v>
      </c>
    </row>
    <row r="2058" spans="1:10">
      <c r="A2058" s="112">
        <v>42940</v>
      </c>
      <c r="B2058" s="139">
        <v>22.82</v>
      </c>
      <c r="C2058" s="318">
        <v>22.37</v>
      </c>
      <c r="D2058" s="318">
        <v>21.07</v>
      </c>
      <c r="E2058" s="318">
        <v>16.760000000000002</v>
      </c>
      <c r="F2058" s="930" t="s">
        <v>585</v>
      </c>
      <c r="G2058" s="134">
        <v>11.05</v>
      </c>
      <c r="H2058" s="892">
        <v>43.65</v>
      </c>
      <c r="I2058" s="547">
        <v>16</v>
      </c>
      <c r="J2058" s="735">
        <f>(105/5.966)</f>
        <v>17.599731813610457</v>
      </c>
    </row>
    <row r="2059" spans="1:10" ht="13.5" thickBot="1">
      <c r="A2059" s="112">
        <v>42947</v>
      </c>
      <c r="B2059" s="139">
        <v>23.31</v>
      </c>
      <c r="C2059" s="318">
        <v>22.79</v>
      </c>
      <c r="D2059" s="318">
        <v>21.51</v>
      </c>
      <c r="E2059" s="318">
        <v>17.39</v>
      </c>
      <c r="F2059" s="554">
        <v>24</v>
      </c>
      <c r="G2059" s="134">
        <v>11.09</v>
      </c>
      <c r="H2059" s="892">
        <v>46.65</v>
      </c>
      <c r="I2059" s="547">
        <v>16</v>
      </c>
      <c r="J2059" s="735">
        <f>(105/5.966)</f>
        <v>17.599731813610457</v>
      </c>
    </row>
    <row r="2060" spans="1:10" ht="13.5" thickBot="1">
      <c r="A2060" s="985" t="s">
        <v>584</v>
      </c>
      <c r="B2060" s="986">
        <f t="shared" ref="B2060:J2060" si="205">AVERAGE(B2055:B2059)</f>
        <v>22.756</v>
      </c>
      <c r="C2060" s="986">
        <f t="shared" si="205"/>
        <v>22.26</v>
      </c>
      <c r="D2060" s="986">
        <f t="shared" si="205"/>
        <v>20.89</v>
      </c>
      <c r="E2060" s="986">
        <f t="shared" si="205"/>
        <v>16.606000000000002</v>
      </c>
      <c r="F2060" s="987">
        <f t="shared" si="205"/>
        <v>24</v>
      </c>
      <c r="G2060" s="987">
        <f t="shared" si="205"/>
        <v>10.920000000000002</v>
      </c>
      <c r="H2060" s="987">
        <f t="shared" si="205"/>
        <v>44.25</v>
      </c>
      <c r="I2060" s="987">
        <f t="shared" si="205"/>
        <v>16</v>
      </c>
      <c r="J2060" s="987">
        <f t="shared" si="205"/>
        <v>17.599785450888369</v>
      </c>
    </row>
    <row r="2061" spans="1:10" ht="13.5" thickBot="1"/>
    <row r="2062" spans="1:10">
      <c r="A2062" s="1697" t="s">
        <v>1</v>
      </c>
      <c r="B2062" s="976" t="s">
        <v>139</v>
      </c>
      <c r="C2062" s="976" t="s">
        <v>140</v>
      </c>
      <c r="D2062" s="976" t="s">
        <v>5</v>
      </c>
      <c r="E2062" s="976" t="s">
        <v>6</v>
      </c>
      <c r="F2062" s="977" t="s">
        <v>57</v>
      </c>
      <c r="G2062" s="978" t="s">
        <v>154</v>
      </c>
      <c r="H2062" s="979" t="s">
        <v>149</v>
      </c>
      <c r="I2062" s="980" t="s">
        <v>155</v>
      </c>
      <c r="J2062" s="979" t="s">
        <v>61</v>
      </c>
    </row>
    <row r="2063" spans="1:10" ht="13.5" thickBot="1">
      <c r="A2063" s="1698"/>
      <c r="B2063" s="981" t="s">
        <v>146</v>
      </c>
      <c r="C2063" s="981" t="s">
        <v>146</v>
      </c>
      <c r="D2063" s="981" t="s">
        <v>146</v>
      </c>
      <c r="E2063" s="981" t="s">
        <v>146</v>
      </c>
      <c r="F2063" s="982" t="s">
        <v>146</v>
      </c>
      <c r="G2063" s="983" t="s">
        <v>146</v>
      </c>
      <c r="H2063" s="984" t="s">
        <v>146</v>
      </c>
      <c r="I2063" s="984" t="s">
        <v>146</v>
      </c>
      <c r="J2063" s="984" t="s">
        <v>146</v>
      </c>
    </row>
    <row r="2064" spans="1:10">
      <c r="A2064" s="102">
        <v>42954</v>
      </c>
      <c r="B2064" s="318">
        <v>23.81</v>
      </c>
      <c r="C2064" s="318">
        <v>23.31</v>
      </c>
      <c r="D2064" s="318">
        <v>22.01</v>
      </c>
      <c r="E2064" s="318">
        <v>18</v>
      </c>
      <c r="F2064" s="891">
        <v>24</v>
      </c>
      <c r="G2064" s="724">
        <f>AVERAGE(11.17,11.17,11.17,11.17,11.18)</f>
        <v>11.172000000000001</v>
      </c>
      <c r="H2064" s="892">
        <v>43.65</v>
      </c>
      <c r="I2064" s="893">
        <v>16</v>
      </c>
      <c r="J2064" s="894">
        <f>(105/5.966)</f>
        <v>17.599731813610457</v>
      </c>
    </row>
    <row r="2065" spans="1:10">
      <c r="A2065" s="102">
        <v>42963</v>
      </c>
      <c r="B2065" s="318">
        <v>23.39</v>
      </c>
      <c r="C2065" s="318">
        <v>22.91</v>
      </c>
      <c r="D2065" s="318">
        <v>21.63</v>
      </c>
      <c r="E2065" s="318">
        <v>17.510000000000002</v>
      </c>
      <c r="F2065" s="554">
        <v>24</v>
      </c>
      <c r="G2065" s="724">
        <f>AVERAGE(11.18,11.18,11.18,11.18,11.18,11.22,11.22,11.22)</f>
        <v>11.195</v>
      </c>
      <c r="H2065" s="892">
        <v>43.65</v>
      </c>
      <c r="I2065" s="893">
        <v>16</v>
      </c>
      <c r="J2065" s="735">
        <f>(105/5.966)</f>
        <v>17.599731813610457</v>
      </c>
    </row>
    <row r="2066" spans="1:10">
      <c r="A2066" s="102">
        <v>42968</v>
      </c>
      <c r="B2066" s="318">
        <v>23.02</v>
      </c>
      <c r="C2066" s="318">
        <v>22.55</v>
      </c>
      <c r="D2066" s="318">
        <v>21.27</v>
      </c>
      <c r="E2066" s="318">
        <v>17.34</v>
      </c>
      <c r="F2066" s="554">
        <v>24</v>
      </c>
      <c r="G2066" s="724">
        <f>AVERAGE(11.22,11.22,11.22,11.05)</f>
        <v>11.177500000000002</v>
      </c>
      <c r="H2066" s="892">
        <v>43.65</v>
      </c>
      <c r="I2066" s="893">
        <v>16</v>
      </c>
      <c r="J2066" s="735">
        <v>17.600000000000001</v>
      </c>
    </row>
    <row r="2067" spans="1:10" ht="13.5" thickBot="1">
      <c r="A2067" s="102">
        <v>42975</v>
      </c>
      <c r="B2067" s="744">
        <v>23.02</v>
      </c>
      <c r="C2067" s="744">
        <v>22.58</v>
      </c>
      <c r="D2067" s="744">
        <v>21.29</v>
      </c>
      <c r="E2067" s="744">
        <v>17.34</v>
      </c>
      <c r="F2067" s="938">
        <v>24</v>
      </c>
      <c r="G2067" s="746">
        <f>AVERAGE(11.05,11.05,11.05,11.05,11.05,11.14)</f>
        <v>11.065</v>
      </c>
      <c r="H2067" s="939">
        <v>43.65</v>
      </c>
      <c r="I2067" s="748">
        <v>16</v>
      </c>
      <c r="J2067" s="749">
        <f>(105/5.966)</f>
        <v>17.599731813610457</v>
      </c>
    </row>
    <row r="2068" spans="1:10" ht="13.5" thickBot="1">
      <c r="A2068" s="985" t="s">
        <v>593</v>
      </c>
      <c r="B2068" s="987">
        <f t="shared" ref="B2068:J2068" si="206">AVERAGE(B2064:B2067)</f>
        <v>23.31</v>
      </c>
      <c r="C2068" s="988">
        <f t="shared" si="206"/>
        <v>22.837499999999999</v>
      </c>
      <c r="D2068" s="988">
        <f t="shared" si="206"/>
        <v>21.549999999999997</v>
      </c>
      <c r="E2068" s="988">
        <f t="shared" si="206"/>
        <v>17.547500000000003</v>
      </c>
      <c r="F2068" s="988">
        <f t="shared" si="206"/>
        <v>24</v>
      </c>
      <c r="G2068" s="988">
        <f t="shared" si="206"/>
        <v>11.152374999999999</v>
      </c>
      <c r="H2068" s="988">
        <f t="shared" si="206"/>
        <v>43.65</v>
      </c>
      <c r="I2068" s="988">
        <f t="shared" si="206"/>
        <v>16</v>
      </c>
      <c r="J2068" s="989">
        <f t="shared" si="206"/>
        <v>17.599798860207844</v>
      </c>
    </row>
    <row r="2069" spans="1:10" ht="13.5" thickBot="1"/>
    <row r="2070" spans="1:10">
      <c r="A2070" s="1697" t="s">
        <v>1</v>
      </c>
      <c r="B2070" s="976" t="s">
        <v>139</v>
      </c>
      <c r="C2070" s="976" t="s">
        <v>140</v>
      </c>
      <c r="D2070" s="976" t="s">
        <v>5</v>
      </c>
      <c r="E2070" s="976" t="s">
        <v>6</v>
      </c>
      <c r="F2070" s="977" t="s">
        <v>57</v>
      </c>
      <c r="G2070" s="978" t="s">
        <v>154</v>
      </c>
      <c r="H2070" s="979" t="s">
        <v>149</v>
      </c>
      <c r="I2070" s="980" t="s">
        <v>155</v>
      </c>
      <c r="J2070" s="979" t="s">
        <v>61</v>
      </c>
    </row>
    <row r="2071" spans="1:10" ht="13.5" thickBot="1">
      <c r="A2071" s="1698"/>
      <c r="B2071" s="981" t="s">
        <v>146</v>
      </c>
      <c r="C2071" s="981" t="s">
        <v>146</v>
      </c>
      <c r="D2071" s="981" t="s">
        <v>146</v>
      </c>
      <c r="E2071" s="981" t="s">
        <v>146</v>
      </c>
      <c r="F2071" s="982" t="s">
        <v>146</v>
      </c>
      <c r="G2071" s="983" t="s">
        <v>146</v>
      </c>
      <c r="H2071" s="984" t="s">
        <v>146</v>
      </c>
      <c r="I2071" s="984" t="s">
        <v>146</v>
      </c>
      <c r="J2071" s="984" t="s">
        <v>146</v>
      </c>
    </row>
    <row r="2072" spans="1:10">
      <c r="A2072" s="10">
        <v>42982</v>
      </c>
      <c r="B2072" s="139">
        <v>25.52</v>
      </c>
      <c r="C2072" s="318">
        <v>25</v>
      </c>
      <c r="D2072" s="318">
        <v>23.72</v>
      </c>
      <c r="E2072" s="318">
        <v>18.22</v>
      </c>
      <c r="F2072" s="891">
        <v>24</v>
      </c>
      <c r="G2072" s="724">
        <v>11.14</v>
      </c>
      <c r="H2072" s="892">
        <v>43.65</v>
      </c>
      <c r="I2072" s="893">
        <v>16</v>
      </c>
      <c r="J2072" s="894">
        <f>(105/5.966)</f>
        <v>17.599731813610457</v>
      </c>
    </row>
    <row r="2073" spans="1:10">
      <c r="A2073" s="10">
        <v>42989</v>
      </c>
      <c r="B2073" s="139">
        <v>25.21</v>
      </c>
      <c r="C2073" s="318">
        <v>24.73</v>
      </c>
      <c r="D2073" s="318">
        <v>23.43</v>
      </c>
      <c r="E2073" s="318">
        <v>18.04</v>
      </c>
      <c r="F2073" s="554">
        <v>24</v>
      </c>
      <c r="G2073" s="724">
        <v>11.25</v>
      </c>
      <c r="H2073" s="892">
        <v>43.65</v>
      </c>
      <c r="I2073" s="893">
        <v>16</v>
      </c>
      <c r="J2073" s="735">
        <f>(105/5.966)</f>
        <v>17.599731813610457</v>
      </c>
    </row>
    <row r="2074" spans="1:10">
      <c r="A2074" s="10">
        <v>42996</v>
      </c>
      <c r="B2074" s="139">
        <v>24.72</v>
      </c>
      <c r="C2074" s="318">
        <v>24.25</v>
      </c>
      <c r="D2074" s="318">
        <v>22.94</v>
      </c>
      <c r="E2074" s="318">
        <v>18.05</v>
      </c>
      <c r="F2074" s="554">
        <v>24</v>
      </c>
      <c r="G2074" s="724">
        <v>11.48</v>
      </c>
      <c r="H2074" s="892">
        <v>43.65</v>
      </c>
      <c r="I2074" s="893">
        <v>16</v>
      </c>
      <c r="J2074" s="735">
        <v>17.600000000000001</v>
      </c>
    </row>
    <row r="2075" spans="1:10" ht="13.5" thickBot="1">
      <c r="A2075" s="10">
        <v>43003</v>
      </c>
      <c r="B2075" s="139">
        <v>24.03</v>
      </c>
      <c r="C2075" s="318">
        <v>23.71</v>
      </c>
      <c r="D2075" s="318">
        <v>22.41</v>
      </c>
      <c r="E2075" s="318">
        <v>18.899999999999999</v>
      </c>
      <c r="F2075" s="930">
        <v>24</v>
      </c>
      <c r="G2075" s="134">
        <v>11.56</v>
      </c>
      <c r="H2075" s="892">
        <v>43.65</v>
      </c>
      <c r="I2075" s="547">
        <v>16</v>
      </c>
      <c r="J2075" s="735">
        <f>(105/5.966)</f>
        <v>17.599731813610457</v>
      </c>
    </row>
    <row r="2076" spans="1:10" ht="13.5" thickBot="1">
      <c r="A2076" s="985" t="s">
        <v>594</v>
      </c>
      <c r="B2076" s="986">
        <f t="shared" ref="B2076:J2076" si="207">AVERAGE(B2072:B2075)</f>
        <v>24.87</v>
      </c>
      <c r="C2076" s="986">
        <f t="shared" si="207"/>
        <v>24.422499999999999</v>
      </c>
      <c r="D2076" s="986">
        <f t="shared" si="207"/>
        <v>23.125</v>
      </c>
      <c r="E2076" s="986">
        <f t="shared" si="207"/>
        <v>18.302500000000002</v>
      </c>
      <c r="F2076" s="986">
        <f t="shared" si="207"/>
        <v>24</v>
      </c>
      <c r="G2076" s="986">
        <f t="shared" si="207"/>
        <v>11.357500000000002</v>
      </c>
      <c r="H2076" s="986">
        <f t="shared" si="207"/>
        <v>43.65</v>
      </c>
      <c r="I2076" s="986">
        <f t="shared" si="207"/>
        <v>16</v>
      </c>
      <c r="J2076" s="986">
        <f t="shared" si="207"/>
        <v>17.599798860207844</v>
      </c>
    </row>
    <row r="2077" spans="1:10" ht="13.5" thickBot="1"/>
    <row r="2078" spans="1:10">
      <c r="A2078" s="1697" t="s">
        <v>1</v>
      </c>
      <c r="B2078" s="976" t="s">
        <v>139</v>
      </c>
      <c r="C2078" s="976" t="s">
        <v>140</v>
      </c>
      <c r="D2078" s="976" t="s">
        <v>5</v>
      </c>
      <c r="E2078" s="976" t="s">
        <v>6</v>
      </c>
      <c r="F2078" s="977" t="s">
        <v>57</v>
      </c>
      <c r="G2078" s="978" t="s">
        <v>154</v>
      </c>
      <c r="H2078" s="979" t="s">
        <v>149</v>
      </c>
      <c r="I2078" s="980" t="s">
        <v>155</v>
      </c>
      <c r="J2078" s="979" t="s">
        <v>61</v>
      </c>
    </row>
    <row r="2079" spans="1:10" ht="13.5" thickBot="1">
      <c r="A2079" s="1698"/>
      <c r="B2079" s="981" t="s">
        <v>146</v>
      </c>
      <c r="C2079" s="981" t="s">
        <v>146</v>
      </c>
      <c r="D2079" s="981" t="s">
        <v>146</v>
      </c>
      <c r="E2079" s="981" t="s">
        <v>146</v>
      </c>
      <c r="F2079" s="982" t="s">
        <v>146</v>
      </c>
      <c r="G2079" s="983" t="s">
        <v>146</v>
      </c>
      <c r="H2079" s="984" t="s">
        <v>146</v>
      </c>
      <c r="I2079" s="984" t="s">
        <v>146</v>
      </c>
      <c r="J2079" s="984" t="s">
        <v>146</v>
      </c>
    </row>
    <row r="2080" spans="1:10">
      <c r="A2080" s="10">
        <v>43010</v>
      </c>
      <c r="B2080" s="139">
        <v>24.03</v>
      </c>
      <c r="C2080" s="318">
        <v>23.51</v>
      </c>
      <c r="D2080" s="318">
        <v>22.23</v>
      </c>
      <c r="E2080" s="318">
        <v>18.989999999999998</v>
      </c>
      <c r="F2080" s="940">
        <v>24</v>
      </c>
      <c r="G2080" s="721">
        <v>11.14</v>
      </c>
      <c r="H2080" s="892">
        <v>41.65</v>
      </c>
      <c r="I2080" s="893">
        <v>16</v>
      </c>
      <c r="J2080" s="894">
        <f>(105/5.966)</f>
        <v>17.599731813610457</v>
      </c>
    </row>
    <row r="2081" spans="1:10">
      <c r="A2081" s="10">
        <v>43017</v>
      </c>
      <c r="B2081" s="139">
        <v>24.09</v>
      </c>
      <c r="C2081" s="318">
        <v>23.61</v>
      </c>
      <c r="D2081" s="318">
        <v>22.31</v>
      </c>
      <c r="E2081" s="318">
        <v>19.010000000000002</v>
      </c>
      <c r="F2081" s="257">
        <v>24</v>
      </c>
      <c r="G2081" s="134">
        <v>11.56</v>
      </c>
      <c r="H2081" s="892">
        <v>41.65</v>
      </c>
      <c r="I2081" s="893">
        <v>16</v>
      </c>
      <c r="J2081" s="735">
        <f>(105/5.966)</f>
        <v>17.599731813610457</v>
      </c>
    </row>
    <row r="2082" spans="1:10">
      <c r="A2082" s="10">
        <v>43024</v>
      </c>
      <c r="B2082" s="139">
        <v>23.93</v>
      </c>
      <c r="C2082" s="318">
        <v>23.43</v>
      </c>
      <c r="D2082" s="318">
        <v>22.13</v>
      </c>
      <c r="E2082" s="318">
        <v>18.91</v>
      </c>
      <c r="F2082" s="257">
        <v>24</v>
      </c>
      <c r="G2082" s="134">
        <v>11.41</v>
      </c>
      <c r="H2082" s="892">
        <v>41.65</v>
      </c>
      <c r="I2082" s="893">
        <v>16</v>
      </c>
      <c r="J2082" s="735">
        <v>17.600000000000001</v>
      </c>
    </row>
    <row r="2083" spans="1:10">
      <c r="A2083" s="10">
        <v>43031</v>
      </c>
      <c r="B2083" s="139">
        <v>23.92</v>
      </c>
      <c r="C2083" s="318">
        <v>23.41</v>
      </c>
      <c r="D2083" s="318">
        <v>22.11</v>
      </c>
      <c r="E2083" s="318">
        <v>19.21</v>
      </c>
      <c r="F2083" s="554">
        <v>24</v>
      </c>
      <c r="G2083" s="724">
        <v>11.5</v>
      </c>
      <c r="H2083" s="892">
        <v>41.65</v>
      </c>
      <c r="I2083" s="893">
        <v>16</v>
      </c>
      <c r="J2083" s="735">
        <v>17.600000000000001</v>
      </c>
    </row>
    <row r="2084" spans="1:10" ht="13.5" thickBot="1">
      <c r="A2084" s="10">
        <v>43038</v>
      </c>
      <c r="B2084" s="139">
        <v>24.31</v>
      </c>
      <c r="C2084" s="318">
        <v>23.79</v>
      </c>
      <c r="D2084" s="318">
        <v>22.5</v>
      </c>
      <c r="E2084" s="318">
        <v>19.39</v>
      </c>
      <c r="F2084" s="930">
        <v>24</v>
      </c>
      <c r="G2084" s="724">
        <v>11.62</v>
      </c>
      <c r="H2084" s="892">
        <v>41.65</v>
      </c>
      <c r="I2084" s="547">
        <v>16</v>
      </c>
      <c r="J2084" s="735">
        <f>(105/5.966)</f>
        <v>17.599731813610457</v>
      </c>
    </row>
    <row r="2085" spans="1:10" ht="13.5" thickBot="1">
      <c r="A2085" s="985" t="s">
        <v>595</v>
      </c>
      <c r="B2085" s="986">
        <f t="shared" ref="B2085:J2085" si="208">AVERAGE(B2080:B2084)</f>
        <v>24.056000000000004</v>
      </c>
      <c r="C2085" s="986">
        <f t="shared" si="208"/>
        <v>23.55</v>
      </c>
      <c r="D2085" s="986">
        <f t="shared" si="208"/>
        <v>22.256</v>
      </c>
      <c r="E2085" s="986">
        <f t="shared" si="208"/>
        <v>19.102</v>
      </c>
      <c r="F2085" s="986">
        <f t="shared" si="208"/>
        <v>24</v>
      </c>
      <c r="G2085" s="986">
        <f>AVERAGE(G2080:G2084)</f>
        <v>11.446</v>
      </c>
      <c r="H2085" s="986">
        <f>AVERAGE(H2080:H2084)</f>
        <v>41.65</v>
      </c>
      <c r="I2085" s="986">
        <f t="shared" si="208"/>
        <v>16</v>
      </c>
      <c r="J2085" s="986">
        <f t="shared" si="208"/>
        <v>17.599839088166274</v>
      </c>
    </row>
    <row r="2086" spans="1:10" ht="13.5" thickBot="1"/>
    <row r="2087" spans="1:10">
      <c r="A2087" s="1697" t="s">
        <v>1</v>
      </c>
      <c r="B2087" s="976" t="s">
        <v>139</v>
      </c>
      <c r="C2087" s="976" t="s">
        <v>140</v>
      </c>
      <c r="D2087" s="976" t="s">
        <v>5</v>
      </c>
      <c r="E2087" s="976" t="s">
        <v>6</v>
      </c>
      <c r="F2087" s="977" t="s">
        <v>57</v>
      </c>
      <c r="G2087" s="978" t="s">
        <v>154</v>
      </c>
      <c r="H2087" s="979" t="s">
        <v>149</v>
      </c>
      <c r="I2087" s="980" t="s">
        <v>155</v>
      </c>
      <c r="J2087" s="979" t="s">
        <v>61</v>
      </c>
    </row>
    <row r="2088" spans="1:10" ht="13.5" thickBot="1">
      <c r="A2088" s="1698"/>
      <c r="B2088" s="981" t="s">
        <v>146</v>
      </c>
      <c r="C2088" s="981" t="s">
        <v>146</v>
      </c>
      <c r="D2088" s="981" t="s">
        <v>146</v>
      </c>
      <c r="E2088" s="981" t="s">
        <v>146</v>
      </c>
      <c r="F2088" s="982" t="s">
        <v>146</v>
      </c>
      <c r="G2088" s="983" t="s">
        <v>146</v>
      </c>
      <c r="H2088" s="984" t="s">
        <v>146</v>
      </c>
      <c r="I2088" s="984" t="s">
        <v>146</v>
      </c>
      <c r="J2088" s="984" t="s">
        <v>146</v>
      </c>
    </row>
    <row r="2089" spans="1:10">
      <c r="A2089" s="10">
        <v>43045</v>
      </c>
      <c r="B2089" s="139">
        <v>24.8</v>
      </c>
      <c r="C2089" s="318">
        <v>24.3</v>
      </c>
      <c r="D2089" s="318">
        <v>23.02</v>
      </c>
      <c r="E2089" s="318">
        <v>19.68</v>
      </c>
      <c r="F2089" s="940">
        <v>24</v>
      </c>
      <c r="G2089" s="721">
        <v>12.33</v>
      </c>
      <c r="H2089" s="892">
        <v>41.65</v>
      </c>
      <c r="I2089" s="893">
        <v>16.75</v>
      </c>
      <c r="J2089" s="894">
        <f>(105/5.966)</f>
        <v>17.599731813610457</v>
      </c>
    </row>
    <row r="2090" spans="1:10">
      <c r="A2090" s="10">
        <v>43052</v>
      </c>
      <c r="B2090" s="139">
        <v>25.28</v>
      </c>
      <c r="C2090" s="318">
        <v>24.79</v>
      </c>
      <c r="D2090" s="318">
        <v>23.49</v>
      </c>
      <c r="E2090" s="318">
        <v>20.190000000000001</v>
      </c>
      <c r="F2090" s="257">
        <v>24</v>
      </c>
      <c r="G2090" s="134">
        <v>12.77</v>
      </c>
      <c r="H2090" s="892">
        <v>41.65</v>
      </c>
      <c r="I2090" s="893">
        <v>16.75</v>
      </c>
      <c r="J2090" s="894">
        <f>(105/5.966)</f>
        <v>17.599731813610457</v>
      </c>
    </row>
    <row r="2091" spans="1:10">
      <c r="A2091" s="10">
        <v>43059</v>
      </c>
      <c r="B2091" s="139">
        <v>24.81</v>
      </c>
      <c r="C2091" s="318">
        <v>24.48</v>
      </c>
      <c r="D2091" s="318">
        <v>23.18</v>
      </c>
      <c r="E2091" s="318">
        <v>19.86</v>
      </c>
      <c r="F2091" s="257">
        <v>25</v>
      </c>
      <c r="G2091" s="134">
        <v>12.89</v>
      </c>
      <c r="H2091" s="892">
        <v>41.65</v>
      </c>
      <c r="I2091" s="893">
        <v>16.75</v>
      </c>
      <c r="J2091" s="894">
        <f>(120/5.966)</f>
        <v>20.11397921555481</v>
      </c>
    </row>
    <row r="2092" spans="1:10" ht="13.5" thickBot="1">
      <c r="A2092" s="10">
        <v>43066</v>
      </c>
      <c r="B2092" s="139">
        <v>24.81</v>
      </c>
      <c r="C2092" s="318">
        <v>24.33</v>
      </c>
      <c r="D2092" s="318">
        <v>23.3</v>
      </c>
      <c r="E2092" s="318">
        <v>19.989999999999998</v>
      </c>
      <c r="F2092" s="554">
        <v>25</v>
      </c>
      <c r="G2092" s="724">
        <v>12.87</v>
      </c>
      <c r="H2092" s="892">
        <v>41.65</v>
      </c>
      <c r="I2092" s="893">
        <v>16.75</v>
      </c>
      <c r="J2092" s="735">
        <v>20.11</v>
      </c>
    </row>
    <row r="2093" spans="1:10" ht="13.5" thickBot="1">
      <c r="A2093" s="985" t="s">
        <v>596</v>
      </c>
      <c r="B2093" s="986">
        <f t="shared" ref="B2093:J2093" si="209">AVERAGE(B2089:B2092)</f>
        <v>24.925000000000001</v>
      </c>
      <c r="C2093" s="986">
        <f t="shared" si="209"/>
        <v>24.475000000000001</v>
      </c>
      <c r="D2093" s="986">
        <f t="shared" si="209"/>
        <v>23.247499999999999</v>
      </c>
      <c r="E2093" s="986">
        <f t="shared" si="209"/>
        <v>19.93</v>
      </c>
      <c r="F2093" s="986">
        <f t="shared" si="209"/>
        <v>24.5</v>
      </c>
      <c r="G2093" s="986">
        <f t="shared" si="209"/>
        <v>12.715</v>
      </c>
      <c r="H2093" s="986">
        <f t="shared" si="209"/>
        <v>41.65</v>
      </c>
      <c r="I2093" s="986">
        <f t="shared" si="209"/>
        <v>16.75</v>
      </c>
      <c r="J2093" s="986">
        <f t="shared" si="209"/>
        <v>18.855860710693932</v>
      </c>
    </row>
    <row r="2094" spans="1:10" ht="13.5" thickBot="1"/>
    <row r="2095" spans="1:10">
      <c r="A2095" s="1697" t="s">
        <v>1</v>
      </c>
      <c r="B2095" s="976" t="s">
        <v>139</v>
      </c>
      <c r="C2095" s="976" t="s">
        <v>140</v>
      </c>
      <c r="D2095" s="976" t="s">
        <v>5</v>
      </c>
      <c r="E2095" s="976" t="s">
        <v>6</v>
      </c>
      <c r="F2095" s="977" t="s">
        <v>57</v>
      </c>
      <c r="G2095" s="978" t="s">
        <v>154</v>
      </c>
      <c r="H2095" s="979" t="s">
        <v>149</v>
      </c>
      <c r="I2095" s="980" t="s">
        <v>155</v>
      </c>
      <c r="J2095" s="979" t="s">
        <v>61</v>
      </c>
    </row>
    <row r="2096" spans="1:10" ht="13.5" thickBot="1">
      <c r="A2096" s="1698"/>
      <c r="B2096" s="981" t="s">
        <v>146</v>
      </c>
      <c r="C2096" s="981" t="s">
        <v>146</v>
      </c>
      <c r="D2096" s="981" t="s">
        <v>146</v>
      </c>
      <c r="E2096" s="981" t="s">
        <v>146</v>
      </c>
      <c r="F2096" s="982" t="s">
        <v>146</v>
      </c>
      <c r="G2096" s="983" t="s">
        <v>146</v>
      </c>
      <c r="H2096" s="984" t="s">
        <v>146</v>
      </c>
      <c r="I2096" s="984" t="s">
        <v>146</v>
      </c>
      <c r="J2096" s="984" t="s">
        <v>146</v>
      </c>
    </row>
    <row r="2097" spans="1:10">
      <c r="A2097" s="10">
        <v>43073</v>
      </c>
      <c r="B2097" s="139">
        <v>25.1</v>
      </c>
      <c r="C2097" s="318">
        <v>24.61</v>
      </c>
      <c r="D2097" s="318">
        <v>23.59</v>
      </c>
      <c r="E2097" s="318">
        <v>20.29</v>
      </c>
      <c r="F2097" s="940">
        <v>25</v>
      </c>
      <c r="G2097" s="721">
        <v>12.91</v>
      </c>
      <c r="H2097" s="892">
        <v>42.7</v>
      </c>
      <c r="I2097" s="893">
        <v>16</v>
      </c>
      <c r="J2097" s="894">
        <f>(120/5.966)</f>
        <v>20.11397921555481</v>
      </c>
    </row>
    <row r="2098" spans="1:10">
      <c r="A2098" s="567">
        <v>43080</v>
      </c>
      <c r="B2098" s="139">
        <v>24.51</v>
      </c>
      <c r="C2098" s="318">
        <v>24.08</v>
      </c>
      <c r="D2098" s="318">
        <v>23.04</v>
      </c>
      <c r="E2098" s="318">
        <v>19.739999999999998</v>
      </c>
      <c r="F2098" s="257">
        <v>25</v>
      </c>
      <c r="G2098" s="134">
        <v>12.75</v>
      </c>
      <c r="H2098" s="892">
        <v>42.7</v>
      </c>
      <c r="I2098" s="893">
        <v>16.5</v>
      </c>
      <c r="J2098" s="735">
        <f>(120/5.966)</f>
        <v>20.11397921555481</v>
      </c>
    </row>
    <row r="2099" spans="1:10">
      <c r="A2099" s="10">
        <v>43087</v>
      </c>
      <c r="B2099" s="139">
        <v>24.51</v>
      </c>
      <c r="C2099" s="318">
        <v>24.02</v>
      </c>
      <c r="D2099" s="318">
        <v>23</v>
      </c>
      <c r="E2099" s="318">
        <v>20.02</v>
      </c>
      <c r="F2099" s="257">
        <v>25</v>
      </c>
      <c r="G2099" s="134">
        <v>12.79</v>
      </c>
      <c r="H2099" s="892">
        <v>42.7</v>
      </c>
      <c r="I2099" s="893">
        <v>16.5</v>
      </c>
      <c r="J2099" s="735">
        <v>20.11</v>
      </c>
    </row>
    <row r="2100" spans="1:10" ht="13.5" thickBot="1">
      <c r="A2100" s="567">
        <v>43096</v>
      </c>
      <c r="B2100" s="139">
        <v>24.68</v>
      </c>
      <c r="C2100" s="318">
        <v>24.16</v>
      </c>
      <c r="D2100" s="318">
        <v>23.17</v>
      </c>
      <c r="E2100" s="318">
        <v>20.239999999999998</v>
      </c>
      <c r="F2100" s="554">
        <v>27</v>
      </c>
      <c r="G2100" s="724">
        <v>12.79</v>
      </c>
      <c r="H2100" s="892">
        <v>42.7</v>
      </c>
      <c r="I2100" s="893">
        <v>16.5</v>
      </c>
      <c r="J2100" s="735">
        <v>20.11</v>
      </c>
    </row>
    <row r="2101" spans="1:10" ht="13.5" thickBot="1">
      <c r="A2101" s="985" t="s">
        <v>597</v>
      </c>
      <c r="B2101" s="986">
        <f t="shared" ref="B2101:J2101" si="210">AVERAGE(B2097:B2100)</f>
        <v>24.700000000000003</v>
      </c>
      <c r="C2101" s="986">
        <f t="shared" si="210"/>
        <v>24.217499999999998</v>
      </c>
      <c r="D2101" s="986">
        <f t="shared" si="210"/>
        <v>23.2</v>
      </c>
      <c r="E2101" s="986">
        <f t="shared" si="210"/>
        <v>20.072499999999998</v>
      </c>
      <c r="F2101" s="986">
        <f t="shared" si="210"/>
        <v>25.5</v>
      </c>
      <c r="G2101" s="986">
        <f t="shared" si="210"/>
        <v>12.81</v>
      </c>
      <c r="H2101" s="986">
        <f t="shared" si="210"/>
        <v>42.7</v>
      </c>
      <c r="I2101" s="986">
        <f t="shared" si="210"/>
        <v>16.375</v>
      </c>
      <c r="J2101" s="986">
        <f t="shared" si="210"/>
        <v>20.111989607777403</v>
      </c>
    </row>
    <row r="2102" spans="1:10" ht="13.5" thickBot="1"/>
    <row r="2103" spans="1:10">
      <c r="A2103" s="1677" t="s">
        <v>1</v>
      </c>
      <c r="B2103" s="965" t="s">
        <v>139</v>
      </c>
      <c r="C2103" s="965" t="s">
        <v>140</v>
      </c>
      <c r="D2103" s="965" t="s">
        <v>5</v>
      </c>
      <c r="E2103" s="965" t="s">
        <v>6</v>
      </c>
      <c r="F2103" s="966" t="s">
        <v>57</v>
      </c>
      <c r="G2103" s="967" t="s">
        <v>154</v>
      </c>
      <c r="H2103" s="968" t="s">
        <v>149</v>
      </c>
      <c r="I2103" s="969" t="s">
        <v>155</v>
      </c>
      <c r="J2103" s="968" t="s">
        <v>61</v>
      </c>
    </row>
    <row r="2104" spans="1:10" ht="13.5" thickBot="1">
      <c r="A2104" s="1678"/>
      <c r="B2104" s="970" t="s">
        <v>146</v>
      </c>
      <c r="C2104" s="970" t="s">
        <v>146</v>
      </c>
      <c r="D2104" s="970" t="s">
        <v>146</v>
      </c>
      <c r="E2104" s="970" t="s">
        <v>146</v>
      </c>
      <c r="F2104" s="971" t="s">
        <v>146</v>
      </c>
      <c r="G2104" s="972" t="s">
        <v>146</v>
      </c>
      <c r="H2104" s="973" t="s">
        <v>146</v>
      </c>
      <c r="I2104" s="973" t="s">
        <v>146</v>
      </c>
      <c r="J2104" s="973" t="s">
        <v>146</v>
      </c>
    </row>
    <row r="2105" spans="1:10">
      <c r="A2105" s="74">
        <v>43103</v>
      </c>
      <c r="B2105" s="139">
        <v>24.81</v>
      </c>
      <c r="C2105" s="318">
        <v>24.31</v>
      </c>
      <c r="D2105" s="318">
        <v>23.31</v>
      </c>
      <c r="E2105" s="318">
        <v>20.49</v>
      </c>
      <c r="F2105" s="940">
        <v>27</v>
      </c>
      <c r="G2105" s="721">
        <v>13.06</v>
      </c>
      <c r="H2105" s="892">
        <v>42.7</v>
      </c>
      <c r="I2105" s="893">
        <v>16.5</v>
      </c>
      <c r="J2105" s="894">
        <v>20.11</v>
      </c>
    </row>
    <row r="2106" spans="1:10">
      <c r="A2106" s="10">
        <v>43108</v>
      </c>
      <c r="B2106" s="139">
        <v>24.81</v>
      </c>
      <c r="C2106" s="318">
        <v>24.31</v>
      </c>
      <c r="D2106" s="318">
        <v>23.31</v>
      </c>
      <c r="E2106" s="318">
        <v>20.5</v>
      </c>
      <c r="F2106" s="257">
        <v>27</v>
      </c>
      <c r="G2106" s="134">
        <v>13.06</v>
      </c>
      <c r="H2106" s="892">
        <v>42.7</v>
      </c>
      <c r="I2106" s="893">
        <v>16.5</v>
      </c>
      <c r="J2106" s="735">
        <v>20.11</v>
      </c>
    </row>
    <row r="2107" spans="1:10">
      <c r="A2107" s="10">
        <v>43115</v>
      </c>
      <c r="B2107" s="139">
        <v>25.41</v>
      </c>
      <c r="C2107" s="318">
        <v>24.91</v>
      </c>
      <c r="D2107" s="318">
        <v>23.81</v>
      </c>
      <c r="E2107" s="318">
        <v>20.8</v>
      </c>
      <c r="F2107" s="257">
        <v>27</v>
      </c>
      <c r="G2107" s="134">
        <v>16.059999999999999</v>
      </c>
      <c r="H2107" s="892">
        <v>42.7</v>
      </c>
      <c r="I2107" s="893">
        <v>16.5</v>
      </c>
      <c r="J2107" s="735">
        <v>20.11</v>
      </c>
    </row>
    <row r="2108" spans="1:10">
      <c r="A2108" s="10">
        <v>43122</v>
      </c>
      <c r="B2108" s="139">
        <v>25.91</v>
      </c>
      <c r="C2108" s="318">
        <v>25.4</v>
      </c>
      <c r="D2108" s="318">
        <v>24.32</v>
      </c>
      <c r="E2108" s="318">
        <v>20.8</v>
      </c>
      <c r="F2108" s="554">
        <v>27</v>
      </c>
      <c r="G2108" s="724">
        <v>13.12</v>
      </c>
      <c r="H2108" s="892">
        <v>42.7</v>
      </c>
      <c r="I2108" s="893">
        <v>16.5</v>
      </c>
      <c r="J2108" s="735">
        <v>20.11</v>
      </c>
    </row>
    <row r="2109" spans="1:10" ht="13.5" thickBot="1">
      <c r="A2109" s="57">
        <v>43129</v>
      </c>
      <c r="B2109" s="139">
        <v>26.2</v>
      </c>
      <c r="C2109" s="318">
        <v>25.71</v>
      </c>
      <c r="D2109" s="318">
        <v>24.61</v>
      </c>
      <c r="E2109" s="318">
        <v>21.11</v>
      </c>
      <c r="F2109" s="554">
        <v>27</v>
      </c>
      <c r="G2109" s="724">
        <v>13.12</v>
      </c>
      <c r="H2109" s="892">
        <v>42.7</v>
      </c>
      <c r="I2109" s="893">
        <v>16.5</v>
      </c>
      <c r="J2109" s="735">
        <v>20.11</v>
      </c>
    </row>
    <row r="2110" spans="1:10" ht="13.5" thickBot="1">
      <c r="A2110" s="974" t="s">
        <v>598</v>
      </c>
      <c r="B2110" s="975">
        <f>AVERAGE(B2105:B2109)</f>
        <v>25.428000000000001</v>
      </c>
      <c r="C2110" s="975">
        <f t="shared" ref="C2110:J2110" si="211">AVERAGE(C2105:C2109)</f>
        <v>24.928000000000004</v>
      </c>
      <c r="D2110" s="975">
        <f t="shared" si="211"/>
        <v>23.872</v>
      </c>
      <c r="E2110" s="975">
        <f t="shared" si="211"/>
        <v>20.74</v>
      </c>
      <c r="F2110" s="975">
        <f t="shared" si="211"/>
        <v>27</v>
      </c>
      <c r="G2110" s="975">
        <f t="shared" si="211"/>
        <v>13.684000000000001</v>
      </c>
      <c r="H2110" s="975">
        <f t="shared" si="211"/>
        <v>42.7</v>
      </c>
      <c r="I2110" s="975">
        <f t="shared" si="211"/>
        <v>16.5</v>
      </c>
      <c r="J2110" s="975">
        <f t="shared" si="211"/>
        <v>20.11</v>
      </c>
    </row>
    <row r="2111" spans="1:10" ht="13.5" thickBot="1"/>
    <row r="2112" spans="1:10">
      <c r="A2112" s="1677" t="s">
        <v>1</v>
      </c>
      <c r="B2112" s="965" t="s">
        <v>139</v>
      </c>
      <c r="C2112" s="965" t="s">
        <v>140</v>
      </c>
      <c r="D2112" s="965" t="s">
        <v>5</v>
      </c>
      <c r="E2112" s="965" t="s">
        <v>6</v>
      </c>
      <c r="F2112" s="966" t="s">
        <v>57</v>
      </c>
      <c r="G2112" s="967" t="s">
        <v>154</v>
      </c>
      <c r="H2112" s="968" t="s">
        <v>149</v>
      </c>
      <c r="I2112" s="969" t="s">
        <v>155</v>
      </c>
      <c r="J2112" s="968" t="s">
        <v>61</v>
      </c>
    </row>
    <row r="2113" spans="1:10" ht="13.5" thickBot="1">
      <c r="A2113" s="1678"/>
      <c r="B2113" s="970" t="s">
        <v>146</v>
      </c>
      <c r="C2113" s="970" t="s">
        <v>146</v>
      </c>
      <c r="D2113" s="970" t="s">
        <v>146</v>
      </c>
      <c r="E2113" s="970" t="s">
        <v>146</v>
      </c>
      <c r="F2113" s="971" t="s">
        <v>146</v>
      </c>
      <c r="G2113" s="972" t="s">
        <v>146</v>
      </c>
      <c r="H2113" s="973" t="s">
        <v>146</v>
      </c>
      <c r="I2113" s="973" t="s">
        <v>146</v>
      </c>
      <c r="J2113" s="973" t="s">
        <v>146</v>
      </c>
    </row>
    <row r="2114" spans="1:10">
      <c r="A2114" s="74">
        <v>43136</v>
      </c>
      <c r="B2114" s="139">
        <v>26.01</v>
      </c>
      <c r="C2114" s="318">
        <v>25.54</v>
      </c>
      <c r="D2114" s="318">
        <v>24.44</v>
      </c>
      <c r="E2114" s="318">
        <v>21.02</v>
      </c>
      <c r="F2114" s="940">
        <v>27</v>
      </c>
      <c r="G2114" s="721">
        <v>13.26</v>
      </c>
      <c r="H2114" s="892">
        <v>42.18</v>
      </c>
      <c r="I2114" s="893">
        <v>16.5</v>
      </c>
      <c r="J2114" s="894">
        <v>20.11</v>
      </c>
    </row>
    <row r="2115" spans="1:10">
      <c r="A2115" s="10">
        <v>43143</v>
      </c>
      <c r="B2115" s="139">
        <v>25.53</v>
      </c>
      <c r="C2115" s="318">
        <v>25.07</v>
      </c>
      <c r="D2115" s="318">
        <v>23.97</v>
      </c>
      <c r="E2115" s="318">
        <v>20.48</v>
      </c>
      <c r="F2115" s="257">
        <v>27</v>
      </c>
      <c r="G2115" s="134">
        <v>12.95</v>
      </c>
      <c r="H2115" s="892">
        <v>42.18</v>
      </c>
      <c r="I2115" s="893">
        <v>16.5</v>
      </c>
      <c r="J2115" s="735">
        <v>20.11</v>
      </c>
    </row>
    <row r="2116" spans="1:10">
      <c r="A2116" s="10">
        <v>43150</v>
      </c>
      <c r="B2116" s="139">
        <v>25.21</v>
      </c>
      <c r="C2116" s="318">
        <v>24.74</v>
      </c>
      <c r="D2116" s="318">
        <v>23.65</v>
      </c>
      <c r="E2116" s="318">
        <v>20.23</v>
      </c>
      <c r="F2116" s="554">
        <v>27</v>
      </c>
      <c r="G2116" s="724">
        <v>12.9</v>
      </c>
      <c r="H2116" s="892">
        <v>42.18</v>
      </c>
      <c r="I2116" s="893">
        <v>16.5</v>
      </c>
      <c r="J2116" s="735">
        <v>20.11</v>
      </c>
    </row>
    <row r="2117" spans="1:10" ht="13.5" thickBot="1">
      <c r="A2117" s="57">
        <v>43157</v>
      </c>
      <c r="B2117" s="139">
        <v>24.6</v>
      </c>
      <c r="C2117" s="318">
        <v>24.21</v>
      </c>
      <c r="D2117" s="318">
        <v>23.1</v>
      </c>
      <c r="E2117" s="318">
        <v>19.82</v>
      </c>
      <c r="F2117" s="554">
        <v>27</v>
      </c>
      <c r="G2117" s="724">
        <v>13.02</v>
      </c>
      <c r="H2117" s="892">
        <v>42.18</v>
      </c>
      <c r="I2117" s="893">
        <v>16.5</v>
      </c>
      <c r="J2117" s="735">
        <v>20.11</v>
      </c>
    </row>
    <row r="2118" spans="1:10" ht="13.5" thickBot="1">
      <c r="A2118" s="974" t="s">
        <v>599</v>
      </c>
      <c r="B2118" s="975">
        <f>AVERAGE(B2114:B2117)</f>
        <v>25.337499999999999</v>
      </c>
      <c r="C2118" s="975">
        <f t="shared" ref="C2118:J2118" si="212">AVERAGE(C2114:C2117)</f>
        <v>24.89</v>
      </c>
      <c r="D2118" s="975">
        <f t="shared" si="212"/>
        <v>23.79</v>
      </c>
      <c r="E2118" s="975">
        <f t="shared" si="212"/>
        <v>20.387500000000003</v>
      </c>
      <c r="F2118" s="975">
        <f t="shared" si="212"/>
        <v>27</v>
      </c>
      <c r="G2118" s="975">
        <f t="shared" si="212"/>
        <v>13.032499999999999</v>
      </c>
      <c r="H2118" s="975">
        <v>42.18</v>
      </c>
      <c r="I2118" s="975">
        <f t="shared" si="212"/>
        <v>16.5</v>
      </c>
      <c r="J2118" s="975">
        <f t="shared" si="212"/>
        <v>20.11</v>
      </c>
    </row>
    <row r="2119" spans="1:10" ht="13.5" thickBot="1"/>
    <row r="2120" spans="1:10">
      <c r="A2120" s="1677" t="s">
        <v>1</v>
      </c>
      <c r="B2120" s="965" t="s">
        <v>139</v>
      </c>
      <c r="C2120" s="965" t="s">
        <v>140</v>
      </c>
      <c r="D2120" s="965" t="s">
        <v>5</v>
      </c>
      <c r="E2120" s="965" t="s">
        <v>6</v>
      </c>
      <c r="F2120" s="966" t="s">
        <v>57</v>
      </c>
      <c r="G2120" s="967" t="s">
        <v>154</v>
      </c>
      <c r="H2120" s="968" t="s">
        <v>149</v>
      </c>
      <c r="I2120" s="969" t="s">
        <v>155</v>
      </c>
      <c r="J2120" s="968" t="s">
        <v>61</v>
      </c>
    </row>
    <row r="2121" spans="1:10" ht="13.5" thickBot="1">
      <c r="A2121" s="1678"/>
      <c r="B2121" s="970" t="s">
        <v>146</v>
      </c>
      <c r="C2121" s="970" t="s">
        <v>146</v>
      </c>
      <c r="D2121" s="970" t="s">
        <v>146</v>
      </c>
      <c r="E2121" s="970" t="s">
        <v>146</v>
      </c>
      <c r="F2121" s="971" t="s">
        <v>146</v>
      </c>
      <c r="G2121" s="972" t="s">
        <v>146</v>
      </c>
      <c r="H2121" s="973" t="s">
        <v>146</v>
      </c>
      <c r="I2121" s="973" t="s">
        <v>146</v>
      </c>
      <c r="J2121" s="973" t="s">
        <v>146</v>
      </c>
    </row>
    <row r="2122" spans="1:10">
      <c r="A2122" s="74">
        <v>43164</v>
      </c>
      <c r="B2122" s="139">
        <v>25.31</v>
      </c>
      <c r="C2122" s="318">
        <v>24.82</v>
      </c>
      <c r="D2122" s="318">
        <v>23.72</v>
      </c>
      <c r="E2122" s="318">
        <v>20.3</v>
      </c>
      <c r="F2122" s="940">
        <v>27</v>
      </c>
      <c r="G2122" s="721">
        <f>AVERAGE(13.02,13.02,12.95)</f>
        <v>12.996666666666664</v>
      </c>
      <c r="H2122" s="892">
        <v>42.18</v>
      </c>
      <c r="I2122" s="893">
        <v>16.5</v>
      </c>
      <c r="J2122" s="894">
        <v>20.11</v>
      </c>
    </row>
    <row r="2123" spans="1:10">
      <c r="A2123" s="10">
        <v>43171</v>
      </c>
      <c r="B2123" s="139">
        <v>25.02</v>
      </c>
      <c r="C2123" s="318">
        <v>24.56</v>
      </c>
      <c r="D2123" s="318">
        <v>23.47</v>
      </c>
      <c r="E2123" s="318">
        <v>19.75</v>
      </c>
      <c r="F2123" s="257">
        <v>27</v>
      </c>
      <c r="G2123" s="134">
        <f>AVERAGE(12.95,12.95,12.95,12.95,12.95,12.97)</f>
        <v>12.953333333333333</v>
      </c>
      <c r="H2123" s="892">
        <v>42.18</v>
      </c>
      <c r="I2123" s="893">
        <v>16.5</v>
      </c>
      <c r="J2123" s="735">
        <v>20.11</v>
      </c>
    </row>
    <row r="2124" spans="1:10">
      <c r="A2124" s="10">
        <v>43178</v>
      </c>
      <c r="B2124" s="139">
        <v>25.21</v>
      </c>
      <c r="C2124" s="318">
        <v>24.73</v>
      </c>
      <c r="D2124" s="318">
        <v>23.63</v>
      </c>
      <c r="E2124" s="318">
        <v>19.72</v>
      </c>
      <c r="F2124" s="554">
        <v>27</v>
      </c>
      <c r="G2124" s="724">
        <f>AVERAGE(13.01,13.011301,13.01,13.01,13.01,13.14)</f>
        <v>13.031883499999999</v>
      </c>
      <c r="H2124" s="892">
        <v>42.18</v>
      </c>
      <c r="I2124" s="893">
        <v>16.5</v>
      </c>
      <c r="J2124" s="735">
        <v>20.11</v>
      </c>
    </row>
    <row r="2125" spans="1:10" ht="13.5" thickBot="1">
      <c r="A2125" s="57">
        <v>43185</v>
      </c>
      <c r="B2125" s="139">
        <v>26.01</v>
      </c>
      <c r="C2125" s="318">
        <v>25.54</v>
      </c>
      <c r="D2125" s="318">
        <v>24.45</v>
      </c>
      <c r="E2125" s="318">
        <v>20.52</v>
      </c>
      <c r="F2125" s="554">
        <v>27</v>
      </c>
      <c r="G2125" s="724">
        <f>AVERAGE(13.01,13.01,13.01,13.01,13.01,13.14)</f>
        <v>13.031666666666666</v>
      </c>
      <c r="H2125" s="892">
        <v>42.18</v>
      </c>
      <c r="I2125" s="893">
        <v>16.5</v>
      </c>
      <c r="J2125" s="735">
        <v>20.11</v>
      </c>
    </row>
    <row r="2126" spans="1:10" ht="13.5" thickBot="1">
      <c r="A2126" s="974" t="s">
        <v>600</v>
      </c>
      <c r="B2126" s="975">
        <f t="shared" ref="B2126:G2126" si="213">AVERAGE(B2122:B2125)</f>
        <v>25.387499999999999</v>
      </c>
      <c r="C2126" s="975">
        <f t="shared" si="213"/>
        <v>24.912500000000001</v>
      </c>
      <c r="D2126" s="975">
        <f t="shared" si="213"/>
        <v>23.817499999999999</v>
      </c>
      <c r="E2126" s="975">
        <f t="shared" si="213"/>
        <v>20.072499999999998</v>
      </c>
      <c r="F2126" s="975">
        <f t="shared" si="213"/>
        <v>27</v>
      </c>
      <c r="G2126" s="975">
        <f t="shared" si="213"/>
        <v>13.003387541666665</v>
      </c>
      <c r="H2126" s="975">
        <v>42.18</v>
      </c>
      <c r="I2126" s="975">
        <f>AVERAGE(I2122:I2125)</f>
        <v>16.5</v>
      </c>
      <c r="J2126" s="975">
        <f>AVERAGE(J2122:J2125)</f>
        <v>20.11</v>
      </c>
    </row>
    <row r="2127" spans="1:10" ht="13.5" thickBot="1"/>
    <row r="2128" spans="1:10">
      <c r="A2128" s="1677" t="s">
        <v>1</v>
      </c>
      <c r="B2128" s="965" t="s">
        <v>139</v>
      </c>
      <c r="C2128" s="965" t="s">
        <v>140</v>
      </c>
      <c r="D2128" s="965" t="s">
        <v>5</v>
      </c>
      <c r="E2128" s="965" t="s">
        <v>6</v>
      </c>
      <c r="F2128" s="966" t="s">
        <v>57</v>
      </c>
      <c r="G2128" s="967" t="s">
        <v>154</v>
      </c>
      <c r="H2128" s="968" t="s">
        <v>149</v>
      </c>
      <c r="I2128" s="969" t="s">
        <v>155</v>
      </c>
      <c r="J2128" s="968" t="s">
        <v>61</v>
      </c>
    </row>
    <row r="2129" spans="1:15" ht="13.5" thickBot="1">
      <c r="A2129" s="1678"/>
      <c r="B2129" s="970" t="s">
        <v>146</v>
      </c>
      <c r="C2129" s="970" t="s">
        <v>146</v>
      </c>
      <c r="D2129" s="970" t="s">
        <v>146</v>
      </c>
      <c r="E2129" s="970" t="s">
        <v>146</v>
      </c>
      <c r="F2129" s="971" t="s">
        <v>146</v>
      </c>
      <c r="G2129" s="972" t="s">
        <v>146</v>
      </c>
      <c r="H2129" s="973" t="s">
        <v>146</v>
      </c>
      <c r="I2129" s="973" t="s">
        <v>146</v>
      </c>
      <c r="J2129" s="973" t="s">
        <v>146</v>
      </c>
    </row>
    <row r="2130" spans="1:15">
      <c r="A2130" s="74">
        <v>43192</v>
      </c>
      <c r="B2130" s="139">
        <v>26.41</v>
      </c>
      <c r="C2130" s="318">
        <v>25.91</v>
      </c>
      <c r="D2130" s="318">
        <v>24.82</v>
      </c>
      <c r="E2130" s="318">
        <v>20.61</v>
      </c>
      <c r="F2130" s="940">
        <v>27</v>
      </c>
      <c r="G2130" s="721">
        <v>13.14</v>
      </c>
      <c r="H2130" s="892">
        <v>42.18</v>
      </c>
      <c r="I2130" s="893">
        <v>16.5</v>
      </c>
      <c r="J2130" s="894">
        <v>20.11</v>
      </c>
    </row>
    <row r="2131" spans="1:15">
      <c r="A2131" s="10">
        <v>43199</v>
      </c>
      <c r="B2131" s="139">
        <v>26.41</v>
      </c>
      <c r="C2131" s="318">
        <v>25.91</v>
      </c>
      <c r="D2131" s="318">
        <v>24.81</v>
      </c>
      <c r="E2131" s="318">
        <v>20.89</v>
      </c>
      <c r="F2131" s="257">
        <v>27</v>
      </c>
      <c r="G2131" s="134">
        <f>AVERAGE(13.13, 13.13,13.13,13.13,13.13,13.07)</f>
        <v>13.12</v>
      </c>
      <c r="H2131" s="892">
        <v>42.18</v>
      </c>
      <c r="I2131" s="893">
        <v>16.5</v>
      </c>
      <c r="J2131" s="735">
        <v>20.11</v>
      </c>
    </row>
    <row r="2132" spans="1:15">
      <c r="A2132" s="10">
        <v>43207</v>
      </c>
      <c r="B2132" s="139">
        <v>27</v>
      </c>
      <c r="C2132" s="318">
        <v>26.51</v>
      </c>
      <c r="D2132" s="318">
        <v>25.41</v>
      </c>
      <c r="E2132" s="318">
        <v>21.69</v>
      </c>
      <c r="F2132" s="554">
        <v>27</v>
      </c>
      <c r="G2132" s="134">
        <f>AVERAGE(13.13, 13.13,13.13,13.13,13.13,13.07)</f>
        <v>13.12</v>
      </c>
      <c r="H2132" s="892">
        <v>42.18</v>
      </c>
      <c r="I2132" s="893">
        <v>16.5</v>
      </c>
      <c r="J2132" s="735">
        <v>20.11</v>
      </c>
    </row>
    <row r="2133" spans="1:15" ht="13.5" thickBot="1">
      <c r="A2133" s="57">
        <v>43213</v>
      </c>
      <c r="B2133" s="139">
        <v>27</v>
      </c>
      <c r="C2133" s="318">
        <v>26.51</v>
      </c>
      <c r="D2133" s="318">
        <v>25.41</v>
      </c>
      <c r="E2133" s="318">
        <v>21.7</v>
      </c>
      <c r="F2133" s="554">
        <v>27</v>
      </c>
      <c r="G2133" s="724">
        <f>AVERAGE(13.12,13.47)</f>
        <v>13.295</v>
      </c>
      <c r="H2133" s="892">
        <v>42.18</v>
      </c>
      <c r="I2133" s="893">
        <v>19.5</v>
      </c>
      <c r="J2133" s="735">
        <v>20.11</v>
      </c>
    </row>
    <row r="2134" spans="1:15" ht="13.5" thickBot="1">
      <c r="A2134" s="974" t="s">
        <v>601</v>
      </c>
      <c r="B2134" s="975">
        <f t="shared" ref="B2134:G2134" si="214">AVERAGE(B2130:B2133)</f>
        <v>26.704999999999998</v>
      </c>
      <c r="C2134" s="975">
        <f t="shared" si="214"/>
        <v>26.21</v>
      </c>
      <c r="D2134" s="975">
        <f t="shared" si="214"/>
        <v>25.112499999999997</v>
      </c>
      <c r="E2134" s="975">
        <f t="shared" si="214"/>
        <v>21.2225</v>
      </c>
      <c r="F2134" s="975">
        <f t="shared" si="214"/>
        <v>27</v>
      </c>
      <c r="G2134" s="975">
        <f t="shared" si="214"/>
        <v>13.168749999999999</v>
      </c>
      <c r="H2134" s="975">
        <v>42.18</v>
      </c>
      <c r="I2134" s="975">
        <f>AVERAGE(I2130:I2133)</f>
        <v>17.25</v>
      </c>
      <c r="J2134" s="975">
        <f>AVERAGE(J2130:J2133)</f>
        <v>20.11</v>
      </c>
    </row>
    <row r="2135" spans="1:15" ht="13.5" thickBot="1">
      <c r="A2135" s="564"/>
      <c r="B2135" s="564"/>
      <c r="C2135" s="564"/>
      <c r="D2135" s="564"/>
      <c r="E2135" s="564"/>
      <c r="F2135" s="564"/>
      <c r="G2135" s="564"/>
      <c r="H2135" s="548"/>
      <c r="I2135" s="564"/>
      <c r="J2135" s="564"/>
    </row>
    <row r="2136" spans="1:15">
      <c r="A2136" s="1677" t="s">
        <v>1</v>
      </c>
      <c r="B2136" s="965" t="s">
        <v>139</v>
      </c>
      <c r="C2136" s="965" t="s">
        <v>140</v>
      </c>
      <c r="D2136" s="965" t="s">
        <v>5</v>
      </c>
      <c r="E2136" s="965" t="s">
        <v>6</v>
      </c>
      <c r="F2136" s="966" t="s">
        <v>57</v>
      </c>
      <c r="G2136" s="967" t="s">
        <v>154</v>
      </c>
      <c r="H2136" s="968" t="s">
        <v>149</v>
      </c>
      <c r="I2136" s="969" t="s">
        <v>155</v>
      </c>
      <c r="J2136" s="968" t="s">
        <v>61</v>
      </c>
    </row>
    <row r="2137" spans="1:15" ht="13.5" thickBot="1">
      <c r="A2137" s="1678"/>
      <c r="B2137" s="970" t="s">
        <v>146</v>
      </c>
      <c r="C2137" s="970" t="s">
        <v>146</v>
      </c>
      <c r="D2137" s="970" t="s">
        <v>146</v>
      </c>
      <c r="E2137" s="970" t="s">
        <v>146</v>
      </c>
      <c r="F2137" s="971" t="s">
        <v>146</v>
      </c>
      <c r="G2137" s="972" t="s">
        <v>146</v>
      </c>
      <c r="H2137" s="973" t="s">
        <v>146</v>
      </c>
      <c r="I2137" s="973" t="s">
        <v>146</v>
      </c>
      <c r="J2137" s="973" t="s">
        <v>146</v>
      </c>
    </row>
    <row r="2138" spans="1:15">
      <c r="A2138" s="74">
        <v>43222</v>
      </c>
      <c r="B2138" s="139">
        <v>27.51</v>
      </c>
      <c r="C2138" s="318">
        <v>27</v>
      </c>
      <c r="D2138" s="318">
        <v>25.91</v>
      </c>
      <c r="E2138" s="318">
        <v>21.7</v>
      </c>
      <c r="F2138" s="940">
        <v>27</v>
      </c>
      <c r="G2138" s="721">
        <v>13.72</v>
      </c>
      <c r="H2138" s="892">
        <v>41.75</v>
      </c>
      <c r="I2138" s="893">
        <v>19.5</v>
      </c>
      <c r="J2138" s="894">
        <v>20.11</v>
      </c>
    </row>
    <row r="2139" spans="1:15">
      <c r="A2139" s="10">
        <v>43224</v>
      </c>
      <c r="B2139" s="139">
        <v>27.5</v>
      </c>
      <c r="C2139" s="318">
        <v>27</v>
      </c>
      <c r="D2139" s="318">
        <v>25.91</v>
      </c>
      <c r="E2139" s="318">
        <v>21.68</v>
      </c>
      <c r="F2139" s="257">
        <v>28.5</v>
      </c>
      <c r="G2139" s="134">
        <v>13.9</v>
      </c>
      <c r="H2139" s="892">
        <v>41.75</v>
      </c>
      <c r="I2139" s="893">
        <v>19.5</v>
      </c>
      <c r="J2139" s="735">
        <v>20.11</v>
      </c>
    </row>
    <row r="2140" spans="1:15">
      <c r="A2140" s="10">
        <v>43234</v>
      </c>
      <c r="B2140" s="139">
        <v>27.88</v>
      </c>
      <c r="C2140" s="318">
        <v>27.4</v>
      </c>
      <c r="D2140" s="318">
        <v>26.3</v>
      </c>
      <c r="E2140" s="318">
        <v>22.3</v>
      </c>
      <c r="F2140" s="257">
        <v>28.5</v>
      </c>
      <c r="G2140" s="134">
        <v>14.55</v>
      </c>
      <c r="H2140" s="892">
        <v>41.75</v>
      </c>
      <c r="I2140" s="893">
        <v>19.5</v>
      </c>
      <c r="J2140" s="735">
        <v>20.11</v>
      </c>
    </row>
    <row r="2141" spans="1:15">
      <c r="A2141" s="10">
        <v>43241</v>
      </c>
      <c r="B2141" s="139">
        <v>28.38</v>
      </c>
      <c r="C2141" s="318">
        <v>27.87</v>
      </c>
      <c r="D2141" s="318">
        <v>26.77</v>
      </c>
      <c r="E2141" s="318">
        <v>22.89</v>
      </c>
      <c r="F2141" s="554">
        <v>28.5</v>
      </c>
      <c r="G2141" s="724">
        <v>14.95</v>
      </c>
      <c r="H2141" s="892">
        <v>41.75</v>
      </c>
      <c r="I2141" s="893">
        <v>19.5</v>
      </c>
      <c r="J2141" s="735">
        <v>20.11</v>
      </c>
      <c r="O2141" s="564">
        <v>44.43</v>
      </c>
    </row>
    <row r="2142" spans="1:15" ht="13.5" thickBot="1">
      <c r="A2142" s="57">
        <v>43248</v>
      </c>
      <c r="B2142" s="139">
        <v>28.39</v>
      </c>
      <c r="C2142" s="318">
        <v>27.89</v>
      </c>
      <c r="D2142" s="318">
        <v>26.79</v>
      </c>
      <c r="E2142" s="318">
        <v>22.9</v>
      </c>
      <c r="F2142" s="554">
        <v>28.5</v>
      </c>
      <c r="G2142" s="724">
        <v>15.25</v>
      </c>
      <c r="H2142" s="892">
        <v>41.75</v>
      </c>
      <c r="I2142" s="893">
        <v>19.5</v>
      </c>
      <c r="J2142" s="735">
        <v>20.11</v>
      </c>
    </row>
    <row r="2143" spans="1:15" ht="13.5" thickBot="1">
      <c r="A2143" s="974" t="s">
        <v>607</v>
      </c>
      <c r="B2143" s="975">
        <f>AVERAGE(B2138:B2142)</f>
        <v>27.931999999999999</v>
      </c>
      <c r="C2143" s="975">
        <f t="shared" ref="C2143:J2143" si="215">AVERAGE(C2138:C2142)</f>
        <v>27.432000000000006</v>
      </c>
      <c r="D2143" s="975">
        <f t="shared" si="215"/>
        <v>26.336000000000002</v>
      </c>
      <c r="E2143" s="975">
        <f t="shared" si="215"/>
        <v>22.294</v>
      </c>
      <c r="F2143" s="975">
        <f t="shared" si="215"/>
        <v>28.2</v>
      </c>
      <c r="G2143" s="975">
        <f t="shared" si="215"/>
        <v>14.474</v>
      </c>
      <c r="H2143" s="975">
        <f t="shared" si="215"/>
        <v>41.75</v>
      </c>
      <c r="I2143" s="975">
        <f t="shared" si="215"/>
        <v>19.5</v>
      </c>
      <c r="J2143" s="975">
        <f t="shared" si="215"/>
        <v>20.11</v>
      </c>
    </row>
    <row r="2144" spans="1:15" ht="13.5" thickBot="1"/>
    <row r="2145" spans="1:10">
      <c r="A2145" s="1677" t="s">
        <v>1</v>
      </c>
      <c r="B2145" s="965" t="s">
        <v>139</v>
      </c>
      <c r="C2145" s="965" t="s">
        <v>140</v>
      </c>
      <c r="D2145" s="965" t="s">
        <v>5</v>
      </c>
      <c r="E2145" s="965" t="s">
        <v>6</v>
      </c>
      <c r="F2145" s="966" t="s">
        <v>57</v>
      </c>
      <c r="G2145" s="967" t="s">
        <v>154</v>
      </c>
      <c r="H2145" s="968" t="s">
        <v>149</v>
      </c>
      <c r="I2145" s="969" t="s">
        <v>155</v>
      </c>
      <c r="J2145" s="968" t="s">
        <v>61</v>
      </c>
    </row>
    <row r="2146" spans="1:10" ht="13.5" thickBot="1">
      <c r="A2146" s="1678"/>
      <c r="B2146" s="970" t="s">
        <v>146</v>
      </c>
      <c r="C2146" s="970" t="s">
        <v>146</v>
      </c>
      <c r="D2146" s="970" t="s">
        <v>146</v>
      </c>
      <c r="E2146" s="970" t="s">
        <v>146</v>
      </c>
      <c r="F2146" s="971" t="s">
        <v>146</v>
      </c>
      <c r="G2146" s="972" t="s">
        <v>146</v>
      </c>
      <c r="H2146" s="973" t="s">
        <v>146</v>
      </c>
      <c r="I2146" s="973" t="s">
        <v>146</v>
      </c>
      <c r="J2146" s="973" t="s">
        <v>146</v>
      </c>
    </row>
    <row r="2147" spans="1:10">
      <c r="A2147" s="74">
        <v>43255</v>
      </c>
      <c r="B2147" s="139">
        <v>28.15</v>
      </c>
      <c r="C2147" s="318">
        <v>27.62</v>
      </c>
      <c r="D2147" s="318">
        <v>26.53</v>
      </c>
      <c r="E2147" s="318">
        <v>22.53</v>
      </c>
      <c r="F2147" s="257">
        <v>28.5</v>
      </c>
      <c r="G2147" s="721">
        <v>15.25</v>
      </c>
      <c r="H2147" s="892">
        <v>44.43</v>
      </c>
      <c r="I2147" s="893">
        <v>19.5</v>
      </c>
      <c r="J2147" s="894">
        <v>20.11</v>
      </c>
    </row>
    <row r="2148" spans="1:10">
      <c r="A2148" s="10">
        <v>43262</v>
      </c>
      <c r="B2148" s="139">
        <v>27.52</v>
      </c>
      <c r="C2148" s="318">
        <v>27.05</v>
      </c>
      <c r="D2148" s="318">
        <v>25.96</v>
      </c>
      <c r="E2148" s="318">
        <v>22.03</v>
      </c>
      <c r="F2148" s="257">
        <v>28.5</v>
      </c>
      <c r="G2148" s="134">
        <v>15.13</v>
      </c>
      <c r="H2148" s="892">
        <v>44.43</v>
      </c>
      <c r="I2148" s="893">
        <v>19.5</v>
      </c>
      <c r="J2148" s="735">
        <v>20.11</v>
      </c>
    </row>
    <row r="2149" spans="1:10">
      <c r="A2149" s="10">
        <v>43269</v>
      </c>
      <c r="B2149" s="139">
        <v>27.51</v>
      </c>
      <c r="C2149" s="318">
        <v>27.01</v>
      </c>
      <c r="D2149" s="318">
        <v>25.91</v>
      </c>
      <c r="E2149" s="318">
        <v>22</v>
      </c>
      <c r="F2149" s="554">
        <v>28.5</v>
      </c>
      <c r="G2149" s="134">
        <v>15.1</v>
      </c>
      <c r="H2149" s="892">
        <v>44.43</v>
      </c>
      <c r="I2149" s="893">
        <v>19.5</v>
      </c>
      <c r="J2149" s="735">
        <v>20.11</v>
      </c>
    </row>
    <row r="2150" spans="1:10" ht="13.5" thickBot="1">
      <c r="A2150" s="10">
        <v>43276</v>
      </c>
      <c r="B2150" s="139">
        <v>27.03</v>
      </c>
      <c r="C2150" s="318">
        <v>26.57</v>
      </c>
      <c r="D2150" s="318">
        <v>25.47</v>
      </c>
      <c r="E2150" s="318">
        <v>21.84</v>
      </c>
      <c r="F2150" s="554">
        <v>28.5</v>
      </c>
      <c r="G2150" s="724">
        <v>15.1</v>
      </c>
      <c r="H2150" s="892">
        <v>44.43</v>
      </c>
      <c r="I2150" s="893">
        <v>19.5</v>
      </c>
      <c r="J2150" s="735">
        <v>20.11</v>
      </c>
    </row>
    <row r="2151" spans="1:10" ht="13.5" thickBot="1">
      <c r="A2151" s="974" t="s">
        <v>608</v>
      </c>
      <c r="B2151" s="975">
        <f t="shared" ref="B2151:J2151" si="216">AVERAGE(B2147:B2150)</f>
        <v>27.552500000000002</v>
      </c>
      <c r="C2151" s="975">
        <f t="shared" si="216"/>
        <v>27.0625</v>
      </c>
      <c r="D2151" s="975">
        <f t="shared" si="216"/>
        <v>25.967500000000001</v>
      </c>
      <c r="E2151" s="975">
        <f t="shared" si="216"/>
        <v>22.1</v>
      </c>
      <c r="F2151" s="975">
        <f t="shared" si="216"/>
        <v>28.5</v>
      </c>
      <c r="G2151" s="975">
        <f t="shared" si="216"/>
        <v>15.145000000000001</v>
      </c>
      <c r="H2151" s="975">
        <f t="shared" si="216"/>
        <v>44.43</v>
      </c>
      <c r="I2151" s="975">
        <f t="shared" si="216"/>
        <v>19.5</v>
      </c>
      <c r="J2151" s="975">
        <f t="shared" si="216"/>
        <v>20.11</v>
      </c>
    </row>
    <row r="2152" spans="1:10" ht="13.5" thickBot="1"/>
    <row r="2153" spans="1:10">
      <c r="A2153" s="1677" t="s">
        <v>1</v>
      </c>
      <c r="B2153" s="965" t="s">
        <v>139</v>
      </c>
      <c r="C2153" s="965" t="s">
        <v>140</v>
      </c>
      <c r="D2153" s="965" t="s">
        <v>5</v>
      </c>
      <c r="E2153" s="965" t="s">
        <v>6</v>
      </c>
      <c r="F2153" s="966" t="s">
        <v>57</v>
      </c>
      <c r="G2153" s="967" t="s">
        <v>154</v>
      </c>
      <c r="H2153" s="968" t="s">
        <v>149</v>
      </c>
      <c r="I2153" s="969" t="s">
        <v>155</v>
      </c>
      <c r="J2153" s="968" t="s">
        <v>61</v>
      </c>
    </row>
    <row r="2154" spans="1:10" ht="13.5" thickBot="1">
      <c r="A2154" s="1678"/>
      <c r="B2154" s="970" t="s">
        <v>146</v>
      </c>
      <c r="C2154" s="970" t="s">
        <v>146</v>
      </c>
      <c r="D2154" s="970" t="s">
        <v>146</v>
      </c>
      <c r="E2154" s="970" t="s">
        <v>146</v>
      </c>
      <c r="F2154" s="970" t="s">
        <v>146</v>
      </c>
      <c r="G2154" s="1010" t="s">
        <v>146</v>
      </c>
      <c r="H2154" s="1011" t="s">
        <v>146</v>
      </c>
      <c r="I2154" s="1011" t="s">
        <v>146</v>
      </c>
      <c r="J2154" s="1011" t="s">
        <v>146</v>
      </c>
    </row>
    <row r="2155" spans="1:10">
      <c r="A2155" s="1009">
        <v>43284</v>
      </c>
      <c r="B2155" s="318">
        <v>27.5</v>
      </c>
      <c r="C2155" s="318">
        <v>27</v>
      </c>
      <c r="D2155" s="318">
        <v>25.89</v>
      </c>
      <c r="E2155" s="318">
        <v>22.19</v>
      </c>
      <c r="F2155" s="257">
        <v>28.5</v>
      </c>
      <c r="G2155" s="318">
        <v>15.43</v>
      </c>
      <c r="H2155" s="766">
        <v>47</v>
      </c>
      <c r="I2155" s="547">
        <v>19.5</v>
      </c>
      <c r="J2155" s="547">
        <v>20.11</v>
      </c>
    </row>
    <row r="2156" spans="1:10">
      <c r="A2156" s="103">
        <v>43290</v>
      </c>
      <c r="B2156" s="318">
        <v>27.51</v>
      </c>
      <c r="C2156" s="318">
        <v>27</v>
      </c>
      <c r="D2156" s="318">
        <v>25.9</v>
      </c>
      <c r="E2156" s="318">
        <v>22.2</v>
      </c>
      <c r="F2156" s="257">
        <v>28.5</v>
      </c>
      <c r="G2156" s="134">
        <v>15.64</v>
      </c>
      <c r="H2156" s="766">
        <v>47</v>
      </c>
      <c r="I2156" s="547">
        <v>19.5</v>
      </c>
      <c r="J2156" s="547">
        <v>20.11</v>
      </c>
    </row>
    <row r="2157" spans="1:10">
      <c r="A2157" s="103">
        <v>43297</v>
      </c>
      <c r="B2157" s="318">
        <v>27.81</v>
      </c>
      <c r="C2157" s="318">
        <v>27.31</v>
      </c>
      <c r="D2157" s="318">
        <v>26.22</v>
      </c>
      <c r="E2157" s="318">
        <v>22.41</v>
      </c>
      <c r="F2157" s="257">
        <v>30</v>
      </c>
      <c r="G2157" s="134">
        <v>15.68</v>
      </c>
      <c r="H2157" s="766">
        <v>47</v>
      </c>
      <c r="I2157" s="547">
        <v>19.5</v>
      </c>
      <c r="J2157" s="547">
        <v>20.11</v>
      </c>
    </row>
    <row r="2158" spans="1:10">
      <c r="A2158" s="103">
        <v>43304</v>
      </c>
      <c r="B2158" s="318">
        <v>27.31</v>
      </c>
      <c r="C2158" s="318">
        <v>26.83</v>
      </c>
      <c r="D2158" s="318">
        <v>25.74</v>
      </c>
      <c r="E2158" s="318">
        <v>21.85</v>
      </c>
      <c r="F2158" s="257">
        <v>30</v>
      </c>
      <c r="G2158" s="21">
        <v>15.924999999999999</v>
      </c>
      <c r="H2158" s="766">
        <v>47</v>
      </c>
      <c r="I2158" s="547">
        <v>19.5</v>
      </c>
      <c r="J2158" s="547">
        <v>20.11</v>
      </c>
    </row>
    <row r="2159" spans="1:10" ht="13.5" thickBot="1">
      <c r="A2159" s="103">
        <v>43311</v>
      </c>
      <c r="B2159" s="318">
        <v>27.3</v>
      </c>
      <c r="C2159" s="318">
        <v>26.81</v>
      </c>
      <c r="D2159" s="318">
        <v>25.72</v>
      </c>
      <c r="E2159" s="318">
        <v>21.82</v>
      </c>
      <c r="F2159" s="257">
        <v>30</v>
      </c>
      <c r="G2159" s="134">
        <v>15.88</v>
      </c>
      <c r="H2159" s="766">
        <v>47</v>
      </c>
      <c r="I2159" s="547">
        <v>19.5</v>
      </c>
      <c r="J2159" s="547">
        <v>20.11</v>
      </c>
    </row>
    <row r="2160" spans="1:10" ht="13.5" thickBot="1">
      <c r="A2160" s="974" t="s">
        <v>609</v>
      </c>
      <c r="B2160" s="975">
        <f t="shared" ref="B2160:J2160" si="217">AVERAGE(B2155:B2159)</f>
        <v>27.486000000000001</v>
      </c>
      <c r="C2160" s="975">
        <f t="shared" si="217"/>
        <v>26.99</v>
      </c>
      <c r="D2160" s="975">
        <f t="shared" si="217"/>
        <v>25.893999999999995</v>
      </c>
      <c r="E2160" s="975">
        <f t="shared" si="217"/>
        <v>22.094000000000001</v>
      </c>
      <c r="F2160" s="975">
        <f t="shared" si="217"/>
        <v>29.4</v>
      </c>
      <c r="G2160" s="975">
        <f t="shared" si="217"/>
        <v>15.710999999999999</v>
      </c>
      <c r="H2160" s="975">
        <f t="shared" si="217"/>
        <v>47</v>
      </c>
      <c r="I2160" s="975">
        <f t="shared" si="217"/>
        <v>19.5</v>
      </c>
      <c r="J2160" s="975">
        <f t="shared" si="217"/>
        <v>20.11</v>
      </c>
    </row>
    <row r="2161" spans="1:10" ht="13.5" thickBot="1"/>
    <row r="2162" spans="1:10">
      <c r="A2162" s="1677" t="s">
        <v>1</v>
      </c>
      <c r="B2162" s="965" t="s">
        <v>139</v>
      </c>
      <c r="C2162" s="965" t="s">
        <v>140</v>
      </c>
      <c r="D2162" s="965" t="s">
        <v>5</v>
      </c>
      <c r="E2162" s="965" t="s">
        <v>6</v>
      </c>
      <c r="F2162" s="966" t="s">
        <v>57</v>
      </c>
      <c r="G2162" s="967" t="s">
        <v>154</v>
      </c>
      <c r="H2162" s="968" t="s">
        <v>149</v>
      </c>
      <c r="I2162" s="969" t="s">
        <v>155</v>
      </c>
      <c r="J2162" s="968" t="s">
        <v>61</v>
      </c>
    </row>
    <row r="2163" spans="1:10" ht="13.5" thickBot="1">
      <c r="A2163" s="1678"/>
      <c r="B2163" s="970" t="s">
        <v>146</v>
      </c>
      <c r="C2163" s="970" t="s">
        <v>146</v>
      </c>
      <c r="D2163" s="970" t="s">
        <v>146</v>
      </c>
      <c r="E2163" s="970" t="s">
        <v>146</v>
      </c>
      <c r="F2163" s="970" t="s">
        <v>146</v>
      </c>
      <c r="G2163" s="1010" t="s">
        <v>146</v>
      </c>
      <c r="H2163" s="1011" t="s">
        <v>146</v>
      </c>
      <c r="I2163" s="1011" t="s">
        <v>146</v>
      </c>
      <c r="J2163" s="1011" t="s">
        <v>146</v>
      </c>
    </row>
    <row r="2164" spans="1:10">
      <c r="A2164" s="1009">
        <v>43318</v>
      </c>
      <c r="B2164" s="318">
        <v>27.82</v>
      </c>
      <c r="C2164" s="318">
        <v>27.3</v>
      </c>
      <c r="D2164" s="318">
        <v>26.2</v>
      </c>
      <c r="E2164" s="318">
        <v>22.21</v>
      </c>
      <c r="F2164" s="257">
        <v>30</v>
      </c>
      <c r="G2164" s="318">
        <v>15.88</v>
      </c>
      <c r="H2164" s="766">
        <v>47</v>
      </c>
      <c r="I2164" s="547">
        <v>19.5</v>
      </c>
      <c r="J2164" s="547">
        <v>20.11</v>
      </c>
    </row>
    <row r="2165" spans="1:10">
      <c r="A2165" s="103">
        <v>43325</v>
      </c>
      <c r="B2165" s="318">
        <v>27.5</v>
      </c>
      <c r="C2165" s="318">
        <v>27.02</v>
      </c>
      <c r="D2165" s="318">
        <v>25.92</v>
      </c>
      <c r="E2165" s="318">
        <v>22.01</v>
      </c>
      <c r="F2165" s="257">
        <v>30</v>
      </c>
      <c r="G2165" s="134">
        <v>15.63</v>
      </c>
      <c r="H2165" s="766">
        <v>47</v>
      </c>
      <c r="I2165" s="547">
        <v>19.5</v>
      </c>
      <c r="J2165" s="547">
        <v>20.11</v>
      </c>
    </row>
    <row r="2166" spans="1:10">
      <c r="A2166" s="103">
        <v>43332</v>
      </c>
      <c r="B2166" s="318">
        <v>27.32</v>
      </c>
      <c r="C2166" s="318">
        <v>26.81</v>
      </c>
      <c r="D2166" s="318">
        <v>25.65</v>
      </c>
      <c r="E2166" s="318">
        <v>21.73</v>
      </c>
      <c r="F2166" s="257">
        <v>30</v>
      </c>
      <c r="G2166" s="134">
        <v>15.48</v>
      </c>
      <c r="H2166" s="766">
        <v>47</v>
      </c>
      <c r="I2166" s="547">
        <v>19.5</v>
      </c>
      <c r="J2166" s="547">
        <v>20.11</v>
      </c>
    </row>
    <row r="2167" spans="1:10" ht="13.5" thickBot="1">
      <c r="A2167" s="103">
        <v>43339</v>
      </c>
      <c r="B2167" s="318">
        <v>27.6</v>
      </c>
      <c r="C2167" s="318">
        <v>27.09</v>
      </c>
      <c r="D2167" s="318">
        <v>25.91</v>
      </c>
      <c r="E2167" s="318">
        <v>22.26</v>
      </c>
      <c r="F2167" s="257">
        <v>30</v>
      </c>
      <c r="G2167" s="134">
        <v>15.2</v>
      </c>
      <c r="H2167" s="766">
        <v>47</v>
      </c>
      <c r="I2167" s="547">
        <v>19.5</v>
      </c>
      <c r="J2167" s="547">
        <v>20.11</v>
      </c>
    </row>
    <row r="2168" spans="1:10" ht="13.5" thickBot="1">
      <c r="A2168" s="974" t="s">
        <v>610</v>
      </c>
      <c r="B2168" s="975">
        <f t="shared" ref="B2168:H2168" si="218">AVERAGE(B2164:B2167)</f>
        <v>27.560000000000002</v>
      </c>
      <c r="C2168" s="975">
        <f t="shared" si="218"/>
        <v>27.055</v>
      </c>
      <c r="D2168" s="975">
        <f t="shared" si="218"/>
        <v>25.92</v>
      </c>
      <c r="E2168" s="975">
        <f t="shared" si="218"/>
        <v>22.052500000000002</v>
      </c>
      <c r="F2168" s="975">
        <f t="shared" si="218"/>
        <v>30</v>
      </c>
      <c r="G2168" s="975">
        <f t="shared" si="218"/>
        <v>15.547499999999999</v>
      </c>
      <c r="H2168" s="975">
        <f t="shared" si="218"/>
        <v>47</v>
      </c>
      <c r="I2168" s="975">
        <f>AVERAGE(I2164:I2167)</f>
        <v>19.5</v>
      </c>
      <c r="J2168" s="975">
        <f>AVERAGE(J2164:J2167)</f>
        <v>20.11</v>
      </c>
    </row>
    <row r="2169" spans="1:10" ht="13.5" thickBot="1"/>
    <row r="2170" spans="1:10">
      <c r="A2170" s="1677" t="s">
        <v>1</v>
      </c>
      <c r="B2170" s="965" t="s">
        <v>139</v>
      </c>
      <c r="C2170" s="965" t="s">
        <v>140</v>
      </c>
      <c r="D2170" s="965" t="s">
        <v>5</v>
      </c>
      <c r="E2170" s="965" t="s">
        <v>6</v>
      </c>
      <c r="F2170" s="966" t="s">
        <v>57</v>
      </c>
      <c r="G2170" s="967" t="s">
        <v>154</v>
      </c>
      <c r="H2170" s="968" t="s">
        <v>149</v>
      </c>
      <c r="I2170" s="969" t="s">
        <v>155</v>
      </c>
      <c r="J2170" s="968" t="s">
        <v>61</v>
      </c>
    </row>
    <row r="2171" spans="1:10" ht="13.5" thickBot="1">
      <c r="A2171" s="1678"/>
      <c r="B2171" s="970" t="s">
        <v>146</v>
      </c>
      <c r="C2171" s="970" t="s">
        <v>146</v>
      </c>
      <c r="D2171" s="970" t="s">
        <v>146</v>
      </c>
      <c r="E2171" s="970" t="s">
        <v>146</v>
      </c>
      <c r="F2171" s="970" t="s">
        <v>146</v>
      </c>
      <c r="G2171" s="1010" t="s">
        <v>146</v>
      </c>
      <c r="H2171" s="1011" t="s">
        <v>146</v>
      </c>
      <c r="I2171" s="1011" t="s">
        <v>146</v>
      </c>
      <c r="J2171" s="1011" t="s">
        <v>146</v>
      </c>
    </row>
    <row r="2172" spans="1:10">
      <c r="A2172" s="10">
        <v>43346</v>
      </c>
      <c r="B2172" s="318">
        <v>28</v>
      </c>
      <c r="C2172" s="318">
        <v>27.5</v>
      </c>
      <c r="D2172" s="318">
        <v>26.3</v>
      </c>
      <c r="E2172" s="318">
        <v>22.69</v>
      </c>
      <c r="F2172" s="257">
        <v>30</v>
      </c>
      <c r="G2172" s="318">
        <v>15.4</v>
      </c>
      <c r="H2172" s="766">
        <v>48.75</v>
      </c>
      <c r="I2172" s="547">
        <v>21.43</v>
      </c>
      <c r="J2172" s="547">
        <v>20.11</v>
      </c>
    </row>
    <row r="2173" spans="1:10">
      <c r="A2173" s="10">
        <v>43353</v>
      </c>
      <c r="B2173" s="318">
        <v>28</v>
      </c>
      <c r="C2173" s="318">
        <v>27.5</v>
      </c>
      <c r="D2173" s="318">
        <v>26.31</v>
      </c>
      <c r="E2173" s="318">
        <v>22.99</v>
      </c>
      <c r="F2173" s="257">
        <v>30</v>
      </c>
      <c r="G2173" s="134">
        <v>15.4</v>
      </c>
      <c r="H2173" s="766">
        <v>48.75</v>
      </c>
      <c r="I2173" s="547">
        <v>21.75</v>
      </c>
      <c r="J2173" s="547">
        <v>20.11</v>
      </c>
    </row>
    <row r="2174" spans="1:10">
      <c r="A2174" s="10">
        <v>43360</v>
      </c>
      <c r="B2174" s="318">
        <v>27.7</v>
      </c>
      <c r="C2174" s="318">
        <v>27.21</v>
      </c>
      <c r="D2174" s="318">
        <v>26.01</v>
      </c>
      <c r="E2174" s="318">
        <v>23.2</v>
      </c>
      <c r="F2174" s="257">
        <v>30</v>
      </c>
      <c r="G2174" s="134">
        <v>15.4</v>
      </c>
      <c r="H2174" s="766">
        <v>48.75</v>
      </c>
      <c r="I2174" s="547">
        <v>21.76</v>
      </c>
      <c r="J2174" s="547">
        <v>20.11</v>
      </c>
    </row>
    <row r="2175" spans="1:10" ht="13.5" thickBot="1">
      <c r="A2175" s="10">
        <v>43367</v>
      </c>
      <c r="B2175" s="318">
        <v>27.5</v>
      </c>
      <c r="C2175" s="318">
        <v>27.03</v>
      </c>
      <c r="D2175" s="318">
        <v>25.83</v>
      </c>
      <c r="E2175" s="318">
        <v>23.02</v>
      </c>
      <c r="F2175" s="257">
        <v>30</v>
      </c>
      <c r="G2175" s="134">
        <v>15.4</v>
      </c>
      <c r="H2175" s="766">
        <v>48.75</v>
      </c>
      <c r="I2175" s="547">
        <v>21.76</v>
      </c>
      <c r="J2175" s="547">
        <v>20.11</v>
      </c>
    </row>
    <row r="2176" spans="1:10" ht="13.5" thickBot="1">
      <c r="A2176" s="974" t="s">
        <v>613</v>
      </c>
      <c r="B2176" s="975">
        <f t="shared" ref="B2176:H2176" si="219">AVERAGE(B2172:B2175)</f>
        <v>27.8</v>
      </c>
      <c r="C2176" s="975">
        <f t="shared" si="219"/>
        <v>27.310000000000002</v>
      </c>
      <c r="D2176" s="975">
        <f t="shared" si="219"/>
        <v>26.112500000000001</v>
      </c>
      <c r="E2176" s="975">
        <f t="shared" si="219"/>
        <v>22.974999999999998</v>
      </c>
      <c r="F2176" s="975">
        <f t="shared" si="219"/>
        <v>30</v>
      </c>
      <c r="G2176" s="975">
        <f t="shared" si="219"/>
        <v>15.4</v>
      </c>
      <c r="H2176" s="975">
        <f t="shared" si="219"/>
        <v>48.75</v>
      </c>
      <c r="I2176" s="975">
        <f>AVERAGE(I2172:I2175)</f>
        <v>21.675000000000001</v>
      </c>
      <c r="J2176" s="975">
        <f>AVERAGE(J2172:J2175)</f>
        <v>20.11</v>
      </c>
    </row>
    <row r="2177" spans="1:10" ht="13.5" thickBot="1"/>
    <row r="2178" spans="1:10">
      <c r="A2178" s="1677" t="s">
        <v>1</v>
      </c>
      <c r="B2178" s="965" t="s">
        <v>139</v>
      </c>
      <c r="C2178" s="965" t="s">
        <v>140</v>
      </c>
      <c r="D2178" s="965" t="s">
        <v>5</v>
      </c>
      <c r="E2178" s="965" t="s">
        <v>6</v>
      </c>
      <c r="F2178" s="966" t="s">
        <v>57</v>
      </c>
      <c r="G2178" s="967" t="s">
        <v>154</v>
      </c>
      <c r="H2178" s="968" t="s">
        <v>149</v>
      </c>
      <c r="I2178" s="969" t="s">
        <v>155</v>
      </c>
      <c r="J2178" s="968" t="s">
        <v>61</v>
      </c>
    </row>
    <row r="2179" spans="1:10" ht="13.5" thickBot="1">
      <c r="A2179" s="1678"/>
      <c r="B2179" s="970" t="s">
        <v>146</v>
      </c>
      <c r="C2179" s="970" t="s">
        <v>146</v>
      </c>
      <c r="D2179" s="970" t="s">
        <v>146</v>
      </c>
      <c r="E2179" s="970" t="s">
        <v>146</v>
      </c>
      <c r="F2179" s="970" t="s">
        <v>146</v>
      </c>
      <c r="G2179" s="1010" t="s">
        <v>146</v>
      </c>
      <c r="H2179" s="1011" t="s">
        <v>146</v>
      </c>
      <c r="I2179" s="1011" t="s">
        <v>146</v>
      </c>
      <c r="J2179" s="1011" t="s">
        <v>146</v>
      </c>
    </row>
    <row r="2180" spans="1:10">
      <c r="A2180" s="1009">
        <v>43374</v>
      </c>
      <c r="B2180" s="1015">
        <v>27.51</v>
      </c>
      <c r="C2180" s="730">
        <v>27.19</v>
      </c>
      <c r="D2180" s="730">
        <v>26</v>
      </c>
      <c r="E2180" s="730">
        <v>23.16</v>
      </c>
      <c r="F2180" s="731">
        <v>30</v>
      </c>
      <c r="G2180" s="730">
        <v>15.7</v>
      </c>
      <c r="H2180" s="752">
        <v>48.75</v>
      </c>
      <c r="I2180" s="715">
        <v>21.76</v>
      </c>
      <c r="J2180" s="733">
        <f>(128/5.966)</f>
        <v>21.454911163258465</v>
      </c>
    </row>
    <row r="2181" spans="1:10">
      <c r="A2181" s="103">
        <v>43381</v>
      </c>
      <c r="B2181" s="1016">
        <v>29.29</v>
      </c>
      <c r="C2181" s="318">
        <v>28.74</v>
      </c>
      <c r="D2181" s="318">
        <v>27.55</v>
      </c>
      <c r="E2181" s="318">
        <v>24.76</v>
      </c>
      <c r="F2181" s="257">
        <v>30</v>
      </c>
      <c r="G2181" s="134">
        <v>16</v>
      </c>
      <c r="H2181" s="766">
        <v>48.75</v>
      </c>
      <c r="I2181" s="547">
        <v>23.49</v>
      </c>
      <c r="J2181" s="735">
        <f>(128/5.966)</f>
        <v>21.454911163258465</v>
      </c>
    </row>
    <row r="2182" spans="1:10">
      <c r="A2182" s="764">
        <v>43388</v>
      </c>
      <c r="B2182" s="1016">
        <v>28.81</v>
      </c>
      <c r="C2182" s="318">
        <v>28.35</v>
      </c>
      <c r="D2182" s="318">
        <v>27.15</v>
      </c>
      <c r="E2182" s="318">
        <v>24.72</v>
      </c>
      <c r="F2182" s="257">
        <v>30</v>
      </c>
      <c r="G2182" s="134">
        <v>16</v>
      </c>
      <c r="H2182" s="766">
        <v>48.75</v>
      </c>
      <c r="I2182" s="547">
        <v>23.35</v>
      </c>
      <c r="J2182" s="735">
        <f>(128/5.966)</f>
        <v>21.454911163258465</v>
      </c>
    </row>
    <row r="2183" spans="1:10">
      <c r="A2183" s="103">
        <v>43396</v>
      </c>
      <c r="B2183" s="1016">
        <v>27.82</v>
      </c>
      <c r="C2183" s="318">
        <v>27.36</v>
      </c>
      <c r="D2183" s="318">
        <v>26.23</v>
      </c>
      <c r="E2183" s="318">
        <v>24.29</v>
      </c>
      <c r="F2183" s="257">
        <v>32</v>
      </c>
      <c r="G2183" s="134">
        <v>16</v>
      </c>
      <c r="H2183" s="766">
        <v>48.75</v>
      </c>
      <c r="I2183" s="547">
        <v>23.35</v>
      </c>
      <c r="J2183" s="735">
        <f>(128/5.966)</f>
        <v>21.454911163258465</v>
      </c>
    </row>
    <row r="2184" spans="1:10" ht="13.5" thickBot="1">
      <c r="A2184" s="1022">
        <v>43402</v>
      </c>
      <c r="B2184" s="1017">
        <v>27.02</v>
      </c>
      <c r="C2184" s="1018">
        <v>26.64</v>
      </c>
      <c r="D2184" s="1018">
        <v>25.46</v>
      </c>
      <c r="E2184" s="1018">
        <v>24.03</v>
      </c>
      <c r="F2184" s="1019">
        <v>32</v>
      </c>
      <c r="G2184" s="718">
        <v>16.2</v>
      </c>
      <c r="H2184" s="1023">
        <v>48.75</v>
      </c>
      <c r="I2184" s="719">
        <v>23.35</v>
      </c>
      <c r="J2184" s="1020">
        <f>(128/5.966)</f>
        <v>21.454911163258465</v>
      </c>
    </row>
    <row r="2185" spans="1:10" ht="13.5" thickBot="1">
      <c r="A2185" s="974" t="s">
        <v>614</v>
      </c>
      <c r="B2185" s="975">
        <f>AVERAGE(B2180:B2184)</f>
        <v>28.090000000000003</v>
      </c>
      <c r="C2185" s="975">
        <f>AVERAGE(C2180:C2184)</f>
        <v>27.655999999999999</v>
      </c>
      <c r="D2185" s="975">
        <f>AVERAGE(D2180:D2184)</f>
        <v>26.477999999999998</v>
      </c>
      <c r="E2185" s="975">
        <f t="shared" ref="E2185:J2185" si="220">AVERAGE(E2180:E2184)</f>
        <v>24.192</v>
      </c>
      <c r="F2185" s="975">
        <f t="shared" si="220"/>
        <v>30.8</v>
      </c>
      <c r="G2185" s="975">
        <f>AVERAGE(G2180:G2184)</f>
        <v>15.98</v>
      </c>
      <c r="H2185" s="975">
        <f t="shared" si="220"/>
        <v>48.75</v>
      </c>
      <c r="I2185" s="975">
        <f t="shared" si="220"/>
        <v>23.059999999999995</v>
      </c>
      <c r="J2185" s="975">
        <f t="shared" si="220"/>
        <v>21.454911163258465</v>
      </c>
    </row>
    <row r="2186" spans="1:10" ht="13.5" thickBot="1"/>
    <row r="2187" spans="1:10">
      <c r="A2187" s="1677" t="s">
        <v>1</v>
      </c>
      <c r="B2187" s="965" t="s">
        <v>139</v>
      </c>
      <c r="C2187" s="965" t="s">
        <v>140</v>
      </c>
      <c r="D2187" s="965" t="s">
        <v>5</v>
      </c>
      <c r="E2187" s="965" t="s">
        <v>6</v>
      </c>
      <c r="F2187" s="966" t="s">
        <v>57</v>
      </c>
      <c r="G2187" s="967" t="s">
        <v>154</v>
      </c>
      <c r="H2187" s="968" t="s">
        <v>149</v>
      </c>
      <c r="I2187" s="969" t="s">
        <v>155</v>
      </c>
      <c r="J2187" s="968" t="s">
        <v>61</v>
      </c>
    </row>
    <row r="2188" spans="1:10" ht="13.5" thickBot="1">
      <c r="A2188" s="1678"/>
      <c r="B2188" s="970" t="s">
        <v>146</v>
      </c>
      <c r="C2188" s="970" t="s">
        <v>146</v>
      </c>
      <c r="D2188" s="970" t="s">
        <v>146</v>
      </c>
      <c r="E2188" s="970" t="s">
        <v>146</v>
      </c>
      <c r="F2188" s="970" t="s">
        <v>146</v>
      </c>
      <c r="G2188" s="1010" t="s">
        <v>146</v>
      </c>
      <c r="H2188" s="1011" t="s">
        <v>146</v>
      </c>
      <c r="I2188" s="1011" t="s">
        <v>146</v>
      </c>
      <c r="J2188" s="1011" t="s">
        <v>146</v>
      </c>
    </row>
    <row r="2189" spans="1:10">
      <c r="A2189" s="74">
        <v>43409</v>
      </c>
      <c r="B2189" s="1015">
        <v>26.52</v>
      </c>
      <c r="C2189" s="730">
        <v>26.11</v>
      </c>
      <c r="D2189" s="730">
        <v>24.91</v>
      </c>
      <c r="E2189" s="730">
        <v>23.72</v>
      </c>
      <c r="F2189" s="731">
        <v>32</v>
      </c>
      <c r="G2189" s="730">
        <v>16.2</v>
      </c>
      <c r="H2189" s="752">
        <v>50</v>
      </c>
      <c r="I2189" s="715">
        <v>23.09</v>
      </c>
      <c r="J2189" s="733">
        <f>(128/5.966)</f>
        <v>21.454911163258465</v>
      </c>
    </row>
    <row r="2190" spans="1:10">
      <c r="A2190" s="10">
        <v>43416</v>
      </c>
      <c r="B2190" s="1016">
        <v>25.94</v>
      </c>
      <c r="C2190" s="318">
        <v>25.58</v>
      </c>
      <c r="D2190" s="318">
        <v>24.38</v>
      </c>
      <c r="E2190" s="318">
        <v>23.39</v>
      </c>
      <c r="F2190" s="257">
        <v>33</v>
      </c>
      <c r="G2190" s="134">
        <v>16.2</v>
      </c>
      <c r="H2190" s="766">
        <v>50</v>
      </c>
      <c r="I2190" s="547">
        <v>23.6</v>
      </c>
      <c r="J2190" s="735">
        <f>(128/5.966)</f>
        <v>21.454911163258465</v>
      </c>
    </row>
    <row r="2191" spans="1:10">
      <c r="A2191" s="10">
        <v>43423</v>
      </c>
      <c r="B2191" s="1016">
        <v>24.91</v>
      </c>
      <c r="C2191" s="318">
        <v>24.46</v>
      </c>
      <c r="D2191" s="318">
        <v>23.26</v>
      </c>
      <c r="E2191" s="318">
        <v>22.54</v>
      </c>
      <c r="F2191" s="257">
        <v>33</v>
      </c>
      <c r="G2191" s="134">
        <v>16.2</v>
      </c>
      <c r="H2191" s="766">
        <v>50</v>
      </c>
      <c r="I2191" s="547">
        <v>23.09</v>
      </c>
      <c r="J2191" s="735">
        <f>(128/5.966)</f>
        <v>21.454911163258465</v>
      </c>
    </row>
    <row r="2192" spans="1:10" ht="13.5" thickBot="1">
      <c r="A2192" s="567">
        <v>43430</v>
      </c>
      <c r="B2192" s="1016">
        <v>24.05</v>
      </c>
      <c r="C2192" s="318">
        <v>23.64</v>
      </c>
      <c r="D2192" s="318">
        <v>22.45</v>
      </c>
      <c r="E2192" s="318">
        <v>21.84</v>
      </c>
      <c r="F2192" s="257">
        <v>32</v>
      </c>
      <c r="G2192" s="134">
        <v>16.13</v>
      </c>
      <c r="H2192" s="766">
        <v>50</v>
      </c>
      <c r="I2192" s="547">
        <v>23.6</v>
      </c>
      <c r="J2192" s="735">
        <f>(128/5.966)</f>
        <v>21.454911163258465</v>
      </c>
    </row>
    <row r="2193" spans="1:10" ht="13.5" thickBot="1">
      <c r="A2193" s="974" t="s">
        <v>615</v>
      </c>
      <c r="B2193" s="975">
        <f t="shared" ref="B2193:J2193" si="221">AVERAGE(B2189:B2192)</f>
        <v>25.355</v>
      </c>
      <c r="C2193" s="975">
        <f t="shared" si="221"/>
        <v>24.947500000000002</v>
      </c>
      <c r="D2193" s="975">
        <f t="shared" si="221"/>
        <v>23.75</v>
      </c>
      <c r="E2193" s="975">
        <f t="shared" si="221"/>
        <v>22.872500000000002</v>
      </c>
      <c r="F2193" s="975">
        <f t="shared" si="221"/>
        <v>32.5</v>
      </c>
      <c r="G2193" s="975">
        <f t="shared" si="221"/>
        <v>16.182499999999997</v>
      </c>
      <c r="H2193" s="975">
        <f t="shared" si="221"/>
        <v>50</v>
      </c>
      <c r="I2193" s="975">
        <f t="shared" si="221"/>
        <v>23.344999999999999</v>
      </c>
      <c r="J2193" s="975">
        <f t="shared" si="221"/>
        <v>21.454911163258465</v>
      </c>
    </row>
    <row r="2194" spans="1:10" ht="13.5" thickBot="1"/>
    <row r="2195" spans="1:10">
      <c r="A2195" s="1677" t="s">
        <v>1</v>
      </c>
      <c r="B2195" s="965" t="s">
        <v>139</v>
      </c>
      <c r="C2195" s="965" t="s">
        <v>140</v>
      </c>
      <c r="D2195" s="965" t="s">
        <v>5</v>
      </c>
      <c r="E2195" s="965" t="s">
        <v>6</v>
      </c>
      <c r="F2195" s="966" t="s">
        <v>57</v>
      </c>
      <c r="G2195" s="967" t="s">
        <v>154</v>
      </c>
      <c r="H2195" s="968" t="s">
        <v>149</v>
      </c>
      <c r="I2195" s="969" t="s">
        <v>155</v>
      </c>
      <c r="J2195" s="968" t="s">
        <v>61</v>
      </c>
    </row>
    <row r="2196" spans="1:10" ht="13.5" thickBot="1">
      <c r="A2196" s="1678"/>
      <c r="B2196" s="970" t="s">
        <v>146</v>
      </c>
      <c r="C2196" s="970" t="s">
        <v>146</v>
      </c>
      <c r="D2196" s="970" t="s">
        <v>146</v>
      </c>
      <c r="E2196" s="970" t="s">
        <v>146</v>
      </c>
      <c r="F2196" s="970" t="s">
        <v>146</v>
      </c>
      <c r="G2196" s="1010" t="s">
        <v>146</v>
      </c>
      <c r="H2196" s="1011" t="s">
        <v>146</v>
      </c>
      <c r="I2196" s="1011" t="s">
        <v>146</v>
      </c>
      <c r="J2196" s="1011" t="s">
        <v>146</v>
      </c>
    </row>
    <row r="2197" spans="1:10" ht="13.5" thickBot="1">
      <c r="A2197" s="74">
        <v>43437</v>
      </c>
      <c r="B2197" s="1015">
        <v>23.5</v>
      </c>
      <c r="C2197" s="730">
        <v>23.03</v>
      </c>
      <c r="D2197" s="730">
        <v>21.83</v>
      </c>
      <c r="E2197" s="730">
        <v>21.23</v>
      </c>
      <c r="F2197" s="731">
        <v>32</v>
      </c>
      <c r="G2197" s="730">
        <v>16.05</v>
      </c>
      <c r="H2197" s="752">
        <v>51</v>
      </c>
      <c r="I2197" s="715">
        <v>23.6</v>
      </c>
      <c r="J2197" s="735">
        <f>(123/5.966)</f>
        <v>20.616828695943681</v>
      </c>
    </row>
    <row r="2198" spans="1:10" ht="13.5" thickBot="1">
      <c r="A2198" s="10">
        <v>43444</v>
      </c>
      <c r="B2198" s="1016">
        <v>23.49</v>
      </c>
      <c r="C2198" s="318">
        <v>23</v>
      </c>
      <c r="D2198" s="318">
        <v>21.8</v>
      </c>
      <c r="E2198" s="318">
        <v>20.72</v>
      </c>
      <c r="F2198" s="257">
        <v>32</v>
      </c>
      <c r="G2198" s="134">
        <v>15.9</v>
      </c>
      <c r="H2198" s="752">
        <v>51</v>
      </c>
      <c r="I2198" s="547">
        <v>23.43</v>
      </c>
      <c r="J2198" s="735">
        <f>(123/5.966)</f>
        <v>20.616828695943681</v>
      </c>
    </row>
    <row r="2199" spans="1:10" ht="13.5" thickBot="1">
      <c r="A2199" s="10">
        <v>43451</v>
      </c>
      <c r="B2199" s="1016">
        <v>23.49</v>
      </c>
      <c r="C2199" s="318">
        <v>22.99</v>
      </c>
      <c r="D2199" s="318">
        <v>21.8</v>
      </c>
      <c r="E2199" s="318">
        <v>20.72</v>
      </c>
      <c r="F2199" s="257">
        <v>32</v>
      </c>
      <c r="G2199" s="134">
        <v>15.9</v>
      </c>
      <c r="H2199" s="752">
        <v>51</v>
      </c>
      <c r="I2199" s="547">
        <v>23.43</v>
      </c>
      <c r="J2199" s="735">
        <f>(123/5.966)</f>
        <v>20.616828695943681</v>
      </c>
    </row>
    <row r="2200" spans="1:10" ht="13.5" thickBot="1">
      <c r="A2200" s="567">
        <v>43460</v>
      </c>
      <c r="B2200" s="1016">
        <v>23.2</v>
      </c>
      <c r="C2200" s="318">
        <v>22.71</v>
      </c>
      <c r="D2200" s="318">
        <v>21.52</v>
      </c>
      <c r="E2200" s="318">
        <v>20.22</v>
      </c>
      <c r="F2200" s="257">
        <v>32</v>
      </c>
      <c r="G2200" s="134">
        <v>15.9</v>
      </c>
      <c r="H2200" s="752">
        <v>51</v>
      </c>
      <c r="I2200" s="547">
        <v>21.37</v>
      </c>
      <c r="J2200" s="735">
        <f>(123/5.966)</f>
        <v>20.616828695943681</v>
      </c>
    </row>
    <row r="2201" spans="1:10" ht="13.5" thickBot="1">
      <c r="A2201" s="974" t="s">
        <v>616</v>
      </c>
      <c r="B2201" s="975">
        <f t="shared" ref="B2201:J2201" si="222">AVERAGE(B2197:B2200)</f>
        <v>23.419999999999998</v>
      </c>
      <c r="C2201" s="975">
        <f t="shared" si="222"/>
        <v>22.932499999999997</v>
      </c>
      <c r="D2201" s="975">
        <f t="shared" si="222"/>
        <v>21.737499999999997</v>
      </c>
      <c r="E2201" s="975">
        <f t="shared" si="222"/>
        <v>20.7225</v>
      </c>
      <c r="F2201" s="975">
        <f t="shared" si="222"/>
        <v>32</v>
      </c>
      <c r="G2201" s="975">
        <f t="shared" si="222"/>
        <v>15.9375</v>
      </c>
      <c r="H2201" s="975">
        <f t="shared" si="222"/>
        <v>51</v>
      </c>
      <c r="I2201" s="975">
        <f t="shared" si="222"/>
        <v>22.957500000000003</v>
      </c>
      <c r="J2201" s="975">
        <f t="shared" si="222"/>
        <v>20.616828695943681</v>
      </c>
    </row>
    <row r="2202" spans="1:10" ht="13.5" thickBot="1"/>
    <row r="2203" spans="1:10">
      <c r="A2203" s="1675" t="s">
        <v>1</v>
      </c>
      <c r="B2203" s="1040" t="s">
        <v>139</v>
      </c>
      <c r="C2203" s="1040" t="s">
        <v>140</v>
      </c>
      <c r="D2203" s="1040" t="s">
        <v>5</v>
      </c>
      <c r="E2203" s="1040" t="s">
        <v>6</v>
      </c>
      <c r="F2203" s="1041" t="s">
        <v>57</v>
      </c>
      <c r="G2203" s="1042" t="s">
        <v>154</v>
      </c>
      <c r="H2203" s="1043" t="s">
        <v>149</v>
      </c>
      <c r="I2203" s="1044" t="s">
        <v>155</v>
      </c>
      <c r="J2203" s="1043" t="s">
        <v>61</v>
      </c>
    </row>
    <row r="2204" spans="1:10" ht="13.5" thickBot="1">
      <c r="A2204" s="1676"/>
      <c r="B2204" s="1045" t="s">
        <v>146</v>
      </c>
      <c r="C2204" s="1045" t="s">
        <v>146</v>
      </c>
      <c r="D2204" s="1045" t="s">
        <v>146</v>
      </c>
      <c r="E2204" s="1045" t="s">
        <v>146</v>
      </c>
      <c r="F2204" s="1045" t="s">
        <v>146</v>
      </c>
      <c r="G2204" s="1046" t="s">
        <v>146</v>
      </c>
      <c r="H2204" s="1047" t="s">
        <v>146</v>
      </c>
      <c r="I2204" s="1047" t="s">
        <v>146</v>
      </c>
      <c r="J2204" s="1047" t="s">
        <v>146</v>
      </c>
    </row>
    <row r="2205" spans="1:10" ht="13.5" thickBot="1">
      <c r="A2205" s="74">
        <v>43467</v>
      </c>
      <c r="B2205" s="1015">
        <v>22.7</v>
      </c>
      <c r="C2205" s="730">
        <v>22.2</v>
      </c>
      <c r="D2205" s="730">
        <v>21.02</v>
      </c>
      <c r="E2205" s="730">
        <v>19.73</v>
      </c>
      <c r="F2205" s="731">
        <v>32</v>
      </c>
      <c r="G2205" s="730">
        <v>14.2</v>
      </c>
      <c r="H2205" s="730">
        <v>51</v>
      </c>
      <c r="I2205" s="715">
        <v>21.37</v>
      </c>
      <c r="J2205" s="735">
        <v>19.95</v>
      </c>
    </row>
    <row r="2206" spans="1:10" ht="13.5" thickBot="1">
      <c r="A2206" s="10">
        <v>43472</v>
      </c>
      <c r="B2206" s="1016">
        <v>22.2</v>
      </c>
      <c r="C2206" s="318">
        <v>21.72</v>
      </c>
      <c r="D2206" s="318">
        <v>20.52</v>
      </c>
      <c r="E2206" s="318">
        <v>19.21</v>
      </c>
      <c r="F2206" s="257">
        <v>32</v>
      </c>
      <c r="G2206" s="134">
        <v>14.2</v>
      </c>
      <c r="H2206" s="730">
        <v>51</v>
      </c>
      <c r="I2206" s="547">
        <v>21.35</v>
      </c>
      <c r="J2206" s="735">
        <v>19.95</v>
      </c>
    </row>
    <row r="2207" spans="1:10" ht="13.5" thickBot="1">
      <c r="A2207" s="10">
        <v>43479</v>
      </c>
      <c r="B2207" s="1016">
        <v>23.65</v>
      </c>
      <c r="C2207" s="318">
        <v>22.1</v>
      </c>
      <c r="D2207" s="318">
        <v>20.91</v>
      </c>
      <c r="E2207" s="318">
        <v>19.809999999999999</v>
      </c>
      <c r="F2207" s="257">
        <v>32</v>
      </c>
      <c r="G2207" s="134">
        <v>14.2</v>
      </c>
      <c r="H2207" s="730">
        <v>51</v>
      </c>
      <c r="I2207" s="547">
        <v>21.35</v>
      </c>
      <c r="J2207" s="735">
        <v>19.95</v>
      </c>
    </row>
    <row r="2208" spans="1:10" ht="13.5" thickBot="1">
      <c r="A2208" s="567">
        <v>43486</v>
      </c>
      <c r="B2208" s="1016">
        <v>22.8</v>
      </c>
      <c r="C2208" s="318">
        <v>22.3</v>
      </c>
      <c r="D2208" s="318">
        <v>21.1</v>
      </c>
      <c r="E2208" s="318">
        <v>20.2</v>
      </c>
      <c r="F2208" s="257">
        <v>30</v>
      </c>
      <c r="G2208" s="134">
        <v>14.2</v>
      </c>
      <c r="H2208" s="730">
        <v>51</v>
      </c>
      <c r="I2208" s="547">
        <v>21.35</v>
      </c>
      <c r="J2208" s="735">
        <v>19.95</v>
      </c>
    </row>
    <row r="2209" spans="1:16" ht="13.5" thickBot="1">
      <c r="A2209" s="567">
        <v>43493</v>
      </c>
      <c r="B2209" s="1016">
        <v>23</v>
      </c>
      <c r="C2209" s="318">
        <v>22.51</v>
      </c>
      <c r="D2209" s="318">
        <v>21.31</v>
      </c>
      <c r="E2209" s="318">
        <v>20.399999999999999</v>
      </c>
      <c r="F2209" s="257">
        <v>30</v>
      </c>
      <c r="G2209" s="59">
        <v>14.2</v>
      </c>
      <c r="H2209" s="730">
        <v>51</v>
      </c>
      <c r="I2209" s="1050">
        <v>21.35</v>
      </c>
      <c r="J2209" s="735">
        <v>19.95</v>
      </c>
    </row>
    <row r="2210" spans="1:16" ht="13.5" thickBot="1">
      <c r="A2210" s="1048" t="s">
        <v>618</v>
      </c>
      <c r="B2210" s="1049">
        <f>AVERAGE(B2205:B2208)</f>
        <v>22.837499999999999</v>
      </c>
      <c r="C2210" s="1049">
        <f>AVERAGE(C2205:C2208)</f>
        <v>22.080000000000002</v>
      </c>
      <c r="D2210" s="1049">
        <f>AVERAGE(D2205:D2208)</f>
        <v>20.887500000000003</v>
      </c>
      <c r="E2210" s="1049">
        <f>AVERAGE(E2205:E2208)</f>
        <v>19.737500000000001</v>
      </c>
      <c r="F2210" s="1049">
        <f>AVERAGE(F2205:F2208)</f>
        <v>31.5</v>
      </c>
      <c r="G2210" s="1049">
        <f>AVERAGE(G2205:G2209)</f>
        <v>14.2</v>
      </c>
      <c r="H2210" s="1049">
        <f>AVERAGE(H2205:H2209)</f>
        <v>51</v>
      </c>
      <c r="I2210" s="1049">
        <f>AVERAGE(I2205:I2209)</f>
        <v>21.353999999999996</v>
      </c>
      <c r="J2210" s="1049">
        <f>AVERAGE(J2205:J2208)</f>
        <v>19.95</v>
      </c>
    </row>
    <row r="2211" spans="1:16" s="564" customFormat="1" ht="13.5" thickBot="1">
      <c r="A2211" s="703"/>
      <c r="B2211" s="704"/>
      <c r="C2211" s="704"/>
      <c r="D2211" s="704"/>
      <c r="E2211" s="704"/>
      <c r="F2211" s="704"/>
      <c r="G2211" s="704"/>
      <c r="H2211" s="704"/>
      <c r="I2211" s="704"/>
      <c r="J2211" s="704"/>
    </row>
    <row r="2212" spans="1:16" s="564" customFormat="1">
      <c r="A2212" s="1675" t="s">
        <v>1</v>
      </c>
      <c r="B2212" s="1040" t="s">
        <v>139</v>
      </c>
      <c r="C2212" s="1040" t="s">
        <v>140</v>
      </c>
      <c r="D2212" s="1040" t="s">
        <v>5</v>
      </c>
      <c r="E2212" s="1040" t="s">
        <v>6</v>
      </c>
      <c r="F2212" s="1041" t="s">
        <v>57</v>
      </c>
      <c r="G2212" s="1042" t="s">
        <v>154</v>
      </c>
      <c r="H2212" s="1043" t="s">
        <v>149</v>
      </c>
      <c r="I2212" s="1044" t="s">
        <v>155</v>
      </c>
      <c r="J2212" s="1043" t="s">
        <v>61</v>
      </c>
    </row>
    <row r="2213" spans="1:16" s="564" customFormat="1" ht="13.5" thickBot="1">
      <c r="A2213" s="1676"/>
      <c r="B2213" s="1045" t="s">
        <v>146</v>
      </c>
      <c r="C2213" s="1045" t="s">
        <v>146</v>
      </c>
      <c r="D2213" s="1045" t="s">
        <v>146</v>
      </c>
      <c r="E2213" s="1045" t="s">
        <v>146</v>
      </c>
      <c r="F2213" s="1045" t="s">
        <v>146</v>
      </c>
      <c r="G2213" s="1046" t="s">
        <v>146</v>
      </c>
      <c r="H2213" s="1047" t="s">
        <v>146</v>
      </c>
      <c r="I2213" s="1047" t="s">
        <v>146</v>
      </c>
      <c r="J2213" s="1047" t="s">
        <v>146</v>
      </c>
    </row>
    <row r="2214" spans="1:16" s="564" customFormat="1" ht="13.5" thickBot="1">
      <c r="A2214" s="10">
        <v>43500</v>
      </c>
      <c r="B2214" s="1015">
        <v>23</v>
      </c>
      <c r="C2214" s="730">
        <v>22.51</v>
      </c>
      <c r="D2214" s="730">
        <v>21.31</v>
      </c>
      <c r="E2214" s="730">
        <v>20.69</v>
      </c>
      <c r="F2214" s="257">
        <v>30</v>
      </c>
      <c r="G2214" s="730">
        <v>14.2</v>
      </c>
      <c r="H2214" s="730">
        <v>51</v>
      </c>
      <c r="I2214" s="715">
        <v>21.35</v>
      </c>
      <c r="J2214" s="1083">
        <f>(115/(25/4.2091))</f>
        <v>19.36186</v>
      </c>
    </row>
    <row r="2215" spans="1:16" s="564" customFormat="1" ht="13.5" thickBot="1">
      <c r="A2215" s="10">
        <v>43507</v>
      </c>
      <c r="B2215" s="1016">
        <v>23</v>
      </c>
      <c r="C2215" s="318">
        <v>22.51</v>
      </c>
      <c r="D2215" s="318">
        <v>21.31</v>
      </c>
      <c r="E2215" s="318">
        <v>20.69</v>
      </c>
      <c r="F2215" s="257">
        <v>30</v>
      </c>
      <c r="G2215" s="134">
        <v>14.29</v>
      </c>
      <c r="H2215" s="730">
        <v>51</v>
      </c>
      <c r="I2215" s="547">
        <v>21.35</v>
      </c>
      <c r="J2215" s="1083">
        <f>(115/(25/4.2091))</f>
        <v>19.36186</v>
      </c>
    </row>
    <row r="2216" spans="1:16" s="564" customFormat="1" ht="13.5" thickBot="1">
      <c r="A2216" s="567">
        <v>43514</v>
      </c>
      <c r="B2216" s="1016">
        <v>23.48</v>
      </c>
      <c r="C2216" s="318">
        <v>22.99</v>
      </c>
      <c r="D2216" s="318">
        <v>21.79</v>
      </c>
      <c r="E2216" s="318">
        <v>21.2</v>
      </c>
      <c r="F2216" s="257">
        <v>30</v>
      </c>
      <c r="G2216" s="134">
        <v>14.75</v>
      </c>
      <c r="H2216" s="730">
        <v>51</v>
      </c>
      <c r="I2216" s="547">
        <v>21.35</v>
      </c>
      <c r="J2216" s="1083">
        <f>(115/(25/4.2091))</f>
        <v>19.36186</v>
      </c>
    </row>
    <row r="2217" spans="1:16" s="564" customFormat="1" ht="13.5" thickBot="1">
      <c r="A2217" s="10">
        <v>43521</v>
      </c>
      <c r="B2217" s="1016">
        <v>24.5</v>
      </c>
      <c r="C2217" s="318">
        <v>23.99</v>
      </c>
      <c r="D2217" s="318">
        <v>22.79</v>
      </c>
      <c r="E2217" s="318">
        <v>21.79</v>
      </c>
      <c r="F2217" s="257">
        <v>30</v>
      </c>
      <c r="G2217" s="134">
        <v>14.84</v>
      </c>
      <c r="H2217" s="730">
        <v>51</v>
      </c>
      <c r="I2217" s="547">
        <v>21.35</v>
      </c>
      <c r="J2217" s="1083">
        <f>(115/(25/4.2091))</f>
        <v>19.36186</v>
      </c>
    </row>
    <row r="2218" spans="1:16" s="564" customFormat="1" ht="13.5" thickBot="1">
      <c r="A2218" s="1048" t="s">
        <v>622</v>
      </c>
      <c r="B2218" s="1049">
        <f t="shared" ref="B2218:J2218" si="223">AVERAGE(B2214:B2217)</f>
        <v>23.495000000000001</v>
      </c>
      <c r="C2218" s="1049">
        <f t="shared" si="223"/>
        <v>23</v>
      </c>
      <c r="D2218" s="1049">
        <f t="shared" si="223"/>
        <v>21.799999999999997</v>
      </c>
      <c r="E2218" s="1049">
        <f t="shared" si="223"/>
        <v>21.092500000000001</v>
      </c>
      <c r="F2218" s="1049">
        <f t="shared" si="223"/>
        <v>30</v>
      </c>
      <c r="G2218" s="1049">
        <f t="shared" si="223"/>
        <v>14.52</v>
      </c>
      <c r="H2218" s="1049">
        <f t="shared" si="223"/>
        <v>51</v>
      </c>
      <c r="I2218" s="1049">
        <f t="shared" si="223"/>
        <v>21.35</v>
      </c>
      <c r="J2218" s="1049">
        <f t="shared" si="223"/>
        <v>19.36186</v>
      </c>
    </row>
    <row r="2219" spans="1:16" s="564" customFormat="1">
      <c r="A2219" s="703"/>
      <c r="B2219" s="704"/>
      <c r="C2219" s="704"/>
      <c r="D2219" s="704"/>
      <c r="E2219" s="704"/>
      <c r="F2219" s="704"/>
      <c r="G2219" s="704"/>
      <c r="H2219" s="704"/>
      <c r="I2219" s="704"/>
      <c r="J2219" s="704"/>
    </row>
    <row r="2220" spans="1:16" s="564" customFormat="1" ht="13.5" thickBot="1">
      <c r="H2220" s="548"/>
    </row>
    <row r="2221" spans="1:16">
      <c r="A2221" s="1675" t="s">
        <v>1</v>
      </c>
      <c r="B2221" s="1040" t="s">
        <v>139</v>
      </c>
      <c r="C2221" s="1040" t="s">
        <v>140</v>
      </c>
      <c r="D2221" s="1040" t="s">
        <v>5</v>
      </c>
      <c r="E2221" s="1040" t="s">
        <v>6</v>
      </c>
      <c r="F2221" s="1041" t="s">
        <v>57</v>
      </c>
      <c r="G2221" s="1042" t="s">
        <v>154</v>
      </c>
      <c r="H2221" s="1043" t="s">
        <v>149</v>
      </c>
      <c r="I2221" s="1044" t="s">
        <v>155</v>
      </c>
      <c r="J2221" s="1043" t="s">
        <v>61</v>
      </c>
    </row>
    <row r="2222" spans="1:16" ht="13.5" thickBot="1">
      <c r="A2222" s="1676"/>
      <c r="B2222" s="1045" t="s">
        <v>146</v>
      </c>
      <c r="C2222" s="1045" t="s">
        <v>146</v>
      </c>
      <c r="D2222" s="1045" t="s">
        <v>146</v>
      </c>
      <c r="E2222" s="1045" t="s">
        <v>146</v>
      </c>
      <c r="F2222" s="1045" t="s">
        <v>146</v>
      </c>
      <c r="G2222" s="1046" t="s">
        <v>146</v>
      </c>
      <c r="H2222" s="1047" t="s">
        <v>146</v>
      </c>
      <c r="I2222" s="1047" t="s">
        <v>146</v>
      </c>
      <c r="J2222" s="1047" t="s">
        <v>146</v>
      </c>
    </row>
    <row r="2223" spans="1:16" ht="13.5" thickBot="1">
      <c r="A2223" s="74">
        <v>43528</v>
      </c>
      <c r="B2223" s="1015">
        <v>22.7</v>
      </c>
      <c r="C2223" s="730">
        <v>23.99</v>
      </c>
      <c r="D2223" s="730">
        <v>22.79</v>
      </c>
      <c r="E2223" s="730">
        <v>21.79</v>
      </c>
      <c r="F2223" s="257">
        <v>30</v>
      </c>
      <c r="G2223" s="730">
        <v>15.3</v>
      </c>
      <c r="H2223" s="730">
        <v>48.5</v>
      </c>
      <c r="I2223" s="715">
        <v>22.02</v>
      </c>
      <c r="J2223" s="1083">
        <f>(115/(25/4.2091))</f>
        <v>19.36186</v>
      </c>
      <c r="N2223" s="564">
        <v>110</v>
      </c>
      <c r="O2223" s="564">
        <v>25</v>
      </c>
      <c r="P2223" s="564">
        <f>(N2223/O2223)</f>
        <v>4.4000000000000004</v>
      </c>
    </row>
    <row r="2224" spans="1:16" ht="13.5" thickBot="1">
      <c r="A2224" s="10">
        <v>43535</v>
      </c>
      <c r="B2224" s="1016">
        <v>22.2</v>
      </c>
      <c r="C2224" s="318">
        <v>24.41</v>
      </c>
      <c r="D2224" s="318">
        <v>23.23</v>
      </c>
      <c r="E2224" s="318">
        <v>21.99</v>
      </c>
      <c r="F2224" s="257">
        <v>30</v>
      </c>
      <c r="G2224" s="134">
        <v>15.3</v>
      </c>
      <c r="H2224" s="730">
        <v>48.5</v>
      </c>
      <c r="I2224" s="547">
        <v>22.02</v>
      </c>
      <c r="J2224" s="1083">
        <f>(115/(25/4.2091))</f>
        <v>19.36186</v>
      </c>
    </row>
    <row r="2225" spans="1:10" ht="13.5" thickBot="1">
      <c r="A2225" s="10">
        <v>43542</v>
      </c>
      <c r="B2225" s="1016">
        <v>23.65</v>
      </c>
      <c r="C2225" s="318">
        <v>25.42</v>
      </c>
      <c r="D2225" s="318">
        <v>24.24</v>
      </c>
      <c r="E2225" s="318">
        <v>21.84</v>
      </c>
      <c r="F2225" s="257">
        <v>30</v>
      </c>
      <c r="G2225" s="134">
        <v>15.3</v>
      </c>
      <c r="H2225" s="730">
        <v>48.5</v>
      </c>
      <c r="I2225" s="547">
        <v>22.02</v>
      </c>
      <c r="J2225" s="1083">
        <f>(115/(25/4.2091))</f>
        <v>19.36186</v>
      </c>
    </row>
    <row r="2226" spans="1:10" ht="13.5" thickBot="1">
      <c r="A2226" s="567">
        <v>43549</v>
      </c>
      <c r="B2226" s="1016">
        <v>22.8</v>
      </c>
      <c r="C2226" s="318">
        <v>25.93</v>
      </c>
      <c r="D2226" s="318">
        <v>24.73</v>
      </c>
      <c r="E2226" s="318">
        <v>21.81</v>
      </c>
      <c r="F2226" s="257">
        <v>30</v>
      </c>
      <c r="G2226" s="134">
        <v>15.3</v>
      </c>
      <c r="H2226" s="730">
        <v>48.5</v>
      </c>
      <c r="I2226" s="547">
        <v>22.02</v>
      </c>
      <c r="J2226" s="1083">
        <f>(115/(25/4.2091))</f>
        <v>19.36186</v>
      </c>
    </row>
    <row r="2227" spans="1:10" ht="13.5" thickBot="1">
      <c r="A2227" s="1048" t="s">
        <v>623</v>
      </c>
      <c r="B2227" s="1049">
        <f t="shared" ref="B2227:J2227" si="224">AVERAGE(B2223:B2226)</f>
        <v>22.837499999999999</v>
      </c>
      <c r="C2227" s="1049">
        <f t="shared" si="224"/>
        <v>24.9375</v>
      </c>
      <c r="D2227" s="1049">
        <f t="shared" si="224"/>
        <v>23.747499999999999</v>
      </c>
      <c r="E2227" s="1049">
        <f t="shared" si="224"/>
        <v>21.857500000000002</v>
      </c>
      <c r="F2227" s="1049">
        <f t="shared" si="224"/>
        <v>30</v>
      </c>
      <c r="G2227" s="1049">
        <f t="shared" si="224"/>
        <v>15.3</v>
      </c>
      <c r="H2227" s="1049">
        <f t="shared" si="224"/>
        <v>48.5</v>
      </c>
      <c r="I2227" s="1049">
        <f t="shared" si="224"/>
        <v>22.02</v>
      </c>
      <c r="J2227" s="1049">
        <f t="shared" si="224"/>
        <v>19.36186</v>
      </c>
    </row>
    <row r="2228" spans="1:10" ht="13.5" thickBot="1"/>
    <row r="2229" spans="1:10">
      <c r="A2229" s="1675" t="s">
        <v>1</v>
      </c>
      <c r="B2229" s="1040" t="s">
        <v>139</v>
      </c>
      <c r="C2229" s="1040" t="s">
        <v>140</v>
      </c>
      <c r="D2229" s="1040" t="s">
        <v>5</v>
      </c>
      <c r="E2229" s="1040" t="s">
        <v>6</v>
      </c>
      <c r="F2229" s="1041" t="s">
        <v>57</v>
      </c>
      <c r="G2229" s="1042" t="s">
        <v>154</v>
      </c>
      <c r="H2229" s="1043" t="s">
        <v>149</v>
      </c>
      <c r="I2229" s="1044" t="s">
        <v>155</v>
      </c>
      <c r="J2229" s="1043" t="s">
        <v>61</v>
      </c>
    </row>
    <row r="2230" spans="1:10" ht="13.5" thickBot="1">
      <c r="A2230" s="1676"/>
      <c r="B2230" s="1045" t="s">
        <v>146</v>
      </c>
      <c r="C2230" s="1045" t="s">
        <v>146</v>
      </c>
      <c r="D2230" s="1045" t="s">
        <v>146</v>
      </c>
      <c r="E2230" s="1045" t="s">
        <v>146</v>
      </c>
      <c r="F2230" s="1045" t="s">
        <v>146</v>
      </c>
      <c r="G2230" s="1046" t="s">
        <v>146</v>
      </c>
      <c r="H2230" s="1047" t="s">
        <v>146</v>
      </c>
      <c r="I2230" s="1047" t="s">
        <v>146</v>
      </c>
      <c r="J2230" s="1047" t="s">
        <v>146</v>
      </c>
    </row>
    <row r="2231" spans="1:10" ht="13.5" thickBot="1">
      <c r="A2231" s="74">
        <v>43556</v>
      </c>
      <c r="B2231" s="1015">
        <v>22.7</v>
      </c>
      <c r="C2231" s="730">
        <v>25.93</v>
      </c>
      <c r="D2231" s="730">
        <v>24.73</v>
      </c>
      <c r="E2231" s="730">
        <v>21.81</v>
      </c>
      <c r="F2231" s="257">
        <v>30</v>
      </c>
      <c r="G2231" s="730">
        <v>15.3</v>
      </c>
      <c r="H2231" s="730">
        <v>48.5</v>
      </c>
      <c r="I2231" s="715">
        <v>21.66</v>
      </c>
      <c r="J2231" s="1083">
        <f>(115/(25/4.2091))</f>
        <v>19.36186</v>
      </c>
    </row>
    <row r="2232" spans="1:10" ht="13.5" thickBot="1">
      <c r="A2232" s="10">
        <v>43563</v>
      </c>
      <c r="B2232" s="1016">
        <v>22.2</v>
      </c>
      <c r="C2232" s="318">
        <v>26.38</v>
      </c>
      <c r="D2232" s="318">
        <v>25.19</v>
      </c>
      <c r="E2232" s="318">
        <v>21.78</v>
      </c>
      <c r="F2232" s="257">
        <v>30</v>
      </c>
      <c r="G2232" s="134">
        <v>15.3</v>
      </c>
      <c r="H2232" s="730">
        <v>48.5</v>
      </c>
      <c r="I2232" s="547">
        <v>21.66</v>
      </c>
      <c r="J2232" s="1083">
        <f>(115/(25/4.2091))</f>
        <v>19.36186</v>
      </c>
    </row>
    <row r="2233" spans="1:10" ht="13.5" thickBot="1">
      <c r="A2233" s="10">
        <v>43570</v>
      </c>
      <c r="B2233" s="1016"/>
      <c r="C2233" s="318">
        <v>27.48</v>
      </c>
      <c r="D2233" s="318">
        <v>26.29</v>
      </c>
      <c r="E2233" s="318">
        <v>21.99</v>
      </c>
      <c r="F2233" s="257">
        <v>30</v>
      </c>
      <c r="G2233" s="134">
        <v>15.3</v>
      </c>
      <c r="H2233" s="730">
        <v>48.5</v>
      </c>
      <c r="I2233" s="547">
        <v>21.66</v>
      </c>
      <c r="J2233" s="1083">
        <f>(115/(25/4.2091))</f>
        <v>19.36186</v>
      </c>
    </row>
    <row r="2234" spans="1:10" ht="13.5" thickBot="1">
      <c r="A2234" s="10">
        <v>43577</v>
      </c>
      <c r="B2234" s="1016">
        <v>23.65</v>
      </c>
      <c r="C2234" s="318">
        <v>27.49</v>
      </c>
      <c r="D2234" s="318">
        <v>26.31</v>
      </c>
      <c r="E2234" s="318">
        <v>21.99</v>
      </c>
      <c r="F2234" s="257">
        <v>30</v>
      </c>
      <c r="G2234" s="134">
        <v>15.3</v>
      </c>
      <c r="H2234" s="730">
        <v>48.5</v>
      </c>
      <c r="I2234" s="547">
        <v>21.66</v>
      </c>
      <c r="J2234" s="1083">
        <f>(115/(25/4.2091))</f>
        <v>19.36186</v>
      </c>
    </row>
    <row r="2235" spans="1:10" ht="13.5" thickBot="1">
      <c r="A2235" s="567">
        <v>43585</v>
      </c>
      <c r="B2235" s="1016">
        <v>22.8</v>
      </c>
      <c r="C2235" s="318">
        <v>27.49</v>
      </c>
      <c r="D2235" s="318">
        <v>26.3</v>
      </c>
      <c r="E2235" s="318">
        <v>22.14</v>
      </c>
      <c r="F2235" s="257">
        <v>30</v>
      </c>
      <c r="G2235" s="134">
        <v>15.3</v>
      </c>
      <c r="H2235" s="730">
        <v>48.5</v>
      </c>
      <c r="I2235" s="547">
        <v>21.66</v>
      </c>
      <c r="J2235" s="1083">
        <f>(115/(25/4.2091))</f>
        <v>19.36186</v>
      </c>
    </row>
    <row r="2236" spans="1:10" ht="13.5" thickBot="1">
      <c r="A2236" s="1048" t="s">
        <v>624</v>
      </c>
      <c r="B2236" s="1049">
        <f t="shared" ref="B2236:J2236" si="225">AVERAGE(B2231:B2235)</f>
        <v>22.837499999999999</v>
      </c>
      <c r="C2236" s="1049">
        <f t="shared" si="225"/>
        <v>26.954000000000001</v>
      </c>
      <c r="D2236" s="1049">
        <f t="shared" si="225"/>
        <v>25.764000000000003</v>
      </c>
      <c r="E2236" s="1049">
        <f t="shared" si="225"/>
        <v>21.942</v>
      </c>
      <c r="F2236" s="1049">
        <f t="shared" si="225"/>
        <v>30</v>
      </c>
      <c r="G2236" s="1049">
        <f t="shared" si="225"/>
        <v>15.3</v>
      </c>
      <c r="H2236" s="1049">
        <f t="shared" si="225"/>
        <v>48.5</v>
      </c>
      <c r="I2236" s="1049">
        <f t="shared" si="225"/>
        <v>21.66</v>
      </c>
      <c r="J2236" s="1049">
        <f t="shared" si="225"/>
        <v>19.36186</v>
      </c>
    </row>
    <row r="2237" spans="1:10" ht="13.5" thickBot="1"/>
    <row r="2238" spans="1:10" ht="13.5" thickBot="1">
      <c r="A2238" s="1669" t="s">
        <v>1</v>
      </c>
      <c r="B2238" s="1074" t="s">
        <v>139</v>
      </c>
      <c r="C2238" s="1081" t="s">
        <v>140</v>
      </c>
      <c r="D2238" s="1074" t="s">
        <v>5</v>
      </c>
      <c r="E2238" s="1075" t="s">
        <v>6</v>
      </c>
      <c r="F2238" s="1076" t="s">
        <v>57</v>
      </c>
      <c r="G2238" s="1077" t="s">
        <v>154</v>
      </c>
      <c r="H2238" s="1078" t="s">
        <v>149</v>
      </c>
      <c r="I2238" s="1077" t="s">
        <v>155</v>
      </c>
      <c r="J2238" s="1079" t="s">
        <v>61</v>
      </c>
    </row>
    <row r="2239" spans="1:10" ht="13.5" thickBot="1">
      <c r="A2239" s="1670"/>
      <c r="B2239" s="1080" t="s">
        <v>146</v>
      </c>
      <c r="C2239" s="1070" t="s">
        <v>146</v>
      </c>
      <c r="D2239" s="1070" t="s">
        <v>146</v>
      </c>
      <c r="E2239" s="1070" t="s">
        <v>146</v>
      </c>
      <c r="F2239" s="1071" t="s">
        <v>146</v>
      </c>
      <c r="G2239" s="1072" t="s">
        <v>146</v>
      </c>
      <c r="H2239" s="1073" t="s">
        <v>146</v>
      </c>
      <c r="I2239" s="1072" t="s">
        <v>146</v>
      </c>
      <c r="J2239" s="1072" t="s">
        <v>146</v>
      </c>
    </row>
    <row r="2240" spans="1:10" ht="13.5" thickBot="1">
      <c r="A2240" s="74">
        <v>43591</v>
      </c>
      <c r="B2240" s="1015">
        <v>28</v>
      </c>
      <c r="C2240" s="730">
        <v>27.5</v>
      </c>
      <c r="D2240" s="730">
        <v>26.3</v>
      </c>
      <c r="E2240" s="730">
        <v>22.2</v>
      </c>
      <c r="F2240" s="1063">
        <v>30</v>
      </c>
      <c r="G2240" s="1067">
        <v>15.7</v>
      </c>
      <c r="H2240" s="1065">
        <v>48.5</v>
      </c>
      <c r="I2240" s="715">
        <v>21.66</v>
      </c>
      <c r="J2240" s="1083">
        <f>(115/(25/4.2091))</f>
        <v>19.36186</v>
      </c>
    </row>
    <row r="2241" spans="1:10" ht="13.5" thickBot="1">
      <c r="A2241" s="10">
        <v>43598</v>
      </c>
      <c r="B2241" s="1016">
        <v>27.51</v>
      </c>
      <c r="C2241" s="318">
        <v>27.03</v>
      </c>
      <c r="D2241" s="318">
        <v>25.85</v>
      </c>
      <c r="E2241" s="318">
        <v>21.92</v>
      </c>
      <c r="F2241" s="1063">
        <v>30</v>
      </c>
      <c r="G2241" s="1068">
        <v>15.7</v>
      </c>
      <c r="H2241" s="1065">
        <v>48.5</v>
      </c>
      <c r="I2241" s="547">
        <v>21.66</v>
      </c>
      <c r="J2241" s="1083">
        <f>(115/(25/4.2091))</f>
        <v>19.36186</v>
      </c>
    </row>
    <row r="2242" spans="1:10" ht="13.5" thickBot="1">
      <c r="A2242" s="10">
        <v>43605</v>
      </c>
      <c r="B2242" s="1016">
        <v>27.51</v>
      </c>
      <c r="C2242" s="318">
        <v>27</v>
      </c>
      <c r="D2242" s="318">
        <v>25.82</v>
      </c>
      <c r="E2242" s="318">
        <v>21.9</v>
      </c>
      <c r="F2242" s="1063">
        <v>30</v>
      </c>
      <c r="G2242" s="1068">
        <v>15.7</v>
      </c>
      <c r="H2242" s="1065">
        <v>48.5</v>
      </c>
      <c r="I2242" s="547">
        <v>21.66</v>
      </c>
      <c r="J2242" s="1083">
        <f>(115/(25/4.2091))</f>
        <v>19.36186</v>
      </c>
    </row>
    <row r="2243" spans="1:10" ht="13.5" thickBot="1">
      <c r="A2243" s="567">
        <v>43612</v>
      </c>
      <c r="B2243" s="1016">
        <v>26.91</v>
      </c>
      <c r="C2243" s="318">
        <v>26.45</v>
      </c>
      <c r="D2243" s="318">
        <v>25.25</v>
      </c>
      <c r="E2243" s="318">
        <v>21.84</v>
      </c>
      <c r="F2243" s="1063">
        <v>30</v>
      </c>
      <c r="G2243" s="1068">
        <v>15.7</v>
      </c>
      <c r="H2243" s="1065">
        <v>48.5</v>
      </c>
      <c r="I2243" s="547">
        <v>21.66</v>
      </c>
      <c r="J2243" s="1083">
        <f>(115/(25/4.2091))</f>
        <v>19.36186</v>
      </c>
    </row>
    <row r="2244" spans="1:10" ht="13.5" thickBot="1">
      <c r="A2244" s="1048" t="s">
        <v>625</v>
      </c>
      <c r="B2244" s="1049">
        <f t="shared" ref="B2244:J2244" si="226">AVERAGE(B2240:B2243)</f>
        <v>27.482500000000002</v>
      </c>
      <c r="C2244" s="1049">
        <f t="shared" si="226"/>
        <v>26.995000000000001</v>
      </c>
      <c r="D2244" s="1049">
        <f t="shared" si="226"/>
        <v>25.805</v>
      </c>
      <c r="E2244" s="1049">
        <f t="shared" si="226"/>
        <v>21.965000000000003</v>
      </c>
      <c r="F2244" s="1064">
        <f t="shared" si="226"/>
        <v>30</v>
      </c>
      <c r="G2244" s="1069">
        <f t="shared" si="226"/>
        <v>15.7</v>
      </c>
      <c r="H2244" s="1066">
        <f t="shared" si="226"/>
        <v>48.5</v>
      </c>
      <c r="I2244" s="1049">
        <f t="shared" si="226"/>
        <v>21.66</v>
      </c>
      <c r="J2244" s="1049">
        <f t="shared" si="226"/>
        <v>19.36186</v>
      </c>
    </row>
    <row r="2245" spans="1:10" ht="13.5" thickBot="1"/>
    <row r="2246" spans="1:10" ht="13.5" thickBot="1">
      <c r="A2246" s="1669" t="s">
        <v>1</v>
      </c>
      <c r="B2246" s="1074" t="s">
        <v>139</v>
      </c>
      <c r="C2246" s="1081" t="s">
        <v>140</v>
      </c>
      <c r="D2246" s="1074" t="s">
        <v>5</v>
      </c>
      <c r="E2246" s="1075" t="s">
        <v>6</v>
      </c>
      <c r="F2246" s="1076" t="s">
        <v>57</v>
      </c>
      <c r="G2246" s="1077" t="s">
        <v>154</v>
      </c>
      <c r="H2246" s="1078" t="s">
        <v>149</v>
      </c>
      <c r="I2246" s="1077" t="s">
        <v>155</v>
      </c>
      <c r="J2246" s="1079" t="s">
        <v>61</v>
      </c>
    </row>
    <row r="2247" spans="1:10" ht="13.5" thickBot="1">
      <c r="A2247" s="1670"/>
      <c r="B2247" s="1080" t="s">
        <v>146</v>
      </c>
      <c r="C2247" s="1070" t="s">
        <v>146</v>
      </c>
      <c r="D2247" s="1070" t="s">
        <v>146</v>
      </c>
      <c r="E2247" s="1070" t="s">
        <v>146</v>
      </c>
      <c r="F2247" s="1071" t="s">
        <v>146</v>
      </c>
      <c r="G2247" s="1072" t="s">
        <v>146</v>
      </c>
      <c r="H2247" s="1073" t="s">
        <v>146</v>
      </c>
      <c r="I2247" s="1072" t="s">
        <v>146</v>
      </c>
      <c r="J2247" s="1072" t="s">
        <v>146</v>
      </c>
    </row>
    <row r="2248" spans="1:10" ht="13.5" thickBot="1">
      <c r="A2248" s="74">
        <v>43619</v>
      </c>
      <c r="B2248" s="1015">
        <v>26.7</v>
      </c>
      <c r="C2248" s="730">
        <v>26.21</v>
      </c>
      <c r="D2248" s="730">
        <v>25.02</v>
      </c>
      <c r="E2248" s="730">
        <v>21.52</v>
      </c>
      <c r="F2248" s="1082">
        <v>30</v>
      </c>
      <c r="G2248" s="1067">
        <v>15.3</v>
      </c>
      <c r="H2248" s="1065">
        <v>48.5</v>
      </c>
      <c r="I2248" s="715">
        <v>21.84</v>
      </c>
      <c r="J2248" s="1083">
        <f>(115/(25/4.2091))</f>
        <v>19.36186</v>
      </c>
    </row>
    <row r="2249" spans="1:10" ht="13.5" thickBot="1">
      <c r="A2249" s="10">
        <v>43626</v>
      </c>
      <c r="B2249" s="1016">
        <v>26.22</v>
      </c>
      <c r="C2249" s="318">
        <v>25.72</v>
      </c>
      <c r="D2249" s="318">
        <v>24.53</v>
      </c>
      <c r="E2249" s="318">
        <v>20.84</v>
      </c>
      <c r="F2249" s="1082">
        <v>30</v>
      </c>
      <c r="G2249" s="1068">
        <v>14.44</v>
      </c>
      <c r="H2249" s="1065">
        <v>48.5</v>
      </c>
      <c r="I2249" s="547">
        <v>21.84</v>
      </c>
      <c r="J2249" s="1083">
        <f>(115/(25/4.2091))</f>
        <v>19.36186</v>
      </c>
    </row>
    <row r="2250" spans="1:10" ht="13.5" thickBot="1">
      <c r="A2250" s="10">
        <v>43634</v>
      </c>
      <c r="B2250" s="1016">
        <v>25.85</v>
      </c>
      <c r="C2250" s="318">
        <v>25.22</v>
      </c>
      <c r="D2250" s="318">
        <v>24.02</v>
      </c>
      <c r="E2250" s="318">
        <v>20.41</v>
      </c>
      <c r="F2250" s="1082">
        <v>30</v>
      </c>
      <c r="G2250" s="1068">
        <v>13.85</v>
      </c>
      <c r="H2250" s="1065">
        <v>48.5</v>
      </c>
      <c r="I2250" s="547">
        <v>21.84</v>
      </c>
      <c r="J2250" s="1083">
        <f>(115/(25/4.2091))</f>
        <v>19.36186</v>
      </c>
    </row>
    <row r="2251" spans="1:10" ht="13.5" thickBot="1">
      <c r="A2251" s="567">
        <v>43640</v>
      </c>
      <c r="B2251" s="1016">
        <v>25.51</v>
      </c>
      <c r="C2251" s="318">
        <v>25.03</v>
      </c>
      <c r="D2251" s="318">
        <v>23.4</v>
      </c>
      <c r="E2251" s="318">
        <v>20.23</v>
      </c>
      <c r="F2251" s="1082">
        <v>30</v>
      </c>
      <c r="G2251" s="1068">
        <v>13.85</v>
      </c>
      <c r="H2251" s="1065">
        <v>48.5</v>
      </c>
      <c r="I2251" s="547">
        <v>21.84</v>
      </c>
      <c r="J2251" s="1083">
        <f>(110/(25/4.2091))</f>
        <v>18.520040000000002</v>
      </c>
    </row>
    <row r="2252" spans="1:10" ht="13.5" thickBot="1">
      <c r="A2252" s="1048" t="s">
        <v>626</v>
      </c>
      <c r="B2252" s="1049">
        <f t="shared" ref="B2252:J2252" si="227">AVERAGE(B2248:B2251)</f>
        <v>26.070000000000004</v>
      </c>
      <c r="C2252" s="1049">
        <f t="shared" si="227"/>
        <v>25.545000000000002</v>
      </c>
      <c r="D2252" s="1049">
        <f t="shared" si="227"/>
        <v>24.2425</v>
      </c>
      <c r="E2252" s="1049">
        <f t="shared" si="227"/>
        <v>20.75</v>
      </c>
      <c r="F2252" s="1064">
        <f t="shared" si="227"/>
        <v>30</v>
      </c>
      <c r="G2252" s="1064">
        <f t="shared" si="227"/>
        <v>14.360000000000001</v>
      </c>
      <c r="H2252" s="1069">
        <f t="shared" si="227"/>
        <v>48.5</v>
      </c>
      <c r="I2252" s="1049">
        <f t="shared" si="227"/>
        <v>21.84</v>
      </c>
      <c r="J2252" s="1049">
        <f t="shared" si="227"/>
        <v>19.151405</v>
      </c>
    </row>
    <row r="2253" spans="1:10" ht="13.5" thickBot="1"/>
    <row r="2254" spans="1:10" ht="13.5" thickBot="1">
      <c r="A2254" s="1669" t="s">
        <v>1</v>
      </c>
      <c r="B2254" s="1074" t="s">
        <v>139</v>
      </c>
      <c r="C2254" s="1081" t="s">
        <v>140</v>
      </c>
      <c r="D2254" s="1074" t="s">
        <v>5</v>
      </c>
      <c r="E2254" s="1075" t="s">
        <v>6</v>
      </c>
      <c r="F2254" s="1076" t="s">
        <v>57</v>
      </c>
      <c r="G2254" s="1077" t="s">
        <v>154</v>
      </c>
      <c r="H2254" s="1078" t="s">
        <v>149</v>
      </c>
      <c r="I2254" s="1077" t="s">
        <v>155</v>
      </c>
      <c r="J2254" s="1079" t="s">
        <v>61</v>
      </c>
    </row>
    <row r="2255" spans="1:10" ht="13.5" thickBot="1">
      <c r="A2255" s="1670"/>
      <c r="B2255" s="1080" t="s">
        <v>146</v>
      </c>
      <c r="C2255" s="1070" t="s">
        <v>146</v>
      </c>
      <c r="D2255" s="1070" t="s">
        <v>146</v>
      </c>
      <c r="E2255" s="1070" t="s">
        <v>146</v>
      </c>
      <c r="F2255" s="1071" t="s">
        <v>146</v>
      </c>
      <c r="G2255" s="1072" t="s">
        <v>146</v>
      </c>
      <c r="H2255" s="1073" t="s">
        <v>146</v>
      </c>
      <c r="I2255" s="1072" t="s">
        <v>146</v>
      </c>
      <c r="J2255" s="1072" t="s">
        <v>146</v>
      </c>
    </row>
    <row r="2256" spans="1:10" ht="13.5" thickBot="1">
      <c r="A2256" s="567">
        <v>43648</v>
      </c>
      <c r="B2256" s="1015">
        <v>26.5</v>
      </c>
      <c r="C2256" s="730">
        <v>25.96</v>
      </c>
      <c r="D2256" s="730">
        <v>24.77</v>
      </c>
      <c r="E2256" s="730">
        <v>21.16</v>
      </c>
      <c r="F2256" s="1082">
        <v>30</v>
      </c>
      <c r="G2256" s="1067">
        <v>14.9</v>
      </c>
      <c r="H2256" s="1065">
        <v>48.5</v>
      </c>
      <c r="I2256" s="715">
        <v>21.75</v>
      </c>
      <c r="J2256" s="1083">
        <f>(110/(25/4.2091))</f>
        <v>18.520040000000002</v>
      </c>
    </row>
    <row r="2257" spans="1:18" ht="13.5" thickBot="1">
      <c r="A2257" s="567">
        <v>43654</v>
      </c>
      <c r="B2257" s="1016">
        <v>26.5</v>
      </c>
      <c r="C2257" s="318">
        <v>25.99</v>
      </c>
      <c r="D2257" s="318">
        <v>24.79</v>
      </c>
      <c r="E2257" s="318">
        <v>21.21</v>
      </c>
      <c r="F2257" s="1082">
        <v>30</v>
      </c>
      <c r="G2257" s="1068">
        <v>14.9</v>
      </c>
      <c r="H2257" s="1065">
        <v>48.5</v>
      </c>
      <c r="I2257" s="547">
        <v>21.75</v>
      </c>
      <c r="J2257" s="1083">
        <f>(110/(25/4.2091))</f>
        <v>18.520040000000002</v>
      </c>
    </row>
    <row r="2258" spans="1:18" ht="13.5" thickBot="1">
      <c r="A2258" s="112">
        <v>43661</v>
      </c>
      <c r="B2258" s="1016">
        <v>27</v>
      </c>
      <c r="C2258" s="318">
        <v>26.5</v>
      </c>
      <c r="D2258" s="318">
        <v>25.3</v>
      </c>
      <c r="E2258" s="318">
        <v>20.91</v>
      </c>
      <c r="F2258" s="1082">
        <v>30</v>
      </c>
      <c r="G2258" s="1068">
        <v>13.9</v>
      </c>
      <c r="H2258" s="1065">
        <v>48.5</v>
      </c>
      <c r="I2258" s="547">
        <v>21.75</v>
      </c>
      <c r="J2258" s="1083">
        <f>(110/(25/4.2091))</f>
        <v>18.520040000000002</v>
      </c>
    </row>
    <row r="2259" spans="1:18">
      <c r="A2259" s="112">
        <v>43668</v>
      </c>
      <c r="B2259" s="1016">
        <v>27.02</v>
      </c>
      <c r="C2259" s="318">
        <v>26.67</v>
      </c>
      <c r="D2259" s="318">
        <v>25.47</v>
      </c>
      <c r="E2259" s="318">
        <v>20.91</v>
      </c>
      <c r="F2259" s="1082">
        <v>30</v>
      </c>
      <c r="G2259" s="1068">
        <v>13.45</v>
      </c>
      <c r="H2259" s="1065">
        <v>48.5</v>
      </c>
      <c r="I2259" s="547">
        <v>21.81</v>
      </c>
      <c r="J2259" s="1083">
        <f>(110/(25/4.2091))</f>
        <v>18.520040000000002</v>
      </c>
    </row>
    <row r="2260" spans="1:18" ht="13.5" thickBot="1">
      <c r="A2260" s="112">
        <v>43675</v>
      </c>
      <c r="B2260" s="1084">
        <v>26.51</v>
      </c>
      <c r="C2260" s="721">
        <v>26.05</v>
      </c>
      <c r="D2260" s="721">
        <v>24.84</v>
      </c>
      <c r="E2260" s="721">
        <v>20.71</v>
      </c>
      <c r="F2260" s="1085">
        <v>30</v>
      </c>
      <c r="G2260" s="1086">
        <v>13.45</v>
      </c>
      <c r="H2260" s="721">
        <v>48.5</v>
      </c>
      <c r="I2260" s="1050">
        <v>21.81</v>
      </c>
      <c r="J2260" s="1083">
        <f>(110/(25/4.2091))</f>
        <v>18.520040000000002</v>
      </c>
    </row>
    <row r="2261" spans="1:18" ht="13.5" thickBot="1">
      <c r="A2261" s="1048" t="s">
        <v>627</v>
      </c>
      <c r="B2261" s="1049">
        <f t="shared" ref="B2261:J2261" si="228">AVERAGE(B2256:B2259)</f>
        <v>26.754999999999999</v>
      </c>
      <c r="C2261" s="1049">
        <f t="shared" si="228"/>
        <v>26.28</v>
      </c>
      <c r="D2261" s="1049">
        <f t="shared" si="228"/>
        <v>25.0825</v>
      </c>
      <c r="E2261" s="1049">
        <f t="shared" si="228"/>
        <v>21.047499999999999</v>
      </c>
      <c r="F2261" s="1064">
        <f>AVERAGE(F2256:F2260)</f>
        <v>30</v>
      </c>
      <c r="G2261" s="1069">
        <f>AVERAGE(G2256:G2260)</f>
        <v>14.120000000000001</v>
      </c>
      <c r="H2261" s="1069">
        <f>AVERAGE(H2256:H2260)</f>
        <v>48.5</v>
      </c>
      <c r="I2261" s="1049">
        <f>AVERAGE(I2256:I2260)</f>
        <v>21.774000000000001</v>
      </c>
      <c r="J2261" s="1049">
        <f t="shared" si="228"/>
        <v>18.520040000000002</v>
      </c>
    </row>
    <row r="2262" spans="1:18" ht="13.5" thickBot="1">
      <c r="R2262" s="1092"/>
    </row>
    <row r="2263" spans="1:18" ht="13.5" thickBot="1">
      <c r="A2263" s="1669" t="s">
        <v>1</v>
      </c>
      <c r="B2263" s="1074" t="s">
        <v>139</v>
      </c>
      <c r="C2263" s="1081" t="s">
        <v>140</v>
      </c>
      <c r="D2263" s="1074" t="s">
        <v>5</v>
      </c>
      <c r="E2263" s="1075" t="s">
        <v>6</v>
      </c>
      <c r="F2263" s="1076" t="s">
        <v>57</v>
      </c>
      <c r="G2263" s="1077" t="s">
        <v>154</v>
      </c>
      <c r="H2263" s="1078" t="s">
        <v>149</v>
      </c>
      <c r="I2263" s="1077" t="s">
        <v>155</v>
      </c>
      <c r="J2263" s="1079" t="s">
        <v>61</v>
      </c>
      <c r="R2263" s="1093"/>
    </row>
    <row r="2264" spans="1:18" ht="13.5" thickBot="1">
      <c r="A2264" s="1670"/>
      <c r="B2264" s="1080" t="s">
        <v>146</v>
      </c>
      <c r="C2264" s="1070" t="s">
        <v>146</v>
      </c>
      <c r="D2264" s="1070" t="s">
        <v>146</v>
      </c>
      <c r="E2264" s="1070" t="s">
        <v>146</v>
      </c>
      <c r="F2264" s="1071" t="s">
        <v>146</v>
      </c>
      <c r="G2264" s="1072" t="s">
        <v>146</v>
      </c>
      <c r="H2264" s="1073" t="s">
        <v>146</v>
      </c>
      <c r="I2264" s="1072" t="s">
        <v>146</v>
      </c>
      <c r="J2264" s="1072" t="s">
        <v>146</v>
      </c>
      <c r="R2264" s="1093"/>
    </row>
    <row r="2265" spans="1:18" ht="13.5" thickBot="1">
      <c r="A2265" s="74">
        <v>43682</v>
      </c>
      <c r="B2265" s="1015">
        <v>26.51</v>
      </c>
      <c r="C2265" s="730">
        <v>26</v>
      </c>
      <c r="D2265" s="730">
        <v>24.8</v>
      </c>
      <c r="E2265" s="730">
        <v>20.71</v>
      </c>
      <c r="F2265" s="1082">
        <v>30</v>
      </c>
      <c r="G2265" s="1067">
        <v>14.3</v>
      </c>
      <c r="H2265" s="1065">
        <v>48.93</v>
      </c>
      <c r="I2265" s="715">
        <v>21.45</v>
      </c>
      <c r="J2265" s="1083">
        <f>(110/(25/4.2091))</f>
        <v>18.520040000000002</v>
      </c>
      <c r="R2265" s="1093"/>
    </row>
    <row r="2266" spans="1:18" ht="13.5" thickBot="1">
      <c r="A2266" s="10">
        <v>43689</v>
      </c>
      <c r="B2266" s="1016">
        <v>25.42</v>
      </c>
      <c r="C2266" s="318">
        <v>25.04</v>
      </c>
      <c r="D2266" s="318">
        <v>23.84</v>
      </c>
      <c r="E2266" s="318">
        <v>20.100000000000001</v>
      </c>
      <c r="F2266" s="1082">
        <v>30</v>
      </c>
      <c r="G2266" s="1068">
        <v>13.55</v>
      </c>
      <c r="H2266" s="1065">
        <v>48.93</v>
      </c>
      <c r="I2266" s="547">
        <v>21.45</v>
      </c>
      <c r="J2266" s="1083">
        <f>(110/(25/4.2091))</f>
        <v>18.520040000000002</v>
      </c>
      <c r="R2266" s="1093"/>
    </row>
    <row r="2267" spans="1:18" ht="13.5" thickBot="1">
      <c r="A2267" s="10">
        <v>43696</v>
      </c>
      <c r="B2267" s="1016">
        <v>25.41</v>
      </c>
      <c r="C2267" s="318">
        <v>24.89</v>
      </c>
      <c r="D2267" s="318">
        <v>23.71</v>
      </c>
      <c r="E2267" s="318">
        <v>20.010000000000002</v>
      </c>
      <c r="F2267" s="1082">
        <v>30</v>
      </c>
      <c r="G2267" s="1068">
        <v>13</v>
      </c>
      <c r="H2267" s="1065">
        <v>48.93</v>
      </c>
      <c r="I2267" s="547">
        <v>21.45</v>
      </c>
      <c r="J2267" s="1083">
        <f>(110/(25/4.2091))</f>
        <v>18.520040000000002</v>
      </c>
      <c r="R2267" s="1093"/>
    </row>
    <row r="2268" spans="1:18" ht="13.5" thickBot="1">
      <c r="A2268" s="567">
        <v>43703</v>
      </c>
      <c r="B2268" s="1016">
        <v>25.2</v>
      </c>
      <c r="C2268" s="318">
        <v>24.71</v>
      </c>
      <c r="D2268" s="318">
        <v>23.51</v>
      </c>
      <c r="E2268" s="318">
        <v>20</v>
      </c>
      <c r="F2268" s="1082">
        <v>30</v>
      </c>
      <c r="G2268" s="1068">
        <v>12.55</v>
      </c>
      <c r="H2268" s="1065">
        <v>48.93</v>
      </c>
      <c r="I2268" s="547">
        <v>21.45</v>
      </c>
      <c r="J2268" s="1083">
        <f>(110/(25/4.2091))</f>
        <v>18.520040000000002</v>
      </c>
      <c r="R2268" s="1093"/>
    </row>
    <row r="2269" spans="1:18" ht="13.5" thickBot="1">
      <c r="A2269" s="1048" t="s">
        <v>628</v>
      </c>
      <c r="B2269" s="1049">
        <f t="shared" ref="B2269:G2269" si="229">AVERAGE(B2265:B2268)</f>
        <v>25.635000000000002</v>
      </c>
      <c r="C2269" s="1049">
        <f t="shared" si="229"/>
        <v>25.160000000000004</v>
      </c>
      <c r="D2269" s="1049">
        <f t="shared" si="229"/>
        <v>23.965</v>
      </c>
      <c r="E2269" s="1049">
        <f t="shared" si="229"/>
        <v>20.205000000000002</v>
      </c>
      <c r="F2269" s="1064">
        <f t="shared" si="229"/>
        <v>30</v>
      </c>
      <c r="G2269" s="1064">
        <f t="shared" si="229"/>
        <v>13.350000000000001</v>
      </c>
      <c r="H2269" s="1069">
        <f>AVERAGE(H2265:H2268)</f>
        <v>48.93</v>
      </c>
      <c r="I2269" s="1049">
        <f>AVERAGE(I2265:I2268)</f>
        <v>21.45</v>
      </c>
      <c r="J2269" s="1049">
        <f>AVERAGE(J2265:J2268)</f>
        <v>18.520040000000002</v>
      </c>
      <c r="R2269" s="1093"/>
    </row>
    <row r="2270" spans="1:18" ht="13.5" thickBot="1">
      <c r="A2270" s="564"/>
      <c r="B2270" s="564"/>
      <c r="C2270" s="564"/>
      <c r="D2270" s="564"/>
      <c r="E2270" s="564"/>
      <c r="F2270" s="564"/>
      <c r="G2270" s="564"/>
      <c r="H2270" s="548"/>
      <c r="I2270" s="564"/>
      <c r="J2270" s="564"/>
      <c r="R2270" s="1093"/>
    </row>
    <row r="2271" spans="1:18" ht="13.5" thickBot="1">
      <c r="A2271" s="1669" t="s">
        <v>1</v>
      </c>
      <c r="B2271" s="1074" t="s">
        <v>139</v>
      </c>
      <c r="C2271" s="1081" t="s">
        <v>140</v>
      </c>
      <c r="D2271" s="1074" t="s">
        <v>5</v>
      </c>
      <c r="E2271" s="1075" t="s">
        <v>6</v>
      </c>
      <c r="F2271" s="1076" t="s">
        <v>57</v>
      </c>
      <c r="G2271" s="1077" t="s">
        <v>154</v>
      </c>
      <c r="H2271" s="1078" t="s">
        <v>149</v>
      </c>
      <c r="I2271" s="1077" t="s">
        <v>155</v>
      </c>
      <c r="J2271" s="1079" t="s">
        <v>61</v>
      </c>
      <c r="R2271" s="1093"/>
    </row>
    <row r="2272" spans="1:18" ht="13.5" thickBot="1">
      <c r="A2272" s="1670"/>
      <c r="B2272" s="1080" t="s">
        <v>146</v>
      </c>
      <c r="C2272" s="1070" t="s">
        <v>146</v>
      </c>
      <c r="D2272" s="1070" t="s">
        <v>146</v>
      </c>
      <c r="E2272" s="1070" t="s">
        <v>146</v>
      </c>
      <c r="F2272" s="1071" t="s">
        <v>146</v>
      </c>
      <c r="G2272" s="1072" t="s">
        <v>146</v>
      </c>
      <c r="H2272" s="1073" t="s">
        <v>146</v>
      </c>
      <c r="I2272" s="1072" t="s">
        <v>146</v>
      </c>
      <c r="J2272" s="1072" t="s">
        <v>146</v>
      </c>
      <c r="R2272" s="1093"/>
    </row>
    <row r="2273" spans="1:18" ht="13.5" thickBot="1">
      <c r="A2273" s="74">
        <v>43710</v>
      </c>
      <c r="B2273" s="1015">
        <v>25.01</v>
      </c>
      <c r="C2273" s="730">
        <v>24.51</v>
      </c>
      <c r="D2273" s="730">
        <v>23.32</v>
      </c>
      <c r="E2273" s="730">
        <v>20</v>
      </c>
      <c r="F2273" s="1082">
        <v>30</v>
      </c>
      <c r="G2273" s="1067">
        <v>12.75</v>
      </c>
      <c r="H2273" s="1065">
        <v>49.17</v>
      </c>
      <c r="I2273" s="715">
        <v>21.25</v>
      </c>
      <c r="J2273" s="1083">
        <f>(100/(25/4.2091))</f>
        <v>16.836400000000001</v>
      </c>
      <c r="R2273" s="1093"/>
    </row>
    <row r="2274" spans="1:18" ht="13.5" thickBot="1">
      <c r="A2274" s="10">
        <v>43717</v>
      </c>
      <c r="B2274" s="1090">
        <v>25.01</v>
      </c>
      <c r="C2274" s="890">
        <v>24.52</v>
      </c>
      <c r="D2274" s="890">
        <v>23.32</v>
      </c>
      <c r="E2274" s="890">
        <v>20.67</v>
      </c>
      <c r="F2274" s="1082">
        <v>30</v>
      </c>
      <c r="G2274" s="1091">
        <v>12.9</v>
      </c>
      <c r="H2274" s="1065">
        <v>49.17</v>
      </c>
      <c r="I2274" s="893">
        <v>21.25</v>
      </c>
      <c r="J2274" s="1083">
        <f>(100/(25/4.2091))</f>
        <v>16.836400000000001</v>
      </c>
      <c r="R2274" s="1093"/>
    </row>
    <row r="2275" spans="1:18" ht="13.5" thickBot="1">
      <c r="A2275" s="10">
        <v>43725</v>
      </c>
      <c r="B2275" s="1016">
        <v>25.48</v>
      </c>
      <c r="C2275" s="318">
        <v>24.96</v>
      </c>
      <c r="D2275" s="318">
        <v>23.77</v>
      </c>
      <c r="E2275" s="318">
        <v>21.15</v>
      </c>
      <c r="F2275" s="1082">
        <v>30</v>
      </c>
      <c r="G2275" s="1068">
        <v>14.63</v>
      </c>
      <c r="H2275" s="1065">
        <v>49.17</v>
      </c>
      <c r="I2275" s="547">
        <v>21.45</v>
      </c>
      <c r="J2275" s="1083">
        <f>(100/(25/4.2091))</f>
        <v>16.836400000000001</v>
      </c>
      <c r="R2275" s="1093"/>
    </row>
    <row r="2276" spans="1:18" ht="13.5" thickBot="1">
      <c r="A2276" s="10">
        <v>43731</v>
      </c>
      <c r="B2276" s="1016">
        <v>25.99</v>
      </c>
      <c r="C2276" s="318">
        <v>25.42</v>
      </c>
      <c r="D2276" s="318">
        <v>24.23</v>
      </c>
      <c r="E2276" s="318">
        <v>21.53</v>
      </c>
      <c r="F2276" s="1082">
        <v>30</v>
      </c>
      <c r="G2276" s="1068">
        <v>14.88</v>
      </c>
      <c r="H2276" s="1065">
        <v>49.17</v>
      </c>
      <c r="I2276" s="547">
        <v>21.45</v>
      </c>
      <c r="J2276" s="1083">
        <f>(100/(25/4.2091))</f>
        <v>16.836400000000001</v>
      </c>
      <c r="R2276" s="1093"/>
    </row>
    <row r="2277" spans="1:18" ht="13.5" thickBot="1">
      <c r="A2277" s="567">
        <v>43738</v>
      </c>
      <c r="B2277" s="1016">
        <v>26</v>
      </c>
      <c r="C2277" s="318">
        <v>25.5</v>
      </c>
      <c r="D2277" s="318">
        <v>24.3</v>
      </c>
      <c r="E2277" s="318">
        <v>21.59</v>
      </c>
      <c r="F2277" s="1082">
        <v>30</v>
      </c>
      <c r="G2277" s="1068">
        <v>15.03</v>
      </c>
      <c r="H2277" s="1065">
        <v>49.17</v>
      </c>
      <c r="I2277" s="547">
        <v>21.45</v>
      </c>
      <c r="J2277" s="1083">
        <f>(100/(25/4.2091))</f>
        <v>16.836400000000001</v>
      </c>
      <c r="R2277" s="1093"/>
    </row>
    <row r="2278" spans="1:18" ht="13.5" thickBot="1">
      <c r="A2278" s="1048" t="s">
        <v>630</v>
      </c>
      <c r="B2278" s="1049">
        <f t="shared" ref="B2278:J2278" si="230">AVERAGE(B2273:B2277)</f>
        <v>25.497999999999998</v>
      </c>
      <c r="C2278" s="1049">
        <f t="shared" si="230"/>
        <v>24.982000000000003</v>
      </c>
      <c r="D2278" s="1049">
        <f t="shared" si="230"/>
        <v>23.788</v>
      </c>
      <c r="E2278" s="1049">
        <f t="shared" si="230"/>
        <v>20.988</v>
      </c>
      <c r="F2278" s="1064">
        <f t="shared" si="230"/>
        <v>30</v>
      </c>
      <c r="G2278" s="1064">
        <f t="shared" si="230"/>
        <v>14.038</v>
      </c>
      <c r="H2278" s="1069">
        <f t="shared" si="230"/>
        <v>49.17</v>
      </c>
      <c r="I2278" s="1049">
        <f t="shared" si="230"/>
        <v>21.37</v>
      </c>
      <c r="J2278" s="1049">
        <f t="shared" si="230"/>
        <v>16.836400000000001</v>
      </c>
      <c r="R2278" s="1093"/>
    </row>
    <row r="2279" spans="1:18" ht="13.5" thickBot="1">
      <c r="K2279" s="564" t="s">
        <v>148</v>
      </c>
      <c r="R2279" s="1093"/>
    </row>
    <row r="2280" spans="1:18" ht="13.5" thickBot="1">
      <c r="A2280" s="1669" t="s">
        <v>1</v>
      </c>
      <c r="B2280" s="1074" t="s">
        <v>139</v>
      </c>
      <c r="C2280" s="1081" t="s">
        <v>140</v>
      </c>
      <c r="D2280" s="1074" t="s">
        <v>5</v>
      </c>
      <c r="E2280" s="1075" t="s">
        <v>6</v>
      </c>
      <c r="F2280" s="1076" t="s">
        <v>57</v>
      </c>
      <c r="G2280" s="1077" t="s">
        <v>154</v>
      </c>
      <c r="H2280" s="1078" t="s">
        <v>149</v>
      </c>
      <c r="I2280" s="1077" t="s">
        <v>155</v>
      </c>
      <c r="J2280" s="1079" t="s">
        <v>61</v>
      </c>
      <c r="R2280" s="1093"/>
    </row>
    <row r="2281" spans="1:18" ht="13.5" thickBot="1">
      <c r="A2281" s="1670"/>
      <c r="B2281" s="1080" t="s">
        <v>146</v>
      </c>
      <c r="C2281" s="1070" t="s">
        <v>146</v>
      </c>
      <c r="D2281" s="1070" t="s">
        <v>146</v>
      </c>
      <c r="E2281" s="1070" t="s">
        <v>146</v>
      </c>
      <c r="F2281" s="1071" t="s">
        <v>146</v>
      </c>
      <c r="G2281" s="1072" t="s">
        <v>146</v>
      </c>
      <c r="H2281" s="1073" t="s">
        <v>146</v>
      </c>
      <c r="I2281" s="1072" t="s">
        <v>146</v>
      </c>
      <c r="J2281" s="1072" t="s">
        <v>146</v>
      </c>
      <c r="R2281" s="1093"/>
    </row>
    <row r="2282" spans="1:18" ht="13.5" thickBot="1">
      <c r="A2282" s="74">
        <v>43745</v>
      </c>
      <c r="B2282" s="1015">
        <v>25.21</v>
      </c>
      <c r="C2282" s="730">
        <v>24.73</v>
      </c>
      <c r="D2282" s="730">
        <v>23.62</v>
      </c>
      <c r="E2282" s="730">
        <v>21.21</v>
      </c>
      <c r="F2282" s="1082">
        <v>30</v>
      </c>
      <c r="G2282" s="1067">
        <v>14.85</v>
      </c>
      <c r="H2282" s="1065">
        <v>49.17</v>
      </c>
      <c r="I2282" s="715">
        <v>21.15</v>
      </c>
      <c r="J2282" s="1083">
        <f>(100/(25/4.2091))</f>
        <v>16.836400000000001</v>
      </c>
      <c r="R2282" s="1093"/>
    </row>
    <row r="2283" spans="1:18" ht="13.5" thickBot="1">
      <c r="A2283" s="10">
        <v>43752</v>
      </c>
      <c r="B2283" s="1016">
        <v>25.21</v>
      </c>
      <c r="C2283" s="318">
        <v>24.71</v>
      </c>
      <c r="D2283" s="318">
        <v>23.61</v>
      </c>
      <c r="E2283" s="318">
        <v>21.2</v>
      </c>
      <c r="F2283" s="1082">
        <v>30</v>
      </c>
      <c r="G2283" s="1068">
        <v>15.13</v>
      </c>
      <c r="H2283" s="1065">
        <v>49.17</v>
      </c>
      <c r="I2283" s="547">
        <v>21.15</v>
      </c>
      <c r="J2283" s="1083">
        <f>(100/(25/4.2091))</f>
        <v>16.836400000000001</v>
      </c>
      <c r="R2283" s="1093">
        <v>12.525</v>
      </c>
    </row>
    <row r="2284" spans="1:18" ht="13.5" thickBot="1">
      <c r="A2284" s="10">
        <v>43760</v>
      </c>
      <c r="B2284" s="1016">
        <v>25.21</v>
      </c>
      <c r="C2284" s="318">
        <v>24.71</v>
      </c>
      <c r="D2284" s="318">
        <v>23.6</v>
      </c>
      <c r="E2284" s="318">
        <v>21.2</v>
      </c>
      <c r="F2284" s="1082">
        <v>30</v>
      </c>
      <c r="G2284" s="1068">
        <v>12.83</v>
      </c>
      <c r="H2284" s="1065">
        <v>49.17</v>
      </c>
      <c r="I2284" s="547">
        <v>21.15</v>
      </c>
      <c r="J2284" s="1083">
        <f>(100/(25/4.2091))</f>
        <v>16.836400000000001</v>
      </c>
      <c r="N2284" s="564" t="s">
        <v>148</v>
      </c>
      <c r="R2284" s="1093"/>
    </row>
    <row r="2285" spans="1:18" ht="13.5" thickBot="1">
      <c r="A2285" s="567">
        <v>43766</v>
      </c>
      <c r="B2285" s="1016">
        <v>25.21</v>
      </c>
      <c r="C2285" s="318">
        <v>24.71</v>
      </c>
      <c r="D2285" s="318">
        <v>23.6</v>
      </c>
      <c r="E2285" s="318">
        <v>21.2</v>
      </c>
      <c r="F2285" s="1082">
        <v>30</v>
      </c>
      <c r="G2285" s="1068">
        <v>13.75</v>
      </c>
      <c r="H2285" s="1065">
        <v>49.17</v>
      </c>
      <c r="I2285" s="547">
        <v>21.15</v>
      </c>
      <c r="J2285" s="1083">
        <f>(100/(25/4.2091))</f>
        <v>16.836400000000001</v>
      </c>
      <c r="R2285" s="1093"/>
    </row>
    <row r="2286" spans="1:18" ht="13.5" thickBot="1">
      <c r="A2286" s="1048" t="s">
        <v>631</v>
      </c>
      <c r="B2286" s="1049">
        <f t="shared" ref="B2286:J2286" si="231">AVERAGE(B2282:B2285)</f>
        <v>25.21</v>
      </c>
      <c r="C2286" s="1049">
        <f t="shared" si="231"/>
        <v>24.715000000000003</v>
      </c>
      <c r="D2286" s="1049">
        <f t="shared" si="231"/>
        <v>23.607500000000002</v>
      </c>
      <c r="E2286" s="1049">
        <f t="shared" si="231"/>
        <v>21.202500000000001</v>
      </c>
      <c r="F2286" s="1064">
        <f t="shared" si="231"/>
        <v>30</v>
      </c>
      <c r="G2286" s="1064">
        <f t="shared" si="231"/>
        <v>14.14</v>
      </c>
      <c r="H2286" s="1069">
        <f t="shared" si="231"/>
        <v>49.17</v>
      </c>
      <c r="I2286" s="1049">
        <f t="shared" si="231"/>
        <v>21.15</v>
      </c>
      <c r="J2286" s="1049">
        <f t="shared" si="231"/>
        <v>16.836400000000001</v>
      </c>
      <c r="R2286" s="1093"/>
    </row>
    <row r="2287" spans="1:18" ht="13.5" thickBot="1">
      <c r="R2287" s="1093"/>
    </row>
    <row r="2288" spans="1:18" ht="13.5" thickBot="1">
      <c r="A2288" s="1669" t="s">
        <v>1</v>
      </c>
      <c r="B2288" s="1074" t="s">
        <v>139</v>
      </c>
      <c r="C2288" s="1081" t="s">
        <v>140</v>
      </c>
      <c r="D2288" s="1074" t="s">
        <v>5</v>
      </c>
      <c r="E2288" s="1075" t="s">
        <v>6</v>
      </c>
      <c r="F2288" s="1076" t="s">
        <v>57</v>
      </c>
      <c r="G2288" s="1077" t="s">
        <v>154</v>
      </c>
      <c r="H2288" s="1078" t="s">
        <v>149</v>
      </c>
      <c r="I2288" s="1077" t="s">
        <v>155</v>
      </c>
      <c r="J2288" s="1079" t="s">
        <v>61</v>
      </c>
      <c r="R2288" s="1093"/>
    </row>
    <row r="2289" spans="1:18" ht="13.5" thickBot="1">
      <c r="A2289" s="1670"/>
      <c r="B2289" s="1080" t="s">
        <v>146</v>
      </c>
      <c r="C2289" s="1070" t="s">
        <v>146</v>
      </c>
      <c r="D2289" s="1070" t="s">
        <v>146</v>
      </c>
      <c r="E2289" s="1070" t="s">
        <v>146</v>
      </c>
      <c r="F2289" s="1071" t="s">
        <v>146</v>
      </c>
      <c r="G2289" s="1072" t="s">
        <v>146</v>
      </c>
      <c r="H2289" s="1073" t="s">
        <v>146</v>
      </c>
      <c r="I2289" s="1072" t="s">
        <v>146</v>
      </c>
      <c r="J2289" s="1072" t="s">
        <v>146</v>
      </c>
      <c r="R2289" s="1093"/>
    </row>
    <row r="2290" spans="1:18" ht="13.5" thickBot="1">
      <c r="A2290" s="74">
        <v>43773</v>
      </c>
      <c r="B2290" s="1015">
        <v>25.21</v>
      </c>
      <c r="C2290" s="730">
        <v>24.7</v>
      </c>
      <c r="D2290" s="730">
        <v>23.59</v>
      </c>
      <c r="E2290" s="730">
        <v>21.01</v>
      </c>
      <c r="F2290" s="1082">
        <v>30</v>
      </c>
      <c r="G2290" s="1067">
        <v>12.525</v>
      </c>
      <c r="H2290" s="1065">
        <v>49.15</v>
      </c>
      <c r="I2290" s="715">
        <v>21.8</v>
      </c>
      <c r="J2290" s="1083">
        <f>(100/(25/4.2091))</f>
        <v>16.836400000000001</v>
      </c>
      <c r="R2290" s="1093">
        <v>12.174999999999999</v>
      </c>
    </row>
    <row r="2291" spans="1:18" ht="13.5" thickBot="1">
      <c r="A2291" s="10">
        <v>43780</v>
      </c>
      <c r="B2291" s="1016">
        <v>25.21</v>
      </c>
      <c r="C2291" s="318">
        <v>24.7</v>
      </c>
      <c r="D2291" s="318">
        <v>23.59</v>
      </c>
      <c r="E2291" s="318">
        <v>21</v>
      </c>
      <c r="F2291" s="1082">
        <v>30</v>
      </c>
      <c r="G2291" s="1068">
        <v>12.175000000000001</v>
      </c>
      <c r="H2291" s="1065">
        <v>49.15</v>
      </c>
      <c r="I2291" s="547">
        <v>21.8</v>
      </c>
      <c r="J2291" s="1083">
        <f>(100/(25/4.2091))</f>
        <v>16.836400000000001</v>
      </c>
      <c r="R2291" s="1093"/>
    </row>
    <row r="2292" spans="1:18" ht="13.5" thickBot="1">
      <c r="A2292" s="10">
        <v>43787</v>
      </c>
      <c r="B2292" s="1016">
        <v>25.21</v>
      </c>
      <c r="C2292" s="318">
        <v>24.7</v>
      </c>
      <c r="D2292" s="318">
        <v>23.6</v>
      </c>
      <c r="E2292" s="318">
        <v>20.99</v>
      </c>
      <c r="F2292" s="1082">
        <v>30</v>
      </c>
      <c r="G2292" s="1068">
        <v>11.85</v>
      </c>
      <c r="H2292" s="1065">
        <v>49.15</v>
      </c>
      <c r="I2292" s="547">
        <v>21.8</v>
      </c>
      <c r="J2292" s="1083">
        <f>(100/(25/4.2091))</f>
        <v>16.836400000000001</v>
      </c>
      <c r="R2292" s="1093"/>
    </row>
    <row r="2293" spans="1:18" ht="13.5" thickBot="1">
      <c r="A2293" s="567">
        <v>43794</v>
      </c>
      <c r="B2293" s="1016">
        <v>25</v>
      </c>
      <c r="C2293" s="318">
        <v>24.51</v>
      </c>
      <c r="D2293" s="318">
        <v>23.5</v>
      </c>
      <c r="E2293" s="318">
        <v>20.73</v>
      </c>
      <c r="F2293" s="1082">
        <v>30</v>
      </c>
      <c r="G2293" s="1068">
        <v>11.483000000000001</v>
      </c>
      <c r="H2293" s="1065">
        <v>49.15</v>
      </c>
      <c r="I2293" s="547">
        <v>21.8</v>
      </c>
      <c r="J2293" s="1083">
        <f>(110/(25/4.2091))</f>
        <v>18.520040000000002</v>
      </c>
      <c r="R2293" s="1093"/>
    </row>
    <row r="2294" spans="1:18" ht="13.5" thickBot="1">
      <c r="A2294" s="1048" t="s">
        <v>632</v>
      </c>
      <c r="B2294" s="1049">
        <f t="shared" ref="B2294:J2294" si="232">AVERAGE(B2290:B2293)</f>
        <v>25.157499999999999</v>
      </c>
      <c r="C2294" s="1049">
        <f t="shared" si="232"/>
        <v>24.6525</v>
      </c>
      <c r="D2294" s="1049">
        <f t="shared" si="232"/>
        <v>23.57</v>
      </c>
      <c r="E2294" s="1049">
        <f t="shared" si="232"/>
        <v>20.932500000000001</v>
      </c>
      <c r="F2294" s="1064">
        <f t="shared" si="232"/>
        <v>30</v>
      </c>
      <c r="G2294" s="1064">
        <f t="shared" si="232"/>
        <v>12.00825</v>
      </c>
      <c r="H2294" s="1069">
        <f t="shared" si="232"/>
        <v>49.15</v>
      </c>
      <c r="I2294" s="1049">
        <f t="shared" si="232"/>
        <v>21.8</v>
      </c>
      <c r="J2294" s="1049">
        <f t="shared" si="232"/>
        <v>17.257310000000004</v>
      </c>
      <c r="R2294" s="1093"/>
    </row>
    <row r="2295" spans="1:18" ht="13.5" thickBot="1">
      <c r="A2295" s="564"/>
      <c r="B2295" s="564"/>
      <c r="C2295" s="564"/>
      <c r="D2295" s="564"/>
      <c r="E2295" s="564"/>
      <c r="F2295" s="564"/>
      <c r="G2295" s="564"/>
      <c r="H2295" s="548"/>
      <c r="I2295" s="564"/>
      <c r="J2295" s="564"/>
      <c r="R2295" s="1093"/>
    </row>
    <row r="2296" spans="1:18" ht="13.5" thickBot="1">
      <c r="A2296" s="1669" t="s">
        <v>1</v>
      </c>
      <c r="B2296" s="1074" t="s">
        <v>139</v>
      </c>
      <c r="C2296" s="1081" t="s">
        <v>140</v>
      </c>
      <c r="D2296" s="1074" t="s">
        <v>5</v>
      </c>
      <c r="E2296" s="1075" t="s">
        <v>6</v>
      </c>
      <c r="F2296" s="1076" t="s">
        <v>57</v>
      </c>
      <c r="G2296" s="1077" t="s">
        <v>154</v>
      </c>
      <c r="H2296" s="1078" t="s">
        <v>149</v>
      </c>
      <c r="I2296" s="1077" t="s">
        <v>155</v>
      </c>
      <c r="J2296" s="1079" t="s">
        <v>61</v>
      </c>
      <c r="R2296" s="1093"/>
    </row>
    <row r="2297" spans="1:18" ht="13.5" thickBot="1">
      <c r="A2297" s="1670"/>
      <c r="B2297" s="1080" t="s">
        <v>146</v>
      </c>
      <c r="C2297" s="1070" t="s">
        <v>146</v>
      </c>
      <c r="D2297" s="1070" t="s">
        <v>146</v>
      </c>
      <c r="E2297" s="1070" t="s">
        <v>146</v>
      </c>
      <c r="F2297" s="1071" t="s">
        <v>146</v>
      </c>
      <c r="G2297" s="1072" t="s">
        <v>146</v>
      </c>
      <c r="H2297" s="1073" t="s">
        <v>146</v>
      </c>
      <c r="I2297" s="1072" t="s">
        <v>146</v>
      </c>
      <c r="J2297" s="1072" t="s">
        <v>146</v>
      </c>
      <c r="R2297" s="1093"/>
    </row>
    <row r="2298" spans="1:18" ht="13.5" thickBot="1">
      <c r="A2298" s="74">
        <v>43801</v>
      </c>
      <c r="B2298" s="1015"/>
      <c r="C2298" s="730"/>
      <c r="D2298" s="730"/>
      <c r="E2298" s="730"/>
      <c r="F2298" s="1082">
        <v>30</v>
      </c>
      <c r="G2298" s="1067">
        <v>11.78</v>
      </c>
      <c r="H2298" s="1065">
        <v>48.96</v>
      </c>
      <c r="I2298" s="715">
        <v>21.8</v>
      </c>
      <c r="J2298" s="1083">
        <f>(110/(25/4.2091))</f>
        <v>18.520040000000002</v>
      </c>
      <c r="R2298" s="1093"/>
    </row>
    <row r="2299" spans="1:18" ht="13.5" thickBot="1">
      <c r="A2299" s="10">
        <v>43808</v>
      </c>
      <c r="B2299" s="1016"/>
      <c r="C2299" s="318"/>
      <c r="D2299" s="318"/>
      <c r="E2299" s="318"/>
      <c r="F2299" s="1082">
        <v>30</v>
      </c>
      <c r="G2299" s="1068">
        <v>11.48</v>
      </c>
      <c r="H2299" s="1065">
        <v>48.96</v>
      </c>
      <c r="I2299" s="547">
        <v>21.8</v>
      </c>
      <c r="J2299" s="1083">
        <f>(110/(25/4.2091))</f>
        <v>18.520040000000002</v>
      </c>
      <c r="R2299" s="1093"/>
    </row>
    <row r="2300" spans="1:18" ht="13.5" thickBot="1">
      <c r="A2300" s="10">
        <v>43815</v>
      </c>
      <c r="B2300" s="1016"/>
      <c r="C2300" s="318"/>
      <c r="D2300" s="318"/>
      <c r="E2300" s="318"/>
      <c r="F2300" s="1082">
        <v>30</v>
      </c>
      <c r="G2300" s="1068">
        <v>12.43</v>
      </c>
      <c r="H2300" s="1065">
        <v>48.96</v>
      </c>
      <c r="I2300" s="547">
        <v>21.8</v>
      </c>
      <c r="J2300" s="1083">
        <f>(110/(25/4.2091))</f>
        <v>18.520040000000002</v>
      </c>
      <c r="R2300" s="1093"/>
    </row>
    <row r="2301" spans="1:18" ht="13.5" thickBot="1">
      <c r="A2301" s="10">
        <v>43822</v>
      </c>
      <c r="B2301" s="1016"/>
      <c r="C2301" s="318"/>
      <c r="D2301" s="318"/>
      <c r="E2301" s="318"/>
      <c r="F2301" s="1082">
        <v>30</v>
      </c>
      <c r="G2301" s="1068">
        <v>12.38</v>
      </c>
      <c r="H2301" s="1065">
        <v>48.96</v>
      </c>
      <c r="I2301" s="547">
        <v>21.8</v>
      </c>
      <c r="J2301" s="1083">
        <f>(110/(25/4.2091))</f>
        <v>18.520040000000002</v>
      </c>
      <c r="R2301" s="1093"/>
    </row>
    <row r="2302" spans="1:18" ht="13.5" thickBot="1">
      <c r="A2302" s="567">
        <v>43829</v>
      </c>
      <c r="B2302" s="1016"/>
      <c r="C2302" s="318"/>
      <c r="D2302" s="318"/>
      <c r="E2302" s="318"/>
      <c r="F2302" s="1082">
        <v>30</v>
      </c>
      <c r="G2302" s="1068">
        <v>12.38</v>
      </c>
      <c r="H2302" s="1065">
        <v>49.96</v>
      </c>
      <c r="I2302" s="547">
        <v>21.8</v>
      </c>
      <c r="J2302" s="1083">
        <f>(110/(25/4.2091))</f>
        <v>18.520040000000002</v>
      </c>
      <c r="R2302" s="1094">
        <v>11.483333333333334</v>
      </c>
    </row>
    <row r="2303" spans="1:18" ht="13.5" thickBot="1">
      <c r="A2303" s="1048" t="s">
        <v>633</v>
      </c>
      <c r="B2303" s="1049" t="e">
        <f t="shared" ref="B2303:J2303" si="233">AVERAGE(B2298:B2302)</f>
        <v>#DIV/0!</v>
      </c>
      <c r="C2303" s="1049" t="e">
        <f t="shared" si="233"/>
        <v>#DIV/0!</v>
      </c>
      <c r="D2303" s="1049" t="e">
        <f t="shared" si="233"/>
        <v>#DIV/0!</v>
      </c>
      <c r="E2303" s="1049" t="e">
        <f t="shared" si="233"/>
        <v>#DIV/0!</v>
      </c>
      <c r="F2303" s="1064">
        <f t="shared" si="233"/>
        <v>30</v>
      </c>
      <c r="G2303" s="1064">
        <f t="shared" si="233"/>
        <v>12.09</v>
      </c>
      <c r="H2303" s="1069">
        <f t="shared" si="233"/>
        <v>49.160000000000004</v>
      </c>
      <c r="I2303" s="1049">
        <f t="shared" si="233"/>
        <v>21.8</v>
      </c>
      <c r="J2303" s="1049">
        <f t="shared" si="233"/>
        <v>18.520040000000002</v>
      </c>
    </row>
    <row r="2304" spans="1:18" ht="13.5" thickBot="1"/>
    <row r="2305" spans="1:18" ht="13.5" thickBot="1">
      <c r="A2305" s="1669" t="s">
        <v>1</v>
      </c>
      <c r="B2305" s="1074" t="s">
        <v>139</v>
      </c>
      <c r="C2305" s="1081" t="s">
        <v>140</v>
      </c>
      <c r="D2305" s="1074" t="s">
        <v>5</v>
      </c>
      <c r="E2305" s="1075" t="s">
        <v>6</v>
      </c>
      <c r="F2305" s="1076" t="s">
        <v>57</v>
      </c>
      <c r="G2305" s="1077" t="s">
        <v>154</v>
      </c>
      <c r="H2305" s="1078" t="s">
        <v>149</v>
      </c>
      <c r="I2305" s="1077" t="s">
        <v>155</v>
      </c>
      <c r="J2305" s="1079" t="s">
        <v>61</v>
      </c>
    </row>
    <row r="2306" spans="1:18" ht="13.5" thickBot="1">
      <c r="A2306" s="1670"/>
      <c r="B2306" s="1080" t="s">
        <v>146</v>
      </c>
      <c r="C2306" s="1070" t="s">
        <v>146</v>
      </c>
      <c r="D2306" s="1070" t="s">
        <v>146</v>
      </c>
      <c r="E2306" s="1070" t="s">
        <v>146</v>
      </c>
      <c r="F2306" s="1071" t="s">
        <v>146</v>
      </c>
      <c r="G2306" s="1072" t="s">
        <v>146</v>
      </c>
      <c r="H2306" s="1073" t="s">
        <v>146</v>
      </c>
      <c r="I2306" s="1072" t="s">
        <v>146</v>
      </c>
      <c r="J2306" s="1072" t="s">
        <v>146</v>
      </c>
    </row>
    <row r="2307" spans="1:18" ht="13.5" thickBot="1">
      <c r="A2307" s="74">
        <v>43836</v>
      </c>
      <c r="B2307" s="1015"/>
      <c r="C2307" s="730"/>
      <c r="D2307" s="730"/>
      <c r="E2307" s="730"/>
      <c r="F2307" s="1082">
        <v>30</v>
      </c>
      <c r="G2307" s="1067">
        <v>12.38</v>
      </c>
      <c r="H2307" s="1065">
        <v>48.96</v>
      </c>
      <c r="I2307" s="715">
        <v>21.8</v>
      </c>
      <c r="J2307" s="1083">
        <f>(110/(25/4.2091))</f>
        <v>18.520040000000002</v>
      </c>
      <c r="R2307" s="564">
        <v>11.524999999999999</v>
      </c>
    </row>
    <row r="2308" spans="1:18" ht="13.5" thickBot="1">
      <c r="A2308" s="10">
        <v>43843</v>
      </c>
      <c r="B2308" s="1016"/>
      <c r="C2308" s="318"/>
      <c r="D2308" s="318"/>
      <c r="E2308" s="318"/>
      <c r="F2308" s="1082">
        <v>30</v>
      </c>
      <c r="G2308" s="1068">
        <v>12.25</v>
      </c>
      <c r="H2308" s="1065">
        <v>48.96</v>
      </c>
      <c r="I2308" s="547">
        <v>20.91</v>
      </c>
      <c r="J2308" s="1083">
        <f>(110/(25/4.2091))</f>
        <v>18.520040000000002</v>
      </c>
    </row>
    <row r="2309" spans="1:18" ht="13.5" thickBot="1">
      <c r="A2309" s="10">
        <v>43850</v>
      </c>
      <c r="B2309" s="1016"/>
      <c r="C2309" s="318"/>
      <c r="D2309" s="318"/>
      <c r="E2309" s="318"/>
      <c r="F2309" s="1082">
        <v>30</v>
      </c>
      <c r="G2309" s="1068">
        <v>12.25</v>
      </c>
      <c r="H2309" s="1065">
        <v>48.96</v>
      </c>
      <c r="I2309" s="547">
        <v>21.05</v>
      </c>
      <c r="J2309" s="1083">
        <f>(110/(25/4.2091))</f>
        <v>18.520040000000002</v>
      </c>
    </row>
    <row r="2310" spans="1:18" ht="13.5" thickBot="1">
      <c r="A2310" s="10">
        <v>43857</v>
      </c>
      <c r="B2310" s="1016"/>
      <c r="C2310" s="318"/>
      <c r="D2310" s="318"/>
      <c r="E2310" s="318"/>
      <c r="F2310" s="1082">
        <v>30</v>
      </c>
      <c r="G2310" s="1068">
        <v>12.25</v>
      </c>
      <c r="H2310" s="1065">
        <v>48.96</v>
      </c>
      <c r="I2310" s="547">
        <v>21.05</v>
      </c>
      <c r="J2310" s="1083">
        <f>(110/(25/4.2091))</f>
        <v>18.520040000000002</v>
      </c>
    </row>
    <row r="2311" spans="1:18" ht="13.5" thickBot="1">
      <c r="A2311" s="1048" t="s">
        <v>636</v>
      </c>
      <c r="B2311" s="1049" t="e">
        <f t="shared" ref="B2311:J2311" si="234">AVERAGE(B2307:B2310)</f>
        <v>#DIV/0!</v>
      </c>
      <c r="C2311" s="1049" t="e">
        <f t="shared" si="234"/>
        <v>#DIV/0!</v>
      </c>
      <c r="D2311" s="1049" t="e">
        <f t="shared" si="234"/>
        <v>#DIV/0!</v>
      </c>
      <c r="E2311" s="1049" t="e">
        <f t="shared" si="234"/>
        <v>#DIV/0!</v>
      </c>
      <c r="F2311" s="1064">
        <f t="shared" si="234"/>
        <v>30</v>
      </c>
      <c r="G2311" s="1064">
        <f t="shared" si="234"/>
        <v>12.282500000000001</v>
      </c>
      <c r="H2311" s="1064">
        <f t="shared" si="234"/>
        <v>48.96</v>
      </c>
      <c r="I2311" s="1049">
        <f t="shared" si="234"/>
        <v>21.202500000000001</v>
      </c>
      <c r="J2311" s="1049">
        <f t="shared" si="234"/>
        <v>18.520040000000002</v>
      </c>
    </row>
    <row r="2312" spans="1:18" ht="13.5" thickBot="1"/>
    <row r="2313" spans="1:18" ht="13.5" thickBot="1">
      <c r="A2313" s="1669" t="s">
        <v>1</v>
      </c>
      <c r="B2313" s="1074" t="s">
        <v>139</v>
      </c>
      <c r="C2313" s="1081" t="s">
        <v>140</v>
      </c>
      <c r="D2313" s="1074" t="s">
        <v>5</v>
      </c>
      <c r="E2313" s="1075" t="s">
        <v>6</v>
      </c>
      <c r="F2313" s="1076" t="s">
        <v>57</v>
      </c>
      <c r="G2313" s="1077" t="s">
        <v>154</v>
      </c>
      <c r="H2313" s="1078" t="s">
        <v>149</v>
      </c>
      <c r="I2313" s="1077" t="s">
        <v>155</v>
      </c>
      <c r="J2313" s="1079" t="s">
        <v>61</v>
      </c>
    </row>
    <row r="2314" spans="1:18" ht="13.5" thickBot="1">
      <c r="A2314" s="1670"/>
      <c r="B2314" s="1080" t="s">
        <v>146</v>
      </c>
      <c r="C2314" s="1070" t="s">
        <v>146</v>
      </c>
      <c r="D2314" s="1070" t="s">
        <v>146</v>
      </c>
      <c r="E2314" s="1070" t="s">
        <v>146</v>
      </c>
      <c r="F2314" s="1071" t="s">
        <v>146</v>
      </c>
      <c r="G2314" s="1072" t="s">
        <v>146</v>
      </c>
      <c r="H2314" s="1073" t="s">
        <v>146</v>
      </c>
      <c r="I2314" s="1072" t="s">
        <v>146</v>
      </c>
      <c r="J2314" s="1072" t="s">
        <v>146</v>
      </c>
    </row>
    <row r="2315" spans="1:18" ht="13.5" thickBot="1">
      <c r="A2315" s="74">
        <v>43864</v>
      </c>
      <c r="B2315" s="1015"/>
      <c r="C2315" s="730"/>
      <c r="D2315" s="730"/>
      <c r="E2315" s="730"/>
      <c r="F2315" s="1082">
        <v>30</v>
      </c>
      <c r="G2315" s="1067">
        <v>12.75</v>
      </c>
      <c r="H2315" s="1065">
        <v>49.11</v>
      </c>
      <c r="I2315" s="715">
        <v>20.8</v>
      </c>
      <c r="J2315" s="1083">
        <f>(108.6/(25/4.2091))</f>
        <v>18.284330400000002</v>
      </c>
    </row>
    <row r="2316" spans="1:18" ht="13.5" thickBot="1">
      <c r="A2316" s="10">
        <v>43871</v>
      </c>
      <c r="B2316" s="1016"/>
      <c r="C2316" s="318"/>
      <c r="D2316" s="318"/>
      <c r="E2316" s="318"/>
      <c r="F2316" s="1082">
        <v>30</v>
      </c>
      <c r="G2316" s="1068">
        <v>12.5</v>
      </c>
      <c r="H2316" s="1065">
        <v>49.11</v>
      </c>
      <c r="I2316" s="547">
        <v>20.8</v>
      </c>
      <c r="J2316" s="1083">
        <f>(108.6/(25/4.2091))</f>
        <v>18.284330400000002</v>
      </c>
    </row>
    <row r="2317" spans="1:18" ht="13.5" thickBot="1">
      <c r="A2317" s="10">
        <v>43878</v>
      </c>
      <c r="B2317" s="1016"/>
      <c r="C2317" s="318"/>
      <c r="D2317" s="318"/>
      <c r="E2317" s="318"/>
      <c r="F2317" s="1082">
        <v>30</v>
      </c>
      <c r="G2317" s="1068">
        <v>12.5</v>
      </c>
      <c r="H2317" s="1065">
        <v>49.11</v>
      </c>
      <c r="I2317" s="547">
        <v>20.8</v>
      </c>
      <c r="J2317" s="1083">
        <f>(108.6/(25/4.2091))</f>
        <v>18.284330400000002</v>
      </c>
    </row>
    <row r="2318" spans="1:18" ht="13.5" thickBot="1">
      <c r="A2318" s="10">
        <v>43885</v>
      </c>
      <c r="B2318" s="1016"/>
      <c r="C2318" s="318"/>
      <c r="D2318" s="318"/>
      <c r="E2318" s="318"/>
      <c r="F2318" s="1082">
        <v>30</v>
      </c>
      <c r="G2318" s="1068">
        <v>12.5</v>
      </c>
      <c r="H2318" s="1065">
        <v>49.11</v>
      </c>
      <c r="I2318" s="547">
        <v>20.8</v>
      </c>
      <c r="J2318" s="1083">
        <f>(108.6/(25/4.2091))</f>
        <v>18.284330400000002</v>
      </c>
    </row>
    <row r="2319" spans="1:18" ht="13.5" thickBot="1">
      <c r="A2319" s="1048" t="s">
        <v>637</v>
      </c>
      <c r="B2319" s="1049" t="e">
        <f t="shared" ref="B2319:J2319" si="235">AVERAGE(B2315:B2318)</f>
        <v>#DIV/0!</v>
      </c>
      <c r="C2319" s="1049" t="e">
        <f t="shared" si="235"/>
        <v>#DIV/0!</v>
      </c>
      <c r="D2319" s="1049" t="e">
        <f t="shared" si="235"/>
        <v>#DIV/0!</v>
      </c>
      <c r="E2319" s="1049" t="e">
        <f t="shared" si="235"/>
        <v>#DIV/0!</v>
      </c>
      <c r="F2319" s="1064">
        <f t="shared" si="235"/>
        <v>30</v>
      </c>
      <c r="G2319" s="1064">
        <f t="shared" si="235"/>
        <v>12.5625</v>
      </c>
      <c r="H2319" s="1069">
        <f t="shared" si="235"/>
        <v>49.11</v>
      </c>
      <c r="I2319" s="1049">
        <f t="shared" si="235"/>
        <v>20.8</v>
      </c>
      <c r="J2319" s="1049">
        <f t="shared" si="235"/>
        <v>18.284330400000002</v>
      </c>
    </row>
    <row r="2320" spans="1:18" ht="13.5" thickBot="1"/>
    <row r="2321" spans="1:10" ht="13.5" thickBot="1">
      <c r="A2321" s="1669" t="s">
        <v>1</v>
      </c>
      <c r="B2321" s="1074" t="s">
        <v>139</v>
      </c>
      <c r="C2321" s="1081" t="s">
        <v>140</v>
      </c>
      <c r="D2321" s="1074" t="s">
        <v>5</v>
      </c>
      <c r="E2321" s="1075" t="s">
        <v>6</v>
      </c>
      <c r="F2321" s="1076" t="s">
        <v>57</v>
      </c>
      <c r="G2321" s="1077" t="s">
        <v>154</v>
      </c>
      <c r="H2321" s="1078" t="s">
        <v>149</v>
      </c>
      <c r="I2321" s="1077" t="s">
        <v>155</v>
      </c>
      <c r="J2321" s="1079" t="s">
        <v>61</v>
      </c>
    </row>
    <row r="2322" spans="1:10" ht="13.5" thickBot="1">
      <c r="A2322" s="1670"/>
      <c r="B2322" s="1080" t="s">
        <v>146</v>
      </c>
      <c r="C2322" s="1070" t="s">
        <v>146</v>
      </c>
      <c r="D2322" s="1070" t="s">
        <v>146</v>
      </c>
      <c r="E2322" s="1070" t="s">
        <v>146</v>
      </c>
      <c r="F2322" s="1071" t="s">
        <v>146</v>
      </c>
      <c r="G2322" s="1072" t="s">
        <v>146</v>
      </c>
      <c r="H2322" s="1073" t="s">
        <v>146</v>
      </c>
      <c r="I2322" s="1072" t="s">
        <v>146</v>
      </c>
      <c r="J2322" s="1072" t="s">
        <v>146</v>
      </c>
    </row>
    <row r="2323" spans="1:10" ht="13.5" thickBot="1">
      <c r="A2323" s="74">
        <v>43892</v>
      </c>
      <c r="B2323" s="1015"/>
      <c r="C2323" s="730"/>
      <c r="D2323" s="730"/>
      <c r="E2323" s="730"/>
      <c r="F2323" s="1082">
        <v>30</v>
      </c>
      <c r="G2323" s="1067">
        <v>12.43</v>
      </c>
      <c r="H2323" s="1065">
        <v>47.41</v>
      </c>
      <c r="I2323" s="715">
        <v>20.8</v>
      </c>
      <c r="J2323" s="1083">
        <f>(105/(25/4.2091))</f>
        <v>17.67822</v>
      </c>
    </row>
    <row r="2324" spans="1:10" ht="13.5" thickBot="1">
      <c r="A2324" s="10">
        <v>43899</v>
      </c>
      <c r="B2324" s="1016"/>
      <c r="C2324" s="318"/>
      <c r="D2324" s="318"/>
      <c r="E2324" s="318"/>
      <c r="F2324" s="1082">
        <v>30</v>
      </c>
      <c r="G2324" s="1068">
        <v>12.3</v>
      </c>
      <c r="H2324" s="1065">
        <v>47.41</v>
      </c>
      <c r="I2324" s="547">
        <v>20.8</v>
      </c>
      <c r="J2324" s="1083">
        <f>(105/(25/4.2091))</f>
        <v>17.67822</v>
      </c>
    </row>
    <row r="2325" spans="1:10" ht="13.5" thickBot="1">
      <c r="A2325" s="10">
        <v>43906</v>
      </c>
      <c r="B2325" s="1016"/>
      <c r="C2325" s="318"/>
      <c r="D2325" s="318"/>
      <c r="E2325" s="318"/>
      <c r="F2325" s="1082">
        <v>30</v>
      </c>
      <c r="G2325" s="1068">
        <v>11.35</v>
      </c>
      <c r="H2325" s="1065">
        <v>47.41</v>
      </c>
      <c r="I2325" s="547">
        <v>20.8</v>
      </c>
      <c r="J2325" s="1083">
        <f>(105/(25/4.2091))</f>
        <v>17.67822</v>
      </c>
    </row>
    <row r="2326" spans="1:10" ht="13.5" thickBot="1">
      <c r="A2326" s="10">
        <v>43913</v>
      </c>
      <c r="B2326" s="1016"/>
      <c r="C2326" s="318"/>
      <c r="D2326" s="318"/>
      <c r="E2326" s="318"/>
      <c r="F2326" s="1082">
        <v>30</v>
      </c>
      <c r="G2326" s="1068">
        <v>11.25</v>
      </c>
      <c r="H2326" s="1065">
        <v>47.41</v>
      </c>
      <c r="I2326" s="547">
        <v>20.8</v>
      </c>
      <c r="J2326" s="1083">
        <f>(105/(25/4.2091))</f>
        <v>17.67822</v>
      </c>
    </row>
    <row r="2327" spans="1:10" ht="13.5" thickBot="1">
      <c r="A2327" s="103">
        <v>43920</v>
      </c>
      <c r="B2327" s="1084"/>
      <c r="C2327" s="721"/>
      <c r="D2327" s="721"/>
      <c r="E2327" s="721"/>
      <c r="F2327" s="1085">
        <v>30</v>
      </c>
      <c r="G2327" s="1119">
        <v>11.13</v>
      </c>
      <c r="H2327" s="1065">
        <v>47.41</v>
      </c>
      <c r="I2327" s="1050">
        <v>20.8</v>
      </c>
      <c r="J2327" s="1083">
        <f>(105/(25/4.2091))</f>
        <v>17.67822</v>
      </c>
    </row>
    <row r="2328" spans="1:10" ht="13.5" thickBot="1">
      <c r="A2328" s="1048" t="s">
        <v>638</v>
      </c>
      <c r="B2328" s="1049" t="e">
        <f>AVERAGE(B2323:B2326)</f>
        <v>#DIV/0!</v>
      </c>
      <c r="C2328" s="1049" t="e">
        <f>AVERAGE(C2323:C2326)</f>
        <v>#DIV/0!</v>
      </c>
      <c r="D2328" s="1049" t="e">
        <f>AVERAGE(D2323:D2326)</f>
        <v>#DIV/0!</v>
      </c>
      <c r="E2328" s="1049" t="e">
        <f>AVERAGE(E2323:E2326)</f>
        <v>#DIV/0!</v>
      </c>
      <c r="F2328" s="1064">
        <f>AVERAGE(F2323:F2327)</f>
        <v>30</v>
      </c>
      <c r="G2328" s="1064">
        <f>AVERAGE(G2323:G2327)</f>
        <v>11.692</v>
      </c>
      <c r="H2328" s="1069">
        <f>AVERAGE(H2323:H2326)</f>
        <v>47.41</v>
      </c>
      <c r="I2328" s="1049">
        <f>AVERAGE(I2323:I2327)</f>
        <v>20.8</v>
      </c>
      <c r="J2328" s="1049">
        <f>AVERAGE(J2323:J2327)</f>
        <v>17.67822</v>
      </c>
    </row>
    <row r="2329" spans="1:10" ht="13.5" thickBot="1"/>
    <row r="2330" spans="1:10" ht="13.5" thickBot="1">
      <c r="A2330" s="1669" t="s">
        <v>1</v>
      </c>
      <c r="B2330" s="1074" t="s">
        <v>139</v>
      </c>
      <c r="C2330" s="1081" t="s">
        <v>140</v>
      </c>
      <c r="D2330" s="1074" t="s">
        <v>5</v>
      </c>
      <c r="E2330" s="1075" t="s">
        <v>6</v>
      </c>
      <c r="F2330" s="1076" t="s">
        <v>57</v>
      </c>
      <c r="G2330" s="1077" t="s">
        <v>154</v>
      </c>
      <c r="H2330" s="1078" t="s">
        <v>149</v>
      </c>
      <c r="I2330" s="1077" t="s">
        <v>155</v>
      </c>
      <c r="J2330" s="1079" t="s">
        <v>61</v>
      </c>
    </row>
    <row r="2331" spans="1:10" ht="13.5" thickBot="1">
      <c r="A2331" s="1670"/>
      <c r="B2331" s="1080" t="s">
        <v>146</v>
      </c>
      <c r="C2331" s="1070" t="s">
        <v>146</v>
      </c>
      <c r="D2331" s="1070" t="s">
        <v>146</v>
      </c>
      <c r="E2331" s="1070" t="s">
        <v>146</v>
      </c>
      <c r="F2331" s="1071" t="s">
        <v>146</v>
      </c>
      <c r="G2331" s="1072" t="s">
        <v>146</v>
      </c>
      <c r="H2331" s="1073" t="s">
        <v>146</v>
      </c>
      <c r="I2331" s="1072" t="s">
        <v>146</v>
      </c>
      <c r="J2331" s="1072" t="s">
        <v>146</v>
      </c>
    </row>
    <row r="2332" spans="1:10" ht="13.5" thickBot="1">
      <c r="A2332" s="74">
        <v>43927</v>
      </c>
      <c r="B2332" s="1015"/>
      <c r="C2332" s="730"/>
      <c r="D2332" s="730"/>
      <c r="E2332" s="730"/>
      <c r="F2332" s="1082">
        <v>30</v>
      </c>
      <c r="G2332" s="1067">
        <v>10.7</v>
      </c>
      <c r="H2332" s="1065">
        <v>44.64</v>
      </c>
      <c r="I2332" s="715">
        <v>9.17</v>
      </c>
      <c r="J2332" s="1083">
        <f>(105/(25/4.2091))</f>
        <v>17.67822</v>
      </c>
    </row>
    <row r="2333" spans="1:10" ht="13.5" thickBot="1">
      <c r="A2333" s="10">
        <v>43934</v>
      </c>
      <c r="B2333" s="1016"/>
      <c r="C2333" s="318"/>
      <c r="D2333" s="318"/>
      <c r="E2333" s="318"/>
      <c r="F2333" s="1082">
        <v>30</v>
      </c>
      <c r="G2333" s="1068">
        <v>10.58</v>
      </c>
      <c r="H2333" s="1065">
        <v>44.64</v>
      </c>
      <c r="I2333" s="547">
        <v>9.17</v>
      </c>
      <c r="J2333" s="1083">
        <f>(105/(25/4.2091))</f>
        <v>17.67822</v>
      </c>
    </row>
    <row r="2334" spans="1:10" ht="13.5" thickBot="1">
      <c r="A2334" s="10">
        <v>43941</v>
      </c>
      <c r="B2334" s="1016"/>
      <c r="C2334" s="318"/>
      <c r="D2334" s="318"/>
      <c r="E2334" s="318"/>
      <c r="F2334" s="1082">
        <v>30</v>
      </c>
      <c r="G2334" s="1068">
        <v>10.45</v>
      </c>
      <c r="H2334" s="1065">
        <v>44.64</v>
      </c>
      <c r="I2334" s="547">
        <v>10.039999999999999</v>
      </c>
      <c r="J2334" s="1083">
        <f>(99/(25/4.2091))</f>
        <v>16.668036000000001</v>
      </c>
    </row>
    <row r="2335" spans="1:10" ht="13.5" thickBot="1">
      <c r="A2335" s="10">
        <v>43948</v>
      </c>
      <c r="B2335" s="1016"/>
      <c r="C2335" s="318"/>
      <c r="D2335" s="318"/>
      <c r="E2335" s="318"/>
      <c r="F2335" s="1082">
        <v>30</v>
      </c>
      <c r="G2335" s="1068">
        <v>10.33</v>
      </c>
      <c r="H2335" s="1065">
        <v>44.64</v>
      </c>
      <c r="I2335" s="547">
        <v>10.039999999999999</v>
      </c>
      <c r="J2335" s="1083">
        <f>(99/(25/4.2091))</f>
        <v>16.668036000000001</v>
      </c>
    </row>
    <row r="2336" spans="1:10" ht="13.5" thickBot="1">
      <c r="A2336" s="1048" t="s">
        <v>638</v>
      </c>
      <c r="B2336" s="1049" t="e">
        <f t="shared" ref="B2336:J2336" si="236">AVERAGE(B2332:B2335)</f>
        <v>#DIV/0!</v>
      </c>
      <c r="C2336" s="1049" t="e">
        <f t="shared" si="236"/>
        <v>#DIV/0!</v>
      </c>
      <c r="D2336" s="1049" t="e">
        <f t="shared" si="236"/>
        <v>#DIV/0!</v>
      </c>
      <c r="E2336" s="1049" t="e">
        <f t="shared" si="236"/>
        <v>#DIV/0!</v>
      </c>
      <c r="F2336" s="1064">
        <f t="shared" si="236"/>
        <v>30</v>
      </c>
      <c r="G2336" s="1064">
        <f t="shared" si="236"/>
        <v>10.515000000000001</v>
      </c>
      <c r="H2336" s="1069">
        <f t="shared" si="236"/>
        <v>44.64</v>
      </c>
      <c r="I2336" s="1049">
        <f t="shared" si="236"/>
        <v>9.6050000000000004</v>
      </c>
      <c r="J2336" s="1049">
        <f t="shared" si="236"/>
        <v>17.173127999999998</v>
      </c>
    </row>
    <row r="2337" spans="1:15" ht="13.5" thickBot="1"/>
    <row r="2338" spans="1:15" ht="13.5" thickBot="1">
      <c r="A2338" s="1669" t="s">
        <v>1</v>
      </c>
      <c r="B2338" s="1074" t="s">
        <v>139</v>
      </c>
      <c r="C2338" s="1081" t="s">
        <v>140</v>
      </c>
      <c r="D2338" s="1074" t="s">
        <v>5</v>
      </c>
      <c r="E2338" s="1075" t="s">
        <v>6</v>
      </c>
      <c r="F2338" s="1076" t="s">
        <v>57</v>
      </c>
      <c r="G2338" s="1077" t="s">
        <v>154</v>
      </c>
      <c r="H2338" s="1078" t="s">
        <v>149</v>
      </c>
      <c r="I2338" s="1077" t="s">
        <v>155</v>
      </c>
      <c r="J2338" s="1079" t="s">
        <v>61</v>
      </c>
    </row>
    <row r="2339" spans="1:15" ht="13.5" thickBot="1">
      <c r="A2339" s="1670"/>
      <c r="B2339" s="1080" t="s">
        <v>146</v>
      </c>
      <c r="C2339" s="1070" t="s">
        <v>146</v>
      </c>
      <c r="D2339" s="1070" t="s">
        <v>146</v>
      </c>
      <c r="E2339" s="1070" t="s">
        <v>146</v>
      </c>
      <c r="F2339" s="1071" t="s">
        <v>146</v>
      </c>
      <c r="G2339" s="1072" t="s">
        <v>146</v>
      </c>
      <c r="H2339" s="1073" t="s">
        <v>146</v>
      </c>
      <c r="I2339" s="1072" t="s">
        <v>146</v>
      </c>
      <c r="J2339" s="1072" t="s">
        <v>146</v>
      </c>
    </row>
    <row r="2340" spans="1:15" ht="13.5" thickBot="1">
      <c r="A2340" s="74">
        <v>43955</v>
      </c>
      <c r="B2340" s="1015"/>
      <c r="C2340" s="730"/>
      <c r="D2340" s="730"/>
      <c r="E2340" s="730"/>
      <c r="F2340" s="1082">
        <v>30</v>
      </c>
      <c r="G2340" s="1067">
        <v>9.7200000000000006</v>
      </c>
      <c r="H2340" s="1065">
        <v>45.24</v>
      </c>
      <c r="I2340" s="715">
        <v>8.42</v>
      </c>
      <c r="J2340" s="1083">
        <f>(99/(25/4.2091))</f>
        <v>16.668036000000001</v>
      </c>
    </row>
    <row r="2341" spans="1:15" ht="13.5" thickBot="1">
      <c r="A2341" s="10">
        <v>43962</v>
      </c>
      <c r="B2341" s="1016"/>
      <c r="C2341" s="318"/>
      <c r="D2341" s="318"/>
      <c r="E2341" s="318"/>
      <c r="F2341" s="1082">
        <v>30</v>
      </c>
      <c r="G2341" s="1068">
        <v>9.65</v>
      </c>
      <c r="H2341" s="1065">
        <v>45.24</v>
      </c>
      <c r="I2341" s="547">
        <v>8.74</v>
      </c>
      <c r="J2341" s="1083">
        <f>(99/(25/4.2091))</f>
        <v>16.668036000000001</v>
      </c>
    </row>
    <row r="2342" spans="1:15" ht="13.5" thickBot="1">
      <c r="A2342" s="10">
        <v>43969</v>
      </c>
      <c r="B2342" s="1016"/>
      <c r="C2342" s="318"/>
      <c r="D2342" s="318"/>
      <c r="E2342" s="318"/>
      <c r="F2342" s="1082">
        <v>30</v>
      </c>
      <c r="G2342" s="1068">
        <v>9.6</v>
      </c>
      <c r="H2342" s="1065">
        <v>45.24</v>
      </c>
      <c r="I2342" s="547">
        <v>8.74</v>
      </c>
      <c r="J2342" s="1083">
        <f>(99/(25/4.2091))</f>
        <v>16.668036000000001</v>
      </c>
    </row>
    <row r="2343" spans="1:15" ht="13.5" thickBot="1">
      <c r="A2343" s="10" t="s">
        <v>635</v>
      </c>
      <c r="B2343" s="1016"/>
      <c r="C2343" s="318"/>
      <c r="D2343" s="318"/>
      <c r="E2343" s="318"/>
      <c r="F2343" s="1082">
        <v>30</v>
      </c>
      <c r="G2343" s="1068">
        <v>10</v>
      </c>
      <c r="H2343" s="1065">
        <v>45.24</v>
      </c>
      <c r="I2343" s="547">
        <v>8.74</v>
      </c>
      <c r="J2343" s="1083">
        <f>(99/(25/4.2091))</f>
        <v>16.668036000000001</v>
      </c>
    </row>
    <row r="2344" spans="1:15" ht="13.5" thickBot="1">
      <c r="A2344" s="1048" t="s">
        <v>640</v>
      </c>
      <c r="B2344" s="1049" t="e">
        <f t="shared" ref="B2344:J2344" si="237">AVERAGE(B2340:B2343)</f>
        <v>#DIV/0!</v>
      </c>
      <c r="C2344" s="1049" t="e">
        <f t="shared" si="237"/>
        <v>#DIV/0!</v>
      </c>
      <c r="D2344" s="1049" t="e">
        <f t="shared" si="237"/>
        <v>#DIV/0!</v>
      </c>
      <c r="E2344" s="1049" t="e">
        <f t="shared" si="237"/>
        <v>#DIV/0!</v>
      </c>
      <c r="F2344" s="1064">
        <f t="shared" si="237"/>
        <v>30</v>
      </c>
      <c r="G2344" s="1064">
        <f t="shared" si="237"/>
        <v>9.7424999999999997</v>
      </c>
      <c r="H2344" s="1069">
        <f t="shared" si="237"/>
        <v>45.24</v>
      </c>
      <c r="I2344" s="1049">
        <f t="shared" si="237"/>
        <v>8.66</v>
      </c>
      <c r="J2344" s="1049">
        <f t="shared" si="237"/>
        <v>16.668036000000001</v>
      </c>
    </row>
    <row r="2345" spans="1:15" ht="13.5" thickBot="1"/>
    <row r="2346" spans="1:15" ht="13.5" thickBot="1">
      <c r="A2346" s="1669" t="s">
        <v>1</v>
      </c>
      <c r="B2346" s="1074" t="s">
        <v>139</v>
      </c>
      <c r="C2346" s="1081" t="s">
        <v>140</v>
      </c>
      <c r="D2346" s="1074" t="s">
        <v>5</v>
      </c>
      <c r="E2346" s="1075" t="s">
        <v>6</v>
      </c>
      <c r="F2346" s="1076" t="s">
        <v>57</v>
      </c>
      <c r="G2346" s="1077" t="s">
        <v>154</v>
      </c>
      <c r="H2346" s="1078" t="s">
        <v>149</v>
      </c>
      <c r="I2346" s="1077" t="s">
        <v>155</v>
      </c>
      <c r="J2346" s="1079" t="s">
        <v>61</v>
      </c>
    </row>
    <row r="2347" spans="1:15" ht="13.5" thickBot="1">
      <c r="A2347" s="1670"/>
      <c r="B2347" s="1080" t="s">
        <v>146</v>
      </c>
      <c r="C2347" s="1070" t="s">
        <v>146</v>
      </c>
      <c r="D2347" s="1070" t="s">
        <v>146</v>
      </c>
      <c r="E2347" s="1070" t="s">
        <v>146</v>
      </c>
      <c r="F2347" s="1071" t="s">
        <v>146</v>
      </c>
      <c r="G2347" s="1072" t="s">
        <v>146</v>
      </c>
      <c r="H2347" s="1073" t="s">
        <v>146</v>
      </c>
      <c r="I2347" s="1072" t="s">
        <v>146</v>
      </c>
      <c r="J2347" s="1072" t="s">
        <v>146</v>
      </c>
    </row>
    <row r="2348" spans="1:15" ht="13.5" thickBot="1">
      <c r="A2348" s="74">
        <v>43983</v>
      </c>
      <c r="B2348" s="1015">
        <v>19.478000000000005</v>
      </c>
      <c r="C2348" s="730">
        <v>18.980985915492962</v>
      </c>
      <c r="D2348" s="730">
        <v>17.973943661971834</v>
      </c>
      <c r="E2348" s="730">
        <v>14.7129420289855</v>
      </c>
      <c r="F2348" s="1082">
        <v>30</v>
      </c>
      <c r="G2348" s="1067">
        <v>10.050000000000001</v>
      </c>
      <c r="H2348" s="1065">
        <v>45.06</v>
      </c>
      <c r="I2348" s="715">
        <v>10.69</v>
      </c>
      <c r="J2348" s="1083">
        <v>16.668036000000001</v>
      </c>
      <c r="O2348" s="564" t="s">
        <v>643</v>
      </c>
    </row>
    <row r="2349" spans="1:15" ht="13.5" thickBot="1">
      <c r="A2349" s="10">
        <v>43990</v>
      </c>
      <c r="B2349" s="1016">
        <v>19.762272727272727</v>
      </c>
      <c r="C2349" s="318">
        <v>19.523499999999988</v>
      </c>
      <c r="D2349" s="318">
        <v>18.621833333333331</v>
      </c>
      <c r="E2349" s="318">
        <v>14.818793103448288</v>
      </c>
      <c r="F2349" s="1082">
        <v>30</v>
      </c>
      <c r="G2349" s="1068">
        <v>10.130000000000001</v>
      </c>
      <c r="H2349" s="1065">
        <v>45.06</v>
      </c>
      <c r="I2349" s="547">
        <v>10.5</v>
      </c>
      <c r="J2349" s="1083">
        <v>16.668036000000001</v>
      </c>
      <c r="O2349" s="564" t="s">
        <v>644</v>
      </c>
    </row>
    <row r="2350" spans="1:15" ht="13.5" thickBot="1">
      <c r="A2350" s="10">
        <v>43997</v>
      </c>
      <c r="B2350" s="1016">
        <v>20.432105263157901</v>
      </c>
      <c r="C2350" s="318">
        <v>19.953695652173916</v>
      </c>
      <c r="D2350" s="318">
        <v>19.14565217391306</v>
      </c>
      <c r="E2350" s="318">
        <v>15.181568181818188</v>
      </c>
      <c r="F2350" s="1082">
        <v>30</v>
      </c>
      <c r="G2350" s="1068">
        <v>10.7</v>
      </c>
      <c r="H2350" s="1065">
        <v>45.06</v>
      </c>
      <c r="I2350" s="547">
        <v>11.2</v>
      </c>
      <c r="J2350" s="1083">
        <v>16.668036000000001</v>
      </c>
      <c r="O2350" s="564" t="s">
        <v>645</v>
      </c>
    </row>
    <row r="2351" spans="1:15" ht="13.5" thickBot="1">
      <c r="A2351" s="10">
        <v>44004</v>
      </c>
      <c r="B2351" s="1016">
        <v>21.18</v>
      </c>
      <c r="C2351" s="318">
        <v>20.68</v>
      </c>
      <c r="D2351" s="318">
        <v>19.882291666666656</v>
      </c>
      <c r="E2351" s="318">
        <v>15.803111111111109</v>
      </c>
      <c r="F2351" s="1082">
        <v>30</v>
      </c>
      <c r="G2351" s="1068">
        <v>10.9</v>
      </c>
      <c r="H2351" s="1065">
        <v>45.06</v>
      </c>
      <c r="I2351" s="547">
        <v>11.77</v>
      </c>
      <c r="J2351" s="1083">
        <v>16.668036000000001</v>
      </c>
      <c r="O2351" s="564" t="s">
        <v>646</v>
      </c>
    </row>
    <row r="2352" spans="1:15" ht="13.5" thickBot="1">
      <c r="A2352" s="10">
        <v>44011</v>
      </c>
      <c r="B2352" s="1016">
        <v>21.561428571428564</v>
      </c>
      <c r="C2352" s="318">
        <v>21.083529411764712</v>
      </c>
      <c r="D2352" s="318">
        <v>20.283333333333324</v>
      </c>
      <c r="E2352" s="318">
        <v>16.18714285714287</v>
      </c>
      <c r="F2352" s="1082">
        <v>30</v>
      </c>
      <c r="G2352" s="1068">
        <v>11.05</v>
      </c>
      <c r="H2352" s="1065">
        <v>45.06</v>
      </c>
      <c r="I2352" s="547">
        <v>12.23</v>
      </c>
      <c r="J2352" s="1083">
        <v>16.668036000000001</v>
      </c>
      <c r="O2352" s="564" t="s">
        <v>647</v>
      </c>
    </row>
    <row r="2353" spans="1:14" ht="13.5" thickBot="1">
      <c r="A2353" s="1048" t="s">
        <v>649</v>
      </c>
      <c r="B2353" s="1049">
        <f t="shared" ref="B2353:J2353" si="238">AVERAGE(B2348:B2352)</f>
        <v>20.482761312371839</v>
      </c>
      <c r="C2353" s="1049">
        <f t="shared" si="238"/>
        <v>20.044342195886315</v>
      </c>
      <c r="D2353" s="1049">
        <f t="shared" si="238"/>
        <v>19.181410833843643</v>
      </c>
      <c r="E2353" s="1049">
        <f t="shared" si="238"/>
        <v>15.340711456501191</v>
      </c>
      <c r="F2353" s="1064">
        <f t="shared" si="238"/>
        <v>30</v>
      </c>
      <c r="G2353" s="1064">
        <f t="shared" si="238"/>
        <v>10.565999999999999</v>
      </c>
      <c r="H2353" s="1069">
        <f t="shared" si="238"/>
        <v>45.06</v>
      </c>
      <c r="I2353" s="1049">
        <f t="shared" si="238"/>
        <v>11.278</v>
      </c>
      <c r="J2353" s="1049">
        <f t="shared" si="238"/>
        <v>16.668036000000001</v>
      </c>
    </row>
    <row r="2354" spans="1:14" ht="13.5" thickBot="1"/>
    <row r="2355" spans="1:14" ht="13.5" thickBot="1">
      <c r="A2355" s="1669" t="s">
        <v>1</v>
      </c>
      <c r="B2355" s="1074" t="s">
        <v>139</v>
      </c>
      <c r="C2355" s="1081" t="s">
        <v>140</v>
      </c>
      <c r="D2355" s="1074" t="s">
        <v>5</v>
      </c>
      <c r="E2355" s="1075" t="s">
        <v>6</v>
      </c>
      <c r="F2355" s="1076" t="s">
        <v>57</v>
      </c>
      <c r="G2355" s="1077" t="s">
        <v>154</v>
      </c>
      <c r="H2355" s="1078" t="s">
        <v>149</v>
      </c>
      <c r="I2355" s="1077" t="s">
        <v>155</v>
      </c>
      <c r="J2355" s="1079" t="s">
        <v>61</v>
      </c>
    </row>
    <row r="2356" spans="1:14" ht="13.5" thickBot="1">
      <c r="A2356" s="1670"/>
      <c r="B2356" s="1080" t="s">
        <v>146</v>
      </c>
      <c r="C2356" s="1070" t="s">
        <v>146</v>
      </c>
      <c r="D2356" s="1070" t="s">
        <v>146</v>
      </c>
      <c r="E2356" s="1070" t="s">
        <v>146</v>
      </c>
      <c r="F2356" s="1071" t="s">
        <v>146</v>
      </c>
      <c r="G2356" s="1072" t="s">
        <v>146</v>
      </c>
      <c r="H2356" s="1073" t="s">
        <v>146</v>
      </c>
      <c r="I2356" s="1072" t="s">
        <v>146</v>
      </c>
      <c r="J2356" s="1072" t="s">
        <v>146</v>
      </c>
    </row>
    <row r="2357" spans="1:14" ht="13.5" thickBot="1">
      <c r="A2357" s="74">
        <v>44018</v>
      </c>
      <c r="B2357" s="1015">
        <v>22.01</v>
      </c>
      <c r="C2357" s="730">
        <v>21.37</v>
      </c>
      <c r="D2357" s="730">
        <v>20.58</v>
      </c>
      <c r="E2357" s="730">
        <v>16.2</v>
      </c>
      <c r="F2357" s="1082">
        <v>30</v>
      </c>
      <c r="G2357" s="1067">
        <v>10.87</v>
      </c>
      <c r="H2357" s="1065">
        <v>45.35</v>
      </c>
      <c r="I2357" s="715">
        <v>12.23</v>
      </c>
      <c r="J2357" s="1083">
        <v>16.668036000000001</v>
      </c>
      <c r="N2357" s="564">
        <v>10.87</v>
      </c>
    </row>
    <row r="2358" spans="1:14" ht="13.5" thickBot="1">
      <c r="A2358" s="10">
        <v>44025</v>
      </c>
      <c r="B2358" s="1016">
        <v>21.985652173913049</v>
      </c>
      <c r="C2358" s="318">
        <v>21.48</v>
      </c>
      <c r="D2358" s="318">
        <v>20.68</v>
      </c>
      <c r="E2358" s="318">
        <v>16.2</v>
      </c>
      <c r="F2358" s="1082">
        <v>30</v>
      </c>
      <c r="G2358" s="1068">
        <v>10.95</v>
      </c>
      <c r="H2358" s="1065">
        <v>45.35</v>
      </c>
      <c r="I2358" s="547">
        <v>12.23</v>
      </c>
      <c r="J2358" s="1083">
        <v>16.668036000000001</v>
      </c>
    </row>
    <row r="2359" spans="1:14" ht="13.5" thickBot="1">
      <c r="A2359" s="10">
        <v>44032</v>
      </c>
      <c r="B2359" s="1016">
        <v>21.49</v>
      </c>
      <c r="C2359" s="318">
        <v>21.49</v>
      </c>
      <c r="D2359" s="318">
        <v>20.69</v>
      </c>
      <c r="E2359" s="318">
        <v>16.2</v>
      </c>
      <c r="F2359" s="1082">
        <v>30</v>
      </c>
      <c r="G2359" s="1068">
        <v>11.35</v>
      </c>
      <c r="H2359" s="1065">
        <v>45.35</v>
      </c>
      <c r="I2359" s="547">
        <v>12.38</v>
      </c>
      <c r="J2359" s="1083">
        <v>16.668036000000001</v>
      </c>
      <c r="N2359" s="564">
        <v>10.95</v>
      </c>
    </row>
    <row r="2360" spans="1:14" ht="13.5" thickBot="1">
      <c r="A2360" s="10">
        <v>44039</v>
      </c>
      <c r="B2360" s="1016">
        <v>22.23</v>
      </c>
      <c r="C2360" s="318">
        <v>21.65</v>
      </c>
      <c r="D2360" s="318">
        <v>20.83</v>
      </c>
      <c r="E2360" s="318">
        <v>16.77</v>
      </c>
      <c r="F2360" s="1082">
        <v>30</v>
      </c>
      <c r="G2360" s="1068">
        <v>11.35</v>
      </c>
      <c r="H2360" s="1065">
        <v>45.35</v>
      </c>
      <c r="I2360" s="547">
        <v>13.08</v>
      </c>
      <c r="J2360" s="1083">
        <v>16.668036000000001</v>
      </c>
    </row>
    <row r="2361" spans="1:14" ht="13.5" thickBot="1">
      <c r="A2361" s="1048" t="s">
        <v>641</v>
      </c>
      <c r="B2361" s="1049">
        <f t="shared" ref="B2361:J2361" si="239">AVERAGE(B2357:B2360)</f>
        <v>21.928913043478264</v>
      </c>
      <c r="C2361" s="1049">
        <f t="shared" si="239"/>
        <v>21.497500000000002</v>
      </c>
      <c r="D2361" s="1049">
        <f t="shared" si="239"/>
        <v>20.695</v>
      </c>
      <c r="E2361" s="1049">
        <f t="shared" si="239"/>
        <v>16.342499999999998</v>
      </c>
      <c r="F2361" s="1064">
        <f t="shared" si="239"/>
        <v>30</v>
      </c>
      <c r="G2361" s="1064">
        <f t="shared" si="239"/>
        <v>11.13</v>
      </c>
      <c r="H2361" s="1069">
        <f t="shared" si="239"/>
        <v>45.35</v>
      </c>
      <c r="I2361" s="1049">
        <f t="shared" si="239"/>
        <v>12.48</v>
      </c>
      <c r="J2361" s="1049">
        <f t="shared" si="239"/>
        <v>16.668036000000001</v>
      </c>
      <c r="N2361" s="564">
        <v>11.35</v>
      </c>
    </row>
    <row r="2362" spans="1:14" ht="13.5" thickBot="1">
      <c r="N2362" s="564">
        <v>11.35</v>
      </c>
    </row>
    <row r="2363" spans="1:14" ht="13.5" thickBot="1">
      <c r="A2363" s="1669" t="s">
        <v>1</v>
      </c>
      <c r="B2363" s="1074" t="s">
        <v>139</v>
      </c>
      <c r="C2363" s="1081" t="s">
        <v>140</v>
      </c>
      <c r="D2363" s="1074" t="s">
        <v>5</v>
      </c>
      <c r="E2363" s="1075" t="s">
        <v>6</v>
      </c>
      <c r="F2363" s="1076" t="s">
        <v>57</v>
      </c>
      <c r="G2363" s="1077" t="s">
        <v>154</v>
      </c>
      <c r="H2363" s="1078" t="s">
        <v>149</v>
      </c>
      <c r="I2363" s="1077" t="s">
        <v>155</v>
      </c>
      <c r="J2363" s="1079" t="s">
        <v>61</v>
      </c>
    </row>
    <row r="2364" spans="1:14" ht="13.5" thickBot="1">
      <c r="A2364" s="1670"/>
      <c r="B2364" s="1080" t="s">
        <v>146</v>
      </c>
      <c r="C2364" s="1070" t="s">
        <v>146</v>
      </c>
      <c r="D2364" s="1070" t="s">
        <v>146</v>
      </c>
      <c r="E2364" s="1070" t="s">
        <v>146</v>
      </c>
      <c r="F2364" s="1071" t="s">
        <v>146</v>
      </c>
      <c r="G2364" s="1072" t="s">
        <v>146</v>
      </c>
      <c r="H2364" s="1073" t="s">
        <v>146</v>
      </c>
      <c r="I2364" s="1072" t="s">
        <v>146</v>
      </c>
      <c r="J2364" s="1072" t="s">
        <v>146</v>
      </c>
    </row>
    <row r="2365" spans="1:14" ht="13.5" thickBot="1">
      <c r="A2365" s="74">
        <v>44046</v>
      </c>
      <c r="B2365" s="1015">
        <v>21.72</v>
      </c>
      <c r="C2365" s="730">
        <v>21.46</v>
      </c>
      <c r="D2365" s="730">
        <v>20.66</v>
      </c>
      <c r="E2365" s="730">
        <v>16.739999999999998</v>
      </c>
      <c r="F2365" s="1082">
        <v>30</v>
      </c>
      <c r="G2365" s="1067">
        <v>11.38</v>
      </c>
      <c r="H2365" s="1065">
        <v>45.16</v>
      </c>
      <c r="I2365" s="715">
        <v>12.6</v>
      </c>
      <c r="J2365" s="1083">
        <v>16.668036000000001</v>
      </c>
    </row>
    <row r="2366" spans="1:14" ht="13.5" thickBot="1">
      <c r="A2366" s="10">
        <v>44053</v>
      </c>
      <c r="B2366" s="1016">
        <v>21.71</v>
      </c>
      <c r="C2366" s="318">
        <v>21.21</v>
      </c>
      <c r="D2366" s="318">
        <v>20.399999999999999</v>
      </c>
      <c r="E2366" s="318">
        <v>16.77</v>
      </c>
      <c r="F2366" s="1082">
        <v>30</v>
      </c>
      <c r="G2366" s="1068">
        <v>11.56</v>
      </c>
      <c r="H2366" s="1065">
        <v>45.16</v>
      </c>
      <c r="I2366" s="547">
        <v>12.66</v>
      </c>
      <c r="J2366" s="1083">
        <v>16.668036000000001</v>
      </c>
    </row>
    <row r="2367" spans="1:14" ht="13.5" thickBot="1">
      <c r="A2367" s="10">
        <v>44060</v>
      </c>
      <c r="B2367" s="1016">
        <v>21.48</v>
      </c>
      <c r="C2367" s="318">
        <v>20.98</v>
      </c>
      <c r="D2367" s="318">
        <v>20.18</v>
      </c>
      <c r="E2367" s="318">
        <v>16.59</v>
      </c>
      <c r="F2367" s="1082">
        <v>30</v>
      </c>
      <c r="G2367" s="1068">
        <v>11.88</v>
      </c>
      <c r="H2367" s="1065">
        <v>45.16</v>
      </c>
      <c r="I2367" s="547">
        <v>13.05</v>
      </c>
      <c r="J2367" s="1083">
        <v>16.670000000000002</v>
      </c>
    </row>
    <row r="2368" spans="1:14" ht="13.5" thickBot="1">
      <c r="A2368" s="10">
        <v>44067</v>
      </c>
      <c r="B2368" s="1016">
        <v>21.49</v>
      </c>
      <c r="C2368" s="318">
        <v>20.98</v>
      </c>
      <c r="D2368" s="318">
        <v>20.18</v>
      </c>
      <c r="E2368" s="318">
        <v>16.59</v>
      </c>
      <c r="F2368" s="1082">
        <v>30</v>
      </c>
      <c r="G2368" s="1068">
        <v>12.03</v>
      </c>
      <c r="H2368" s="1065">
        <v>45.16</v>
      </c>
      <c r="I2368" s="547">
        <v>13.05</v>
      </c>
      <c r="J2368" s="1083">
        <v>16.668036000000001</v>
      </c>
    </row>
    <row r="2369" spans="1:10" ht="13.5" thickBot="1">
      <c r="A2369" s="10">
        <v>44074</v>
      </c>
      <c r="B2369" s="1016">
        <v>21.89</v>
      </c>
      <c r="C2369" s="318">
        <v>21.4</v>
      </c>
      <c r="D2369" s="318">
        <v>20.6</v>
      </c>
      <c r="E2369" s="318">
        <v>16.420000000000002</v>
      </c>
      <c r="F2369" s="1082">
        <v>30</v>
      </c>
      <c r="G2369" s="1068">
        <v>12.03</v>
      </c>
      <c r="H2369" s="1065">
        <v>45.16</v>
      </c>
      <c r="I2369" s="547">
        <v>12.63</v>
      </c>
      <c r="J2369" s="1083">
        <v>16.668036000000001</v>
      </c>
    </row>
    <row r="2370" spans="1:10" ht="13.5" thickBot="1">
      <c r="A2370" s="1048" t="s">
        <v>650</v>
      </c>
      <c r="B2370" s="1049">
        <f t="shared" ref="B2370:J2370" si="240">AVERAGE(B2365:B2369)</f>
        <v>21.657999999999998</v>
      </c>
      <c r="C2370" s="1049">
        <f t="shared" si="240"/>
        <v>21.206</v>
      </c>
      <c r="D2370" s="1049">
        <f t="shared" si="240"/>
        <v>20.404000000000003</v>
      </c>
      <c r="E2370" s="1049">
        <f t="shared" si="240"/>
        <v>16.622</v>
      </c>
      <c r="F2370" s="1064">
        <f t="shared" si="240"/>
        <v>30</v>
      </c>
      <c r="G2370" s="1064">
        <f t="shared" si="240"/>
        <v>11.776</v>
      </c>
      <c r="H2370" s="1069">
        <f t="shared" si="240"/>
        <v>45.16</v>
      </c>
      <c r="I2370" s="1049">
        <f t="shared" si="240"/>
        <v>12.798</v>
      </c>
      <c r="J2370" s="1049">
        <f t="shared" si="240"/>
        <v>16.668428800000001</v>
      </c>
    </row>
    <row r="2371" spans="1:10" ht="13.5" thickBot="1"/>
    <row r="2372" spans="1:10" ht="13.5" thickBot="1">
      <c r="A2372" s="1669" t="s">
        <v>1</v>
      </c>
      <c r="B2372" s="1074" t="s">
        <v>139</v>
      </c>
      <c r="C2372" s="1081" t="s">
        <v>140</v>
      </c>
      <c r="D2372" s="1074" t="s">
        <v>5</v>
      </c>
      <c r="E2372" s="1075" t="s">
        <v>6</v>
      </c>
      <c r="F2372" s="1076" t="s">
        <v>57</v>
      </c>
      <c r="G2372" s="1077" t="s">
        <v>154</v>
      </c>
      <c r="H2372" s="1078" t="s">
        <v>149</v>
      </c>
      <c r="I2372" s="1077" t="s">
        <v>155</v>
      </c>
      <c r="J2372" s="1079" t="s">
        <v>61</v>
      </c>
    </row>
    <row r="2373" spans="1:10" ht="13.5" thickBot="1">
      <c r="A2373" s="1670"/>
      <c r="B2373" s="1080" t="s">
        <v>146</v>
      </c>
      <c r="C2373" s="1070" t="s">
        <v>146</v>
      </c>
      <c r="D2373" s="1070" t="s">
        <v>146</v>
      </c>
      <c r="E2373" s="1070" t="s">
        <v>146</v>
      </c>
      <c r="F2373" s="1071" t="s">
        <v>146</v>
      </c>
      <c r="G2373" s="1072" t="s">
        <v>146</v>
      </c>
      <c r="H2373" s="1073" t="s">
        <v>146</v>
      </c>
      <c r="I2373" s="1072" t="s">
        <v>146</v>
      </c>
      <c r="J2373" s="1072" t="s">
        <v>146</v>
      </c>
    </row>
    <row r="2374" spans="1:10" ht="13.5" thickBot="1">
      <c r="A2374" s="74">
        <v>44081</v>
      </c>
      <c r="B2374" s="1015">
        <v>21.96</v>
      </c>
      <c r="C2374" s="730">
        <v>21.53</v>
      </c>
      <c r="D2374" s="730">
        <v>20.73</v>
      </c>
      <c r="E2374" s="730">
        <v>16.190000000000001</v>
      </c>
      <c r="F2374" s="1082">
        <v>30</v>
      </c>
      <c r="G2374" s="1067">
        <v>12.01</v>
      </c>
      <c r="H2374" s="1065">
        <v>45.37</v>
      </c>
      <c r="I2374" s="715">
        <v>12.47</v>
      </c>
      <c r="J2374" s="1083">
        <v>16.668036000000001</v>
      </c>
    </row>
    <row r="2375" spans="1:10" ht="13.5" thickBot="1">
      <c r="A2375" s="10">
        <v>44088</v>
      </c>
      <c r="B2375" s="1016">
        <v>21.48</v>
      </c>
      <c r="C2375" s="318">
        <v>21.02</v>
      </c>
      <c r="D2375" s="318">
        <v>20.21</v>
      </c>
      <c r="E2375" s="318">
        <v>15.55</v>
      </c>
      <c r="F2375" s="1082">
        <v>30</v>
      </c>
      <c r="G2375" s="1068">
        <v>11.85</v>
      </c>
      <c r="H2375" s="1065">
        <v>45.37</v>
      </c>
      <c r="I2375" s="547">
        <v>12.69</v>
      </c>
      <c r="J2375" s="1083">
        <v>16.668036000000001</v>
      </c>
    </row>
    <row r="2376" spans="1:10" ht="13.5" thickBot="1">
      <c r="A2376" s="10">
        <v>44095</v>
      </c>
      <c r="B2376" s="1016">
        <v>21.35</v>
      </c>
      <c r="C2376" s="318">
        <v>20.89</v>
      </c>
      <c r="D2376" s="318">
        <v>20.100000000000001</v>
      </c>
      <c r="E2376" s="318">
        <v>15.06</v>
      </c>
      <c r="F2376" s="1082">
        <v>30</v>
      </c>
      <c r="G2376" s="1068">
        <v>11.6</v>
      </c>
      <c r="H2376" s="1065">
        <v>45.37</v>
      </c>
      <c r="I2376" s="547">
        <v>12.69</v>
      </c>
      <c r="J2376" s="1083">
        <v>16.670000000000002</v>
      </c>
    </row>
    <row r="2377" spans="1:10" ht="13.5" thickBot="1">
      <c r="A2377" s="10">
        <v>44101</v>
      </c>
      <c r="B2377" s="1016">
        <v>21.36</v>
      </c>
      <c r="C2377" s="318">
        <v>20.87</v>
      </c>
      <c r="D2377" s="318">
        <v>20.09</v>
      </c>
      <c r="E2377" s="318">
        <v>14.99</v>
      </c>
      <c r="F2377" s="1082">
        <v>30</v>
      </c>
      <c r="G2377" s="1068">
        <v>11.66</v>
      </c>
      <c r="H2377" s="1065">
        <v>45.37</v>
      </c>
      <c r="I2377" s="547">
        <v>11.47</v>
      </c>
      <c r="J2377" s="1083">
        <v>16.668036000000001</v>
      </c>
    </row>
    <row r="2378" spans="1:10" ht="13.5" thickBot="1">
      <c r="A2378" s="1048" t="s">
        <v>651</v>
      </c>
      <c r="B2378" s="1049">
        <f t="shared" ref="B2378:J2378" si="241">AVERAGE(B2374:B2377)</f>
        <v>21.537499999999998</v>
      </c>
      <c r="C2378" s="1049">
        <f t="shared" si="241"/>
        <v>21.077500000000001</v>
      </c>
      <c r="D2378" s="1049">
        <f t="shared" si="241"/>
        <v>20.282499999999999</v>
      </c>
      <c r="E2378" s="1049">
        <f t="shared" si="241"/>
        <v>15.447500000000002</v>
      </c>
      <c r="F2378" s="1064">
        <f t="shared" si="241"/>
        <v>30</v>
      </c>
      <c r="G2378" s="1064">
        <f t="shared" si="241"/>
        <v>11.780000000000001</v>
      </c>
      <c r="H2378" s="1069">
        <f t="shared" si="241"/>
        <v>45.37</v>
      </c>
      <c r="I2378" s="1049">
        <f t="shared" si="241"/>
        <v>12.33</v>
      </c>
      <c r="J2378" s="1049">
        <f t="shared" si="241"/>
        <v>16.668527000000001</v>
      </c>
    </row>
    <row r="2379" spans="1:10" ht="13.5" thickBot="1"/>
    <row r="2380" spans="1:10" ht="13.5" thickBot="1">
      <c r="A2380" s="1669" t="s">
        <v>1</v>
      </c>
      <c r="B2380" s="1074" t="s">
        <v>139</v>
      </c>
      <c r="C2380" s="1081" t="s">
        <v>140</v>
      </c>
      <c r="D2380" s="1074" t="s">
        <v>5</v>
      </c>
      <c r="E2380" s="1075" t="s">
        <v>6</v>
      </c>
      <c r="F2380" s="1076" t="s">
        <v>57</v>
      </c>
      <c r="G2380" s="1077" t="s">
        <v>154</v>
      </c>
      <c r="H2380" s="1078" t="s">
        <v>149</v>
      </c>
      <c r="I2380" s="1077" t="s">
        <v>155</v>
      </c>
      <c r="J2380" s="1079" t="s">
        <v>61</v>
      </c>
    </row>
    <row r="2381" spans="1:10" ht="13.5" thickBot="1">
      <c r="A2381" s="1670"/>
      <c r="B2381" s="1080" t="s">
        <v>146</v>
      </c>
      <c r="C2381" s="1070" t="s">
        <v>146</v>
      </c>
      <c r="D2381" s="1070" t="s">
        <v>146</v>
      </c>
      <c r="E2381" s="1070" t="s">
        <v>146</v>
      </c>
      <c r="F2381" s="1071" t="s">
        <v>146</v>
      </c>
      <c r="G2381" s="1072" t="s">
        <v>146</v>
      </c>
      <c r="H2381" s="1073" t="s">
        <v>146</v>
      </c>
      <c r="I2381" s="1072" t="s">
        <v>146</v>
      </c>
      <c r="J2381" s="1072" t="s">
        <v>146</v>
      </c>
    </row>
    <row r="2382" spans="1:10" ht="13.5" thickBot="1">
      <c r="A2382" s="74">
        <v>44109</v>
      </c>
      <c r="B2382" s="1015">
        <v>21.9</v>
      </c>
      <c r="C2382" s="730">
        <v>21.41</v>
      </c>
      <c r="D2382" s="730">
        <v>20.61</v>
      </c>
      <c r="E2382" s="730">
        <v>15.01</v>
      </c>
      <c r="F2382" s="1082">
        <v>30</v>
      </c>
      <c r="G2382" s="1067">
        <v>11.2</v>
      </c>
      <c r="H2382" s="1065">
        <v>45.37</v>
      </c>
      <c r="I2382" s="715">
        <v>10.98</v>
      </c>
      <c r="J2382" s="1083">
        <v>16.668036000000001</v>
      </c>
    </row>
    <row r="2383" spans="1:10" ht="13.5" thickBot="1">
      <c r="A2383" s="10">
        <v>44116</v>
      </c>
      <c r="B2383" s="1016">
        <v>21.9</v>
      </c>
      <c r="C2383" s="318">
        <v>21.41</v>
      </c>
      <c r="D2383" s="318">
        <v>20.61</v>
      </c>
      <c r="E2383" s="318">
        <v>15.03</v>
      </c>
      <c r="F2383" s="1082">
        <v>30</v>
      </c>
      <c r="G2383" s="1068">
        <v>11.32</v>
      </c>
      <c r="H2383" s="1065">
        <v>45.37</v>
      </c>
      <c r="I2383" s="547">
        <v>11</v>
      </c>
      <c r="J2383" s="1083">
        <v>16.668036000000001</v>
      </c>
    </row>
    <row r="2384" spans="1:10" ht="13.5" thickBot="1">
      <c r="A2384" s="10">
        <v>44123</v>
      </c>
      <c r="B2384" s="1016">
        <v>21.53</v>
      </c>
      <c r="C2384" s="318">
        <v>21.2</v>
      </c>
      <c r="D2384" s="318">
        <v>20.41</v>
      </c>
      <c r="E2384" s="318">
        <v>14.99</v>
      </c>
      <c r="F2384" s="1082">
        <v>30</v>
      </c>
      <c r="G2384" s="1068">
        <v>11.6</v>
      </c>
      <c r="H2384" s="1065">
        <v>45.37</v>
      </c>
      <c r="I2384" s="547">
        <v>12.23</v>
      </c>
      <c r="J2384" s="1083">
        <v>16.670000000000002</v>
      </c>
    </row>
    <row r="2385" spans="1:10" ht="13.5" thickBot="1">
      <c r="A2385" s="10">
        <v>44130</v>
      </c>
      <c r="B2385" s="1016">
        <v>21.000000000000004</v>
      </c>
      <c r="C2385" s="318">
        <v>20.58</v>
      </c>
      <c r="D2385" s="318">
        <v>19.78</v>
      </c>
      <c r="E2385" s="318">
        <v>15</v>
      </c>
      <c r="F2385" s="1082">
        <v>30</v>
      </c>
      <c r="G2385" s="1068">
        <v>11.4</v>
      </c>
      <c r="H2385" s="1065">
        <v>45.37</v>
      </c>
      <c r="I2385" s="547">
        <v>10.98</v>
      </c>
      <c r="J2385" s="1083">
        <v>16.668036000000001</v>
      </c>
    </row>
    <row r="2386" spans="1:10" ht="13.5" thickBot="1">
      <c r="A2386" s="1048" t="s">
        <v>652</v>
      </c>
      <c r="B2386" s="1049">
        <f t="shared" ref="B2386:J2386" si="242">AVERAGE(B2382:B2385)</f>
        <v>21.5825</v>
      </c>
      <c r="C2386" s="1049">
        <f t="shared" si="242"/>
        <v>21.15</v>
      </c>
      <c r="D2386" s="1049">
        <f t="shared" si="242"/>
        <v>20.352499999999999</v>
      </c>
      <c r="E2386" s="1049">
        <f t="shared" si="242"/>
        <v>15.0075</v>
      </c>
      <c r="F2386" s="1064">
        <f t="shared" si="242"/>
        <v>30</v>
      </c>
      <c r="G2386" s="1064">
        <f t="shared" si="242"/>
        <v>11.379999999999999</v>
      </c>
      <c r="H2386" s="1064">
        <f t="shared" si="242"/>
        <v>45.37</v>
      </c>
      <c r="I2386" s="1049">
        <f t="shared" si="242"/>
        <v>11.297499999999999</v>
      </c>
      <c r="J2386" s="1049">
        <f t="shared" si="242"/>
        <v>16.668527000000001</v>
      </c>
    </row>
    <row r="2387" spans="1:10" ht="13.5" thickBot="1"/>
    <row r="2388" spans="1:10" ht="13.5" thickBot="1">
      <c r="A2388" s="1669" t="s">
        <v>1</v>
      </c>
      <c r="B2388" s="1074" t="s">
        <v>139</v>
      </c>
      <c r="C2388" s="1081" t="s">
        <v>140</v>
      </c>
      <c r="D2388" s="1074" t="s">
        <v>5</v>
      </c>
      <c r="E2388" s="1075" t="s">
        <v>6</v>
      </c>
      <c r="F2388" s="1076" t="s">
        <v>57</v>
      </c>
      <c r="G2388" s="1077" t="s">
        <v>154</v>
      </c>
      <c r="H2388" s="1078" t="s">
        <v>149</v>
      </c>
      <c r="I2388" s="1077" t="s">
        <v>155</v>
      </c>
      <c r="J2388" s="1079" t="s">
        <v>61</v>
      </c>
    </row>
    <row r="2389" spans="1:10" ht="13.5" thickBot="1">
      <c r="A2389" s="1670"/>
      <c r="B2389" s="1080" t="s">
        <v>146</v>
      </c>
      <c r="C2389" s="1070" t="s">
        <v>146</v>
      </c>
      <c r="D2389" s="1070" t="s">
        <v>146</v>
      </c>
      <c r="E2389" s="1070" t="s">
        <v>146</v>
      </c>
      <c r="F2389" s="1071" t="s">
        <v>146</v>
      </c>
      <c r="G2389" s="1072" t="s">
        <v>146</v>
      </c>
      <c r="H2389" s="1073" t="s">
        <v>146</v>
      </c>
      <c r="I2389" s="1072" t="s">
        <v>146</v>
      </c>
      <c r="J2389" s="1072" t="s">
        <v>146</v>
      </c>
    </row>
    <row r="2390" spans="1:10" ht="13.5" thickBot="1">
      <c r="A2390" s="74">
        <v>44138</v>
      </c>
      <c r="B2390" s="1015">
        <v>20.7</v>
      </c>
      <c r="C2390" s="730">
        <v>20.239999999999998</v>
      </c>
      <c r="D2390" s="730">
        <v>19.43</v>
      </c>
      <c r="E2390" s="730">
        <v>14.8</v>
      </c>
      <c r="F2390" s="1082">
        <v>30</v>
      </c>
      <c r="G2390" s="1067">
        <v>11.6</v>
      </c>
      <c r="H2390" s="1065">
        <v>42.36</v>
      </c>
      <c r="I2390" s="715">
        <v>11.6</v>
      </c>
      <c r="J2390" s="1083">
        <v>16.668036000000001</v>
      </c>
    </row>
    <row r="2391" spans="1:10" ht="13.5" thickBot="1">
      <c r="A2391" s="10">
        <v>44144</v>
      </c>
      <c r="B2391" s="1016">
        <v>20.239999999999998</v>
      </c>
      <c r="C2391" s="318">
        <v>19.739999999999998</v>
      </c>
      <c r="D2391" s="318">
        <v>18.940000000000001</v>
      </c>
      <c r="E2391" s="318">
        <v>14.79</v>
      </c>
      <c r="F2391" s="1082">
        <v>30</v>
      </c>
      <c r="G2391" s="1068">
        <v>11.7</v>
      </c>
      <c r="H2391" s="1065">
        <v>42.36</v>
      </c>
      <c r="I2391" s="547">
        <v>11.63</v>
      </c>
      <c r="J2391" s="1083">
        <v>16.668036000000001</v>
      </c>
    </row>
    <row r="2392" spans="1:10" ht="13.5" thickBot="1">
      <c r="A2392" s="10">
        <v>44151</v>
      </c>
      <c r="B2392" s="1016">
        <v>20.22</v>
      </c>
      <c r="C2392" s="318">
        <v>19.72</v>
      </c>
      <c r="D2392" s="318">
        <v>18.920000000000002</v>
      </c>
      <c r="E2392" s="318">
        <v>14.8</v>
      </c>
      <c r="F2392" s="1082">
        <v>30</v>
      </c>
      <c r="G2392" s="1068">
        <v>12.2</v>
      </c>
      <c r="H2392" s="1065">
        <v>42.36</v>
      </c>
      <c r="I2392" s="547">
        <v>13.09</v>
      </c>
      <c r="J2392" s="1083">
        <v>16.670000000000002</v>
      </c>
    </row>
    <row r="2393" spans="1:10" ht="13.5" thickBot="1">
      <c r="A2393" s="10">
        <v>44158</v>
      </c>
      <c r="B2393" s="1016">
        <v>20.67</v>
      </c>
      <c r="C2393" s="318">
        <v>20.18</v>
      </c>
      <c r="D2393" s="318">
        <v>19.38</v>
      </c>
      <c r="E2393" s="318">
        <v>15.21</v>
      </c>
      <c r="F2393" s="1082">
        <v>30</v>
      </c>
      <c r="G2393" s="1068">
        <v>12.4</v>
      </c>
      <c r="H2393" s="1065">
        <v>42.36</v>
      </c>
      <c r="I2393" s="547">
        <v>13.03</v>
      </c>
      <c r="J2393" s="1083">
        <v>16.670000000000002</v>
      </c>
    </row>
    <row r="2394" spans="1:10" ht="13.5" thickBot="1">
      <c r="A2394" s="10">
        <v>44165</v>
      </c>
      <c r="B2394" s="1016">
        <v>21.18</v>
      </c>
      <c r="C2394" s="318">
        <v>20.68</v>
      </c>
      <c r="D2394" s="318">
        <v>19.88</v>
      </c>
      <c r="E2394" s="318">
        <v>15.76</v>
      </c>
      <c r="F2394" s="1082">
        <v>30</v>
      </c>
      <c r="G2394" s="1068">
        <v>13.15</v>
      </c>
      <c r="H2394" s="1065">
        <v>42.36</v>
      </c>
      <c r="I2394" s="547">
        <v>13.8</v>
      </c>
      <c r="J2394" s="1083">
        <v>16.668036000000001</v>
      </c>
    </row>
    <row r="2395" spans="1:10" ht="13.5" thickBot="1">
      <c r="A2395" s="1048" t="s">
        <v>653</v>
      </c>
      <c r="B2395" s="1049">
        <f t="shared" ref="B2395:J2395" si="243">AVERAGE(B2390:B2394)</f>
        <v>20.601999999999997</v>
      </c>
      <c r="C2395" s="1049">
        <f t="shared" si="243"/>
        <v>20.112000000000002</v>
      </c>
      <c r="D2395" s="1049">
        <f t="shared" si="243"/>
        <v>19.309999999999999</v>
      </c>
      <c r="E2395" s="1049">
        <f t="shared" si="243"/>
        <v>15.071999999999999</v>
      </c>
      <c r="F2395" s="1064">
        <f t="shared" si="243"/>
        <v>30</v>
      </c>
      <c r="G2395" s="1064">
        <f t="shared" si="243"/>
        <v>12.209999999999999</v>
      </c>
      <c r="H2395" s="1064">
        <f t="shared" si="243"/>
        <v>42.36</v>
      </c>
      <c r="I2395" s="1049">
        <f t="shared" si="243"/>
        <v>12.63</v>
      </c>
      <c r="J2395" s="1049">
        <f t="shared" si="243"/>
        <v>16.668821600000001</v>
      </c>
    </row>
    <row r="2396" spans="1:10" ht="13.5" thickBot="1"/>
    <row r="2397" spans="1:10" ht="13.5" thickBot="1">
      <c r="A2397" s="1669" t="s">
        <v>1</v>
      </c>
      <c r="B2397" s="1074" t="s">
        <v>139</v>
      </c>
      <c r="C2397" s="1081" t="s">
        <v>140</v>
      </c>
      <c r="D2397" s="1074" t="s">
        <v>5</v>
      </c>
      <c r="E2397" s="1075" t="s">
        <v>6</v>
      </c>
      <c r="F2397" s="1076" t="s">
        <v>57</v>
      </c>
      <c r="G2397" s="1077" t="s">
        <v>154</v>
      </c>
      <c r="H2397" s="1078" t="s">
        <v>149</v>
      </c>
      <c r="I2397" s="1077" t="s">
        <v>155</v>
      </c>
      <c r="J2397" s="1079" t="s">
        <v>61</v>
      </c>
    </row>
    <row r="2398" spans="1:10" ht="13.5" thickBot="1">
      <c r="A2398" s="1670"/>
      <c r="B2398" s="1080" t="s">
        <v>146</v>
      </c>
      <c r="C2398" s="1070" t="s">
        <v>146</v>
      </c>
      <c r="D2398" s="1070" t="s">
        <v>146</v>
      </c>
      <c r="E2398" s="1070" t="s">
        <v>146</v>
      </c>
      <c r="F2398" s="1071" t="s">
        <v>146</v>
      </c>
      <c r="G2398" s="1072" t="s">
        <v>146</v>
      </c>
      <c r="H2398" s="1073" t="s">
        <v>146</v>
      </c>
      <c r="I2398" s="1072" t="s">
        <v>146</v>
      </c>
      <c r="J2398" s="1072" t="s">
        <v>146</v>
      </c>
    </row>
    <row r="2399" spans="1:10" ht="13.5" thickBot="1">
      <c r="A2399" s="74">
        <v>44172</v>
      </c>
      <c r="B2399" s="1015">
        <v>21.7</v>
      </c>
      <c r="C2399" s="730">
        <v>21.2</v>
      </c>
      <c r="D2399" s="730">
        <v>20.399999999999999</v>
      </c>
      <c r="E2399" s="730">
        <v>16.48</v>
      </c>
      <c r="F2399" s="1082">
        <v>30</v>
      </c>
      <c r="G2399" s="1067">
        <v>13.15</v>
      </c>
      <c r="H2399" s="1065">
        <v>45.71</v>
      </c>
      <c r="I2399" s="715">
        <v>13.85</v>
      </c>
      <c r="J2399" s="1083">
        <v>16.668036000000001</v>
      </c>
    </row>
    <row r="2400" spans="1:10" ht="13.5" thickBot="1">
      <c r="A2400" s="10">
        <v>44179</v>
      </c>
      <c r="B2400" s="1016">
        <v>21.9</v>
      </c>
      <c r="C2400" s="318">
        <v>21.4</v>
      </c>
      <c r="D2400" s="318">
        <v>20.6</v>
      </c>
      <c r="E2400" s="318">
        <v>17.190000000000001</v>
      </c>
      <c r="F2400" s="1082">
        <v>30</v>
      </c>
      <c r="G2400" s="1068">
        <v>13.1</v>
      </c>
      <c r="H2400" s="1065">
        <v>45.71</v>
      </c>
      <c r="I2400" s="547">
        <v>13.85</v>
      </c>
      <c r="J2400" s="1083">
        <v>16.668036000000001</v>
      </c>
    </row>
    <row r="2401" spans="1:10" ht="13.5" thickBot="1">
      <c r="A2401" s="10">
        <v>44186</v>
      </c>
      <c r="B2401" s="1016">
        <v>22.4</v>
      </c>
      <c r="C2401" s="318">
        <v>21.91</v>
      </c>
      <c r="D2401" s="318">
        <v>21.11</v>
      </c>
      <c r="E2401" s="318">
        <v>17.62</v>
      </c>
      <c r="F2401" s="1082">
        <v>30</v>
      </c>
      <c r="G2401" s="1068">
        <v>13.1</v>
      </c>
      <c r="H2401" s="1065">
        <v>45.71</v>
      </c>
      <c r="I2401" s="547">
        <v>14.17</v>
      </c>
      <c r="J2401" s="1083">
        <v>16.670000000000002</v>
      </c>
    </row>
    <row r="2402" spans="1:10" ht="13.5" thickBot="1">
      <c r="A2402" s="10">
        <v>44193</v>
      </c>
      <c r="B2402" s="1016">
        <v>22.41</v>
      </c>
      <c r="C2402" s="318">
        <v>21.91</v>
      </c>
      <c r="D2402" s="318">
        <v>21.11</v>
      </c>
      <c r="E2402" s="318">
        <v>17.61</v>
      </c>
      <c r="F2402" s="1082">
        <v>30</v>
      </c>
      <c r="G2402" s="1068">
        <v>13.4</v>
      </c>
      <c r="H2402" s="1065">
        <v>45.71</v>
      </c>
      <c r="I2402" s="547">
        <v>15.2</v>
      </c>
      <c r="J2402" s="1083">
        <v>16.670000000000002</v>
      </c>
    </row>
    <row r="2403" spans="1:10" ht="13.5" thickBot="1">
      <c r="A2403" s="1048" t="s">
        <v>654</v>
      </c>
      <c r="B2403" s="1049">
        <f t="shared" ref="B2403:J2403" si="244">AVERAGE(B2399:B2402)</f>
        <v>22.102499999999999</v>
      </c>
      <c r="C2403" s="1049">
        <f t="shared" si="244"/>
        <v>21.604999999999997</v>
      </c>
      <c r="D2403" s="1049">
        <f t="shared" si="244"/>
        <v>20.805</v>
      </c>
      <c r="E2403" s="1049">
        <f t="shared" si="244"/>
        <v>17.225000000000001</v>
      </c>
      <c r="F2403" s="1064">
        <f t="shared" si="244"/>
        <v>30</v>
      </c>
      <c r="G2403" s="1064">
        <f t="shared" si="244"/>
        <v>13.1875</v>
      </c>
      <c r="H2403" s="1064">
        <f t="shared" si="244"/>
        <v>45.71</v>
      </c>
      <c r="I2403" s="1049">
        <f t="shared" si="244"/>
        <v>14.267499999999998</v>
      </c>
      <c r="J2403" s="1049">
        <f t="shared" si="244"/>
        <v>16.669018000000001</v>
      </c>
    </row>
    <row r="2404" spans="1:10" ht="13.5" thickBot="1"/>
    <row r="2405" spans="1:10" ht="13.5" thickBot="1">
      <c r="A2405" s="1667" t="s">
        <v>1</v>
      </c>
      <c r="B2405" s="1124" t="s">
        <v>139</v>
      </c>
      <c r="C2405" s="1125" t="s">
        <v>140</v>
      </c>
      <c r="D2405" s="1124" t="s">
        <v>5</v>
      </c>
      <c r="E2405" s="1126" t="s">
        <v>6</v>
      </c>
      <c r="F2405" s="1127" t="s">
        <v>57</v>
      </c>
      <c r="G2405" s="1128" t="s">
        <v>154</v>
      </c>
      <c r="H2405" s="1129" t="s">
        <v>149</v>
      </c>
      <c r="I2405" s="1130" t="s">
        <v>155</v>
      </c>
      <c r="J2405" s="1128" t="s">
        <v>61</v>
      </c>
    </row>
    <row r="2406" spans="1:10" ht="13.5" thickBot="1">
      <c r="A2406" s="1668"/>
      <c r="B2406" s="1131" t="s">
        <v>146</v>
      </c>
      <c r="C2406" s="1132" t="s">
        <v>146</v>
      </c>
      <c r="D2406" s="1132" t="s">
        <v>146</v>
      </c>
      <c r="E2406" s="1132" t="s">
        <v>146</v>
      </c>
      <c r="F2406" s="1133" t="s">
        <v>146</v>
      </c>
      <c r="G2406" s="1134" t="s">
        <v>146</v>
      </c>
      <c r="H2406" s="1135" t="s">
        <v>146</v>
      </c>
      <c r="I2406" s="1134" t="s">
        <v>146</v>
      </c>
      <c r="J2406" s="1134" t="s">
        <v>146</v>
      </c>
    </row>
    <row r="2407" spans="1:10" ht="13.5" thickBot="1">
      <c r="A2407" s="74">
        <v>44200</v>
      </c>
      <c r="B2407" s="1015">
        <v>22.4</v>
      </c>
      <c r="C2407" s="730">
        <v>21.91</v>
      </c>
      <c r="D2407" s="730">
        <v>21.11</v>
      </c>
      <c r="E2407" s="730">
        <v>17.61</v>
      </c>
      <c r="F2407" s="1082">
        <v>30</v>
      </c>
      <c r="G2407" s="730">
        <v>13.23</v>
      </c>
      <c r="H2407" s="730">
        <v>45.9</v>
      </c>
      <c r="I2407" s="730">
        <v>14.6</v>
      </c>
      <c r="J2407" s="730">
        <v>16.670000000000002</v>
      </c>
    </row>
    <row r="2408" spans="1:10" ht="13.5" thickBot="1">
      <c r="A2408" s="10">
        <v>44207</v>
      </c>
      <c r="B2408" s="1016">
        <v>22.87</v>
      </c>
      <c r="C2408" s="318">
        <v>22.39</v>
      </c>
      <c r="D2408" s="318">
        <v>21.59</v>
      </c>
      <c r="E2408" s="318">
        <v>17.690000000000001</v>
      </c>
      <c r="F2408" s="1082">
        <v>30</v>
      </c>
      <c r="G2408" s="318">
        <v>13.21</v>
      </c>
      <c r="H2408" s="730">
        <v>45.9</v>
      </c>
      <c r="I2408" s="318">
        <v>14.81</v>
      </c>
      <c r="J2408" s="318">
        <f>(101.66/5.93951)</f>
        <v>17.115890031332551</v>
      </c>
    </row>
    <row r="2409" spans="1:10" ht="13.5" thickBot="1">
      <c r="A2409" s="10">
        <v>44214</v>
      </c>
      <c r="B2409" s="1016">
        <v>23.7</v>
      </c>
      <c r="C2409" s="318">
        <v>23.21</v>
      </c>
      <c r="D2409" s="318">
        <v>22.41</v>
      </c>
      <c r="E2409" s="318">
        <v>18.3</v>
      </c>
      <c r="F2409" s="1082">
        <v>30</v>
      </c>
      <c r="G2409" s="318">
        <v>13.56</v>
      </c>
      <c r="H2409" s="730">
        <v>45.9</v>
      </c>
      <c r="I2409" s="318">
        <v>15.85</v>
      </c>
      <c r="J2409" s="318">
        <f>(107/5.93951)</f>
        <v>18.014954095539867</v>
      </c>
    </row>
    <row r="2410" spans="1:10" ht="13.5" thickBot="1">
      <c r="A2410" s="10">
        <v>44221</v>
      </c>
      <c r="B2410" s="1122">
        <v>24.07</v>
      </c>
      <c r="C2410" s="744">
        <v>23.44</v>
      </c>
      <c r="D2410" s="744">
        <v>22.64</v>
      </c>
      <c r="E2410" s="744">
        <v>18.47</v>
      </c>
      <c r="F2410" s="1123">
        <v>30</v>
      </c>
      <c r="G2410" s="744">
        <v>13.75</v>
      </c>
      <c r="H2410" s="730">
        <v>45.9</v>
      </c>
      <c r="I2410" s="744">
        <v>16.190000000000001</v>
      </c>
      <c r="J2410" s="744">
        <f>(116/5.93951)</f>
        <v>19.530230608248829</v>
      </c>
    </row>
    <row r="2411" spans="1:10" ht="13.5" thickBot="1">
      <c r="A2411" s="1136" t="s">
        <v>655</v>
      </c>
      <c r="B2411" s="1137">
        <f t="shared" ref="B2411:J2411" si="245">AVERAGE(B2407:B2410)</f>
        <v>23.259999999999998</v>
      </c>
      <c r="C2411" s="1137">
        <f t="shared" si="245"/>
        <v>22.737499999999997</v>
      </c>
      <c r="D2411" s="1137">
        <f t="shared" si="245"/>
        <v>21.9375</v>
      </c>
      <c r="E2411" s="1137">
        <f t="shared" si="245"/>
        <v>18.017499999999998</v>
      </c>
      <c r="F2411" s="1138">
        <f t="shared" si="245"/>
        <v>30</v>
      </c>
      <c r="G2411" s="1138">
        <f t="shared" si="245"/>
        <v>13.4375</v>
      </c>
      <c r="H2411" s="1138">
        <f t="shared" si="245"/>
        <v>45.9</v>
      </c>
      <c r="I2411" s="1137">
        <f t="shared" si="245"/>
        <v>15.362500000000001</v>
      </c>
      <c r="J2411" s="1139">
        <f t="shared" si="245"/>
        <v>17.832768683780312</v>
      </c>
    </row>
    <row r="2412" spans="1:10" ht="13.5" thickBot="1">
      <c r="A2412" s="564"/>
      <c r="B2412" s="564"/>
      <c r="C2412" s="564"/>
      <c r="D2412" s="564"/>
      <c r="E2412" s="564"/>
      <c r="F2412" s="564"/>
      <c r="G2412" s="564"/>
      <c r="H2412" s="548"/>
      <c r="I2412" s="564"/>
      <c r="J2412" s="564"/>
    </row>
    <row r="2413" spans="1:10" ht="13.5" thickBot="1">
      <c r="A2413" s="1667" t="s">
        <v>1</v>
      </c>
      <c r="B2413" s="1124" t="s">
        <v>139</v>
      </c>
      <c r="C2413" s="1125" t="s">
        <v>140</v>
      </c>
      <c r="D2413" s="1124" t="s">
        <v>5</v>
      </c>
      <c r="E2413" s="1126" t="s">
        <v>6</v>
      </c>
      <c r="F2413" s="1127" t="s">
        <v>57</v>
      </c>
      <c r="G2413" s="1128" t="s">
        <v>154</v>
      </c>
      <c r="H2413" s="1129" t="s">
        <v>149</v>
      </c>
      <c r="I2413" s="1130" t="s">
        <v>155</v>
      </c>
      <c r="J2413" s="1128" t="s">
        <v>61</v>
      </c>
    </row>
    <row r="2414" spans="1:10" ht="13.5" thickBot="1">
      <c r="A2414" s="1668"/>
      <c r="B2414" s="1131" t="s">
        <v>146</v>
      </c>
      <c r="C2414" s="1132" t="s">
        <v>146</v>
      </c>
      <c r="D2414" s="1132" t="s">
        <v>146</v>
      </c>
      <c r="E2414" s="1132" t="s">
        <v>146</v>
      </c>
      <c r="F2414" s="1133" t="s">
        <v>146</v>
      </c>
      <c r="G2414" s="1134" t="s">
        <v>146</v>
      </c>
      <c r="H2414" s="1135" t="s">
        <v>146</v>
      </c>
      <c r="I2414" s="1134" t="s">
        <v>146</v>
      </c>
      <c r="J2414" s="1134" t="s">
        <v>146</v>
      </c>
    </row>
    <row r="2415" spans="1:10" ht="13.5" thickBot="1">
      <c r="A2415" s="74">
        <v>44228</v>
      </c>
      <c r="B2415" s="1015">
        <v>24.07</v>
      </c>
      <c r="C2415" s="730">
        <v>23.57</v>
      </c>
      <c r="D2415" s="730">
        <v>22.77</v>
      </c>
      <c r="E2415" s="730">
        <v>18.57</v>
      </c>
      <c r="F2415" s="1082">
        <v>30</v>
      </c>
      <c r="G2415" s="730">
        <v>14.04</v>
      </c>
      <c r="H2415" s="730">
        <v>45.63</v>
      </c>
      <c r="I2415" s="730">
        <v>16.04</v>
      </c>
      <c r="J2415" s="730">
        <v>19.53</v>
      </c>
    </row>
    <row r="2416" spans="1:10" ht="13.5" thickBot="1">
      <c r="A2416" s="10">
        <v>44235</v>
      </c>
      <c r="B2416" s="1016">
        <v>24.49</v>
      </c>
      <c r="C2416" s="318">
        <v>23.98</v>
      </c>
      <c r="D2416" s="318">
        <v>23.18</v>
      </c>
      <c r="E2416" s="318">
        <v>18.98</v>
      </c>
      <c r="F2416" s="1082">
        <v>30</v>
      </c>
      <c r="G2416" s="318">
        <v>14.49</v>
      </c>
      <c r="H2416" s="730">
        <v>45.63</v>
      </c>
      <c r="I2416" s="318">
        <v>16.03</v>
      </c>
      <c r="J2416" s="318">
        <v>19.53</v>
      </c>
    </row>
    <row r="2417" spans="1:14" ht="13.5" thickBot="1">
      <c r="A2417" s="10">
        <v>44242</v>
      </c>
      <c r="B2417" s="1016">
        <v>24.89</v>
      </c>
      <c r="C2417" s="318">
        <v>24.39</v>
      </c>
      <c r="D2417" s="318">
        <v>23.59</v>
      </c>
      <c r="E2417" s="318">
        <v>19.79</v>
      </c>
      <c r="F2417" s="1082">
        <v>30</v>
      </c>
      <c r="G2417" s="318">
        <v>14.49</v>
      </c>
      <c r="H2417" s="730">
        <v>45.63</v>
      </c>
      <c r="I2417" s="318">
        <v>16.03</v>
      </c>
      <c r="J2417" s="318">
        <v>19.53</v>
      </c>
    </row>
    <row r="2418" spans="1:14" ht="13.5" thickBot="1">
      <c r="A2418" s="10">
        <v>44249</v>
      </c>
      <c r="B2418" s="1016">
        <v>26.32</v>
      </c>
      <c r="C2418" s="318">
        <v>25.85</v>
      </c>
      <c r="D2418" s="318">
        <v>25.05</v>
      </c>
      <c r="E2418" s="318">
        <v>24.1</v>
      </c>
      <c r="F2418" s="1082">
        <v>30</v>
      </c>
      <c r="G2418" s="318">
        <v>14.99</v>
      </c>
      <c r="H2418" s="730">
        <v>45.63</v>
      </c>
      <c r="I2418" s="318">
        <v>16.48</v>
      </c>
      <c r="J2418" s="318">
        <v>19.53</v>
      </c>
    </row>
    <row r="2419" spans="1:14" ht="13.5" thickBot="1">
      <c r="A2419" s="1136" t="s">
        <v>658</v>
      </c>
      <c r="B2419" s="1137">
        <f t="shared" ref="B2419:J2419" si="246">AVERAGE(B2415:B2418)</f>
        <v>24.942500000000003</v>
      </c>
      <c r="C2419" s="1137">
        <f t="shared" si="246"/>
        <v>24.447499999999998</v>
      </c>
      <c r="D2419" s="1137">
        <f t="shared" si="246"/>
        <v>23.647500000000001</v>
      </c>
      <c r="E2419" s="1137">
        <f t="shared" si="246"/>
        <v>20.36</v>
      </c>
      <c r="F2419" s="1138">
        <f t="shared" si="246"/>
        <v>30</v>
      </c>
      <c r="G2419" s="1138">
        <f t="shared" si="246"/>
        <v>14.502500000000001</v>
      </c>
      <c r="H2419" s="1138">
        <f t="shared" si="246"/>
        <v>45.63</v>
      </c>
      <c r="I2419" s="1137">
        <f t="shared" si="246"/>
        <v>16.145</v>
      </c>
      <c r="J2419" s="1139">
        <f t="shared" si="246"/>
        <v>19.53</v>
      </c>
    </row>
    <row r="2420" spans="1:14" ht="13.5" thickBot="1">
      <c r="A2420" s="564"/>
      <c r="B2420" s="564"/>
      <c r="C2420" s="564"/>
      <c r="D2420" s="564"/>
      <c r="E2420" s="564"/>
      <c r="F2420" s="564"/>
      <c r="G2420" s="564"/>
      <c r="H2420" s="548"/>
      <c r="I2420" s="564"/>
      <c r="J2420" s="564"/>
    </row>
    <row r="2421" spans="1:14" ht="13.5" thickBot="1">
      <c r="A2421" s="1667" t="s">
        <v>1</v>
      </c>
      <c r="B2421" s="1124" t="s">
        <v>139</v>
      </c>
      <c r="C2421" s="1125" t="s">
        <v>140</v>
      </c>
      <c r="D2421" s="1124" t="s">
        <v>5</v>
      </c>
      <c r="E2421" s="1126" t="s">
        <v>6</v>
      </c>
      <c r="F2421" s="1127" t="s">
        <v>57</v>
      </c>
      <c r="G2421" s="1128" t="s">
        <v>154</v>
      </c>
      <c r="H2421" s="1129" t="s">
        <v>149</v>
      </c>
      <c r="I2421" s="1130" t="s">
        <v>155</v>
      </c>
      <c r="J2421" s="1128" t="s">
        <v>61</v>
      </c>
    </row>
    <row r="2422" spans="1:14" ht="13.5" thickBot="1">
      <c r="A2422" s="1668"/>
      <c r="B2422" s="1131" t="s">
        <v>146</v>
      </c>
      <c r="C2422" s="1132" t="s">
        <v>146</v>
      </c>
      <c r="D2422" s="1132" t="s">
        <v>146</v>
      </c>
      <c r="E2422" s="1132" t="s">
        <v>146</v>
      </c>
      <c r="F2422" s="1133" t="s">
        <v>146</v>
      </c>
      <c r="G2422" s="1134" t="s">
        <v>146</v>
      </c>
      <c r="H2422" s="1135" t="s">
        <v>146</v>
      </c>
      <c r="I2422" s="1134" t="s">
        <v>146</v>
      </c>
      <c r="J2422" s="1134" t="s">
        <v>146</v>
      </c>
    </row>
    <row r="2423" spans="1:14">
      <c r="A2423" s="74">
        <v>44256</v>
      </c>
      <c r="B2423" s="1015">
        <v>26.33</v>
      </c>
      <c r="C2423" s="730">
        <v>25.85</v>
      </c>
      <c r="D2423" s="730">
        <v>25.05</v>
      </c>
      <c r="E2423" s="730">
        <v>20.86</v>
      </c>
      <c r="F2423" s="1082">
        <v>30</v>
      </c>
      <c r="G2423" s="730">
        <v>15.14</v>
      </c>
      <c r="H2423" s="730">
        <v>48.33</v>
      </c>
      <c r="I2423" s="730">
        <v>17.28</v>
      </c>
      <c r="J2423" s="730">
        <v>19.53</v>
      </c>
    </row>
    <row r="2424" spans="1:14">
      <c r="A2424" s="10">
        <v>44263</v>
      </c>
      <c r="B2424" s="1016">
        <v>27.1</v>
      </c>
      <c r="C2424" s="318">
        <v>26.6</v>
      </c>
      <c r="D2424" s="318">
        <v>25.81</v>
      </c>
      <c r="E2424" s="318">
        <v>21.31</v>
      </c>
      <c r="F2424" s="1082">
        <v>30</v>
      </c>
      <c r="G2424" s="318">
        <v>15.39</v>
      </c>
      <c r="H2424" s="318">
        <v>48.33</v>
      </c>
      <c r="I2424" s="318">
        <v>17.55</v>
      </c>
      <c r="J2424" s="318">
        <v>19.53</v>
      </c>
    </row>
    <row r="2425" spans="1:14">
      <c r="A2425" s="10">
        <v>44270</v>
      </c>
      <c r="B2425" s="1016">
        <v>27.79</v>
      </c>
      <c r="C2425" s="318">
        <v>27.27</v>
      </c>
      <c r="D2425" s="318">
        <v>26.47</v>
      </c>
      <c r="E2425" s="318">
        <v>21.68</v>
      </c>
      <c r="F2425" s="1082">
        <v>30</v>
      </c>
      <c r="G2425" s="318">
        <v>15.39</v>
      </c>
      <c r="H2425" s="318">
        <v>48.33</v>
      </c>
      <c r="I2425" s="318">
        <v>17.55</v>
      </c>
      <c r="J2425" s="318">
        <v>19.53</v>
      </c>
    </row>
    <row r="2426" spans="1:14">
      <c r="A2426" s="10">
        <v>44277</v>
      </c>
      <c r="B2426" s="1016">
        <v>27.37</v>
      </c>
      <c r="C2426" s="318">
        <v>27.02</v>
      </c>
      <c r="D2426" s="318">
        <v>26.22</v>
      </c>
      <c r="E2426" s="318">
        <v>21.41</v>
      </c>
      <c r="F2426" s="1082">
        <v>30</v>
      </c>
      <c r="G2426" s="318">
        <v>15.39</v>
      </c>
      <c r="H2426" s="318">
        <v>48.33</v>
      </c>
      <c r="I2426" s="318">
        <v>17.55</v>
      </c>
      <c r="J2426" s="318">
        <v>19.53</v>
      </c>
    </row>
    <row r="2427" spans="1:14" ht="13.5" thickBot="1">
      <c r="A2427" s="10">
        <v>44284</v>
      </c>
      <c r="B2427" s="1016">
        <v>26.82</v>
      </c>
      <c r="C2427" s="318">
        <v>26.35</v>
      </c>
      <c r="D2427" s="318">
        <v>25.56</v>
      </c>
      <c r="E2427" s="318">
        <v>20.8</v>
      </c>
      <c r="F2427" s="1082">
        <v>30</v>
      </c>
      <c r="G2427" s="318">
        <v>15.19</v>
      </c>
      <c r="H2427" s="318">
        <v>48.33</v>
      </c>
      <c r="I2427" s="318">
        <v>17.55</v>
      </c>
      <c r="J2427" s="318">
        <v>19.53</v>
      </c>
    </row>
    <row r="2428" spans="1:14" ht="13.5" thickBot="1">
      <c r="A2428" s="1136" t="s">
        <v>659</v>
      </c>
      <c r="B2428" s="1137">
        <f t="shared" ref="B2428:J2428" si="247">AVERAGE(B2423:B2427)</f>
        <v>27.082000000000001</v>
      </c>
      <c r="C2428" s="1137">
        <f t="shared" si="247"/>
        <v>26.618000000000002</v>
      </c>
      <c r="D2428" s="1137">
        <f t="shared" si="247"/>
        <v>25.821999999999996</v>
      </c>
      <c r="E2428" s="1137">
        <f t="shared" si="247"/>
        <v>21.212</v>
      </c>
      <c r="F2428" s="1137">
        <f t="shared" si="247"/>
        <v>30</v>
      </c>
      <c r="G2428" s="1137">
        <f t="shared" si="247"/>
        <v>15.3</v>
      </c>
      <c r="H2428" s="1137">
        <f t="shared" si="247"/>
        <v>48.33</v>
      </c>
      <c r="I2428" s="1137">
        <f t="shared" si="247"/>
        <v>17.495999999999999</v>
      </c>
      <c r="J2428" s="1137">
        <f t="shared" si="247"/>
        <v>19.53</v>
      </c>
    </row>
    <row r="2429" spans="1:14" ht="13.5" thickBot="1">
      <c r="A2429" s="564"/>
      <c r="B2429" s="564"/>
      <c r="C2429" s="564"/>
      <c r="D2429" s="564"/>
      <c r="E2429" s="564"/>
      <c r="F2429" s="564"/>
      <c r="G2429" s="564"/>
      <c r="H2429" s="548"/>
      <c r="I2429" s="564"/>
      <c r="J2429" s="564"/>
    </row>
    <row r="2430" spans="1:14" ht="13.5" thickBot="1">
      <c r="A2430" s="1667" t="s">
        <v>1</v>
      </c>
      <c r="B2430" s="1124" t="s">
        <v>139</v>
      </c>
      <c r="C2430" s="1125" t="s">
        <v>140</v>
      </c>
      <c r="D2430" s="1124" t="s">
        <v>5</v>
      </c>
      <c r="E2430" s="1126" t="s">
        <v>6</v>
      </c>
      <c r="F2430" s="1127" t="s">
        <v>57</v>
      </c>
      <c r="G2430" s="1128" t="s">
        <v>154</v>
      </c>
      <c r="H2430" s="1129" t="s">
        <v>149</v>
      </c>
      <c r="I2430" s="1130" t="s">
        <v>155</v>
      </c>
      <c r="J2430" s="1128" t="s">
        <v>61</v>
      </c>
      <c r="N2430" s="712" t="s">
        <v>148</v>
      </c>
    </row>
    <row r="2431" spans="1:14" ht="13.5" thickBot="1">
      <c r="A2431" s="1668"/>
      <c r="B2431" s="1131" t="s">
        <v>146</v>
      </c>
      <c r="C2431" s="1132" t="s">
        <v>146</v>
      </c>
      <c r="D2431" s="1132" t="s">
        <v>146</v>
      </c>
      <c r="E2431" s="1132" t="s">
        <v>146</v>
      </c>
      <c r="F2431" s="1133" t="s">
        <v>146</v>
      </c>
      <c r="G2431" s="1134" t="s">
        <v>146</v>
      </c>
      <c r="H2431" s="1135" t="s">
        <v>146</v>
      </c>
      <c r="I2431" s="1134" t="s">
        <v>146</v>
      </c>
      <c r="J2431" s="1134" t="s">
        <v>146</v>
      </c>
    </row>
    <row r="2432" spans="1:14">
      <c r="A2432" s="74">
        <v>44291</v>
      </c>
      <c r="B2432" s="1015">
        <v>26.82</v>
      </c>
      <c r="C2432" s="730">
        <v>26.45</v>
      </c>
      <c r="D2432" s="730">
        <v>25.66</v>
      </c>
      <c r="E2432" s="730">
        <v>20.71</v>
      </c>
      <c r="F2432" s="1082">
        <v>30</v>
      </c>
      <c r="G2432" s="730">
        <v>15.19</v>
      </c>
      <c r="H2432" s="730">
        <v>48.28</v>
      </c>
      <c r="I2432" s="730">
        <v>17.55</v>
      </c>
      <c r="J2432" s="730">
        <v>19.53</v>
      </c>
    </row>
    <row r="2433" spans="1:14">
      <c r="A2433" s="10">
        <v>44298</v>
      </c>
      <c r="B2433" s="1016">
        <v>27.48</v>
      </c>
      <c r="C2433" s="318">
        <v>26.97</v>
      </c>
      <c r="D2433" s="318">
        <v>26.17</v>
      </c>
      <c r="E2433" s="318">
        <v>20.43</v>
      </c>
      <c r="F2433" s="1082">
        <v>30</v>
      </c>
      <c r="G2433" s="318">
        <v>15.17</v>
      </c>
      <c r="H2433" s="318">
        <v>48.28</v>
      </c>
      <c r="I2433" s="318">
        <v>18.34</v>
      </c>
      <c r="J2433" s="318">
        <v>19.53</v>
      </c>
    </row>
    <row r="2434" spans="1:14">
      <c r="A2434" s="10">
        <v>44305</v>
      </c>
      <c r="B2434" s="1016">
        <v>27.35</v>
      </c>
      <c r="C2434" s="318">
        <v>27</v>
      </c>
      <c r="D2434" s="318">
        <v>26.2</v>
      </c>
      <c r="E2434" s="318">
        <v>20.59</v>
      </c>
      <c r="F2434" s="1082">
        <v>30</v>
      </c>
      <c r="G2434" s="318">
        <v>15.16</v>
      </c>
      <c r="H2434" s="318">
        <v>48.28</v>
      </c>
      <c r="I2434" s="318">
        <v>18.34</v>
      </c>
      <c r="J2434" s="318">
        <v>19.53</v>
      </c>
    </row>
    <row r="2435" spans="1:14" ht="13.5" thickBot="1">
      <c r="A2435" s="10">
        <v>44312</v>
      </c>
      <c r="B2435" s="1016">
        <v>27.78</v>
      </c>
      <c r="C2435" s="318">
        <v>27.27</v>
      </c>
      <c r="D2435" s="318">
        <v>26.49</v>
      </c>
      <c r="E2435" s="318">
        <v>20.87</v>
      </c>
      <c r="F2435" s="1082">
        <v>30</v>
      </c>
      <c r="G2435" s="318">
        <v>15.78</v>
      </c>
      <c r="H2435" s="318">
        <v>48.28</v>
      </c>
      <c r="I2435" s="318">
        <v>17.09</v>
      </c>
      <c r="J2435" s="318">
        <v>19.53</v>
      </c>
    </row>
    <row r="2436" spans="1:14" ht="13.5" thickBot="1">
      <c r="A2436" s="1136" t="s">
        <v>660</v>
      </c>
      <c r="B2436" s="1137">
        <f t="shared" ref="B2436:J2436" si="248">AVERAGE(B2432:B2435)</f>
        <v>27.357500000000002</v>
      </c>
      <c r="C2436" s="1137">
        <f t="shared" si="248"/>
        <v>26.922499999999999</v>
      </c>
      <c r="D2436" s="1137">
        <f t="shared" si="248"/>
        <v>26.13</v>
      </c>
      <c r="E2436" s="1137">
        <f t="shared" si="248"/>
        <v>20.650000000000002</v>
      </c>
      <c r="F2436" s="1137">
        <f t="shared" si="248"/>
        <v>30</v>
      </c>
      <c r="G2436" s="1137">
        <f t="shared" si="248"/>
        <v>15.324999999999999</v>
      </c>
      <c r="H2436" s="1137">
        <f t="shared" si="248"/>
        <v>48.28</v>
      </c>
      <c r="I2436" s="1137">
        <f t="shared" si="248"/>
        <v>17.830000000000002</v>
      </c>
      <c r="J2436" s="1137">
        <f t="shared" si="248"/>
        <v>19.53</v>
      </c>
    </row>
    <row r="2437" spans="1:14" ht="13.5" thickBot="1">
      <c r="A2437" s="564"/>
      <c r="B2437" s="564"/>
      <c r="C2437" s="564"/>
      <c r="D2437" s="564"/>
      <c r="E2437" s="564"/>
      <c r="F2437" s="564"/>
      <c r="G2437" s="564"/>
      <c r="H2437" s="548"/>
      <c r="I2437" s="564"/>
      <c r="J2437" s="564"/>
    </row>
    <row r="2438" spans="1:14" ht="13.5" thickBot="1">
      <c r="A2438" s="1667" t="s">
        <v>1</v>
      </c>
      <c r="B2438" s="1124" t="s">
        <v>139</v>
      </c>
      <c r="C2438" s="1125" t="s">
        <v>140</v>
      </c>
      <c r="D2438" s="1124" t="s">
        <v>5</v>
      </c>
      <c r="E2438" s="1126" t="s">
        <v>6</v>
      </c>
      <c r="F2438" s="1127" t="s">
        <v>57</v>
      </c>
      <c r="G2438" s="1128" t="s">
        <v>154</v>
      </c>
      <c r="H2438" s="1129" t="s">
        <v>149</v>
      </c>
      <c r="I2438" s="1130" t="s">
        <v>155</v>
      </c>
      <c r="J2438" s="1128" t="s">
        <v>61</v>
      </c>
    </row>
    <row r="2439" spans="1:14" ht="13.5" thickBot="1">
      <c r="A2439" s="1668"/>
      <c r="B2439" s="1131" t="s">
        <v>146</v>
      </c>
      <c r="C2439" s="1132" t="s">
        <v>146</v>
      </c>
      <c r="D2439" s="1132" t="s">
        <v>146</v>
      </c>
      <c r="E2439" s="1132" t="s">
        <v>146</v>
      </c>
      <c r="F2439" s="1133" t="s">
        <v>146</v>
      </c>
      <c r="G2439" s="1134" t="s">
        <v>146</v>
      </c>
      <c r="H2439" s="1135" t="s">
        <v>146</v>
      </c>
      <c r="I2439" s="1134" t="s">
        <v>146</v>
      </c>
      <c r="J2439" s="1134" t="s">
        <v>146</v>
      </c>
    </row>
    <row r="2440" spans="1:14">
      <c r="A2440" s="74">
        <v>44319</v>
      </c>
      <c r="B2440" s="1015">
        <v>27.78</v>
      </c>
      <c r="C2440" s="730">
        <v>27.33</v>
      </c>
      <c r="D2440" s="730">
        <v>26.49</v>
      </c>
      <c r="E2440" s="730">
        <v>21.12</v>
      </c>
      <c r="F2440" s="1082">
        <v>30</v>
      </c>
      <c r="G2440" s="730">
        <v>16.04</v>
      </c>
      <c r="H2440" s="730">
        <v>48.4</v>
      </c>
      <c r="I2440" s="730">
        <v>17.61</v>
      </c>
      <c r="J2440" s="730">
        <v>19.53</v>
      </c>
    </row>
    <row r="2441" spans="1:14">
      <c r="A2441" s="10">
        <v>44326</v>
      </c>
      <c r="B2441" s="1090">
        <v>28.35</v>
      </c>
      <c r="C2441" s="890">
        <v>27.89</v>
      </c>
      <c r="D2441" s="890">
        <v>27.09</v>
      </c>
      <c r="E2441" s="890">
        <v>21.79</v>
      </c>
      <c r="F2441" s="1082">
        <v>30</v>
      </c>
      <c r="G2441" s="890">
        <v>16.11</v>
      </c>
      <c r="H2441" s="890">
        <v>48.4</v>
      </c>
      <c r="I2441" s="890">
        <v>17.72</v>
      </c>
      <c r="J2441" s="890">
        <v>19.53</v>
      </c>
    </row>
    <row r="2442" spans="1:14">
      <c r="A2442" s="10">
        <v>44333</v>
      </c>
      <c r="B2442" s="1016">
        <v>28.38</v>
      </c>
      <c r="C2442" s="318">
        <v>27.9</v>
      </c>
      <c r="D2442" s="318">
        <v>27.09</v>
      </c>
      <c r="E2442" s="318">
        <v>21.79</v>
      </c>
      <c r="F2442" s="1082">
        <v>30</v>
      </c>
      <c r="G2442" s="318">
        <v>16.47</v>
      </c>
      <c r="H2442" s="318">
        <v>48.4</v>
      </c>
      <c r="I2442" s="318">
        <v>17.98</v>
      </c>
      <c r="J2442" s="318">
        <v>19.53</v>
      </c>
    </row>
    <row r="2443" spans="1:14">
      <c r="A2443" s="10">
        <v>44340</v>
      </c>
      <c r="B2443" s="1016">
        <v>28.38</v>
      </c>
      <c r="C2443" s="318">
        <v>27.88</v>
      </c>
      <c r="D2443" s="318">
        <v>27.08</v>
      </c>
      <c r="E2443" s="318">
        <v>21.78</v>
      </c>
      <c r="F2443" s="1082">
        <v>30</v>
      </c>
      <c r="G2443" s="318">
        <v>16.59</v>
      </c>
      <c r="H2443" s="318">
        <v>48.4</v>
      </c>
      <c r="I2443" s="318">
        <v>18.3</v>
      </c>
      <c r="J2443" s="318">
        <v>19.53</v>
      </c>
    </row>
    <row r="2444" spans="1:14" ht="13.5" thickBot="1">
      <c r="A2444" s="10">
        <v>44347</v>
      </c>
      <c r="B2444" s="1016">
        <v>28.51</v>
      </c>
      <c r="C2444" s="318">
        <v>28.01</v>
      </c>
      <c r="D2444" s="318">
        <v>27.22</v>
      </c>
      <c r="E2444" s="318">
        <v>22.29</v>
      </c>
      <c r="F2444" s="1082">
        <v>30</v>
      </c>
      <c r="G2444" s="318">
        <v>16.53</v>
      </c>
      <c r="H2444" s="318">
        <v>48.4</v>
      </c>
      <c r="I2444" s="318">
        <v>18.09</v>
      </c>
      <c r="J2444" s="318">
        <v>19.53</v>
      </c>
      <c r="N2444" s="564" t="s">
        <v>657</v>
      </c>
    </row>
    <row r="2445" spans="1:14" ht="13.5" thickBot="1">
      <c r="A2445" s="1136" t="s">
        <v>661</v>
      </c>
      <c r="B2445" s="1137">
        <f t="shared" ref="B2445:J2445" si="249">AVERAGE(B2440:B2444)</f>
        <v>28.28</v>
      </c>
      <c r="C2445" s="1137">
        <f t="shared" si="249"/>
        <v>27.802</v>
      </c>
      <c r="D2445" s="1137">
        <f t="shared" si="249"/>
        <v>26.994</v>
      </c>
      <c r="E2445" s="1137">
        <f t="shared" si="249"/>
        <v>21.753999999999998</v>
      </c>
      <c r="F2445" s="1137">
        <f t="shared" si="249"/>
        <v>30</v>
      </c>
      <c r="G2445" s="1137">
        <f t="shared" si="249"/>
        <v>16.347999999999999</v>
      </c>
      <c r="H2445" s="1137">
        <f t="shared" si="249"/>
        <v>48.4</v>
      </c>
      <c r="I2445" s="1137">
        <f t="shared" si="249"/>
        <v>17.940000000000001</v>
      </c>
      <c r="J2445" s="1137">
        <f t="shared" si="249"/>
        <v>19.53</v>
      </c>
    </row>
    <row r="2446" spans="1:14" ht="13.5" thickBot="1"/>
    <row r="2447" spans="1:14" ht="13.5" thickBot="1">
      <c r="A2447" s="1667" t="s">
        <v>1</v>
      </c>
      <c r="B2447" s="1124" t="s">
        <v>139</v>
      </c>
      <c r="C2447" s="1125" t="s">
        <v>140</v>
      </c>
      <c r="D2447" s="1124" t="s">
        <v>5</v>
      </c>
      <c r="E2447" s="1126" t="s">
        <v>6</v>
      </c>
      <c r="F2447" s="1127" t="s">
        <v>57</v>
      </c>
      <c r="G2447" s="1128" t="s">
        <v>154</v>
      </c>
      <c r="H2447" s="1129" t="s">
        <v>149</v>
      </c>
      <c r="I2447" s="1130" t="s">
        <v>155</v>
      </c>
      <c r="J2447" s="1128" t="s">
        <v>61</v>
      </c>
    </row>
    <row r="2448" spans="1:14" ht="13.5" thickBot="1">
      <c r="A2448" s="1668"/>
      <c r="B2448" s="1131" t="s">
        <v>146</v>
      </c>
      <c r="C2448" s="1132" t="s">
        <v>146</v>
      </c>
      <c r="D2448" s="1132" t="s">
        <v>146</v>
      </c>
      <c r="E2448" s="1132" t="s">
        <v>146</v>
      </c>
      <c r="F2448" s="1133" t="s">
        <v>146</v>
      </c>
      <c r="G2448" s="1134" t="s">
        <v>146</v>
      </c>
      <c r="H2448" s="1135" t="s">
        <v>146</v>
      </c>
      <c r="I2448" s="1134" t="s">
        <v>146</v>
      </c>
      <c r="J2448" s="1134" t="s">
        <v>146</v>
      </c>
    </row>
    <row r="2449" spans="1:10">
      <c r="A2449" s="74">
        <v>44354</v>
      </c>
      <c r="B2449" s="1015">
        <v>28.5</v>
      </c>
      <c r="C2449" s="730">
        <v>27.99</v>
      </c>
      <c r="D2449" s="730">
        <v>27.2</v>
      </c>
      <c r="E2449" s="730">
        <v>22.58</v>
      </c>
      <c r="F2449" s="1082">
        <v>30</v>
      </c>
      <c r="G2449" s="730">
        <v>16.309999999999999</v>
      </c>
      <c r="H2449" s="730">
        <v>48.45</v>
      </c>
      <c r="I2449" s="730">
        <v>18.54</v>
      </c>
      <c r="J2449" s="730">
        <v>20.2</v>
      </c>
    </row>
    <row r="2450" spans="1:10">
      <c r="A2450" s="10">
        <v>44361</v>
      </c>
      <c r="B2450" s="1016">
        <v>28.68</v>
      </c>
      <c r="C2450" s="318">
        <v>28.19</v>
      </c>
      <c r="D2450" s="318">
        <v>27.4</v>
      </c>
      <c r="E2450" s="318">
        <v>22.77</v>
      </c>
      <c r="F2450" s="1082">
        <v>30</v>
      </c>
      <c r="G2450" s="318">
        <v>16.62</v>
      </c>
      <c r="H2450" s="318">
        <v>48.45</v>
      </c>
      <c r="I2450" s="318">
        <v>18.09</v>
      </c>
      <c r="J2450" s="318">
        <v>20.2</v>
      </c>
    </row>
    <row r="2451" spans="1:10">
      <c r="A2451" s="10">
        <v>44368</v>
      </c>
      <c r="B2451" s="1016">
        <v>28.1</v>
      </c>
      <c r="C2451" s="318">
        <v>27.68</v>
      </c>
      <c r="D2451" s="318">
        <v>26.86</v>
      </c>
      <c r="E2451" s="318">
        <v>21.88</v>
      </c>
      <c r="F2451" s="1082">
        <v>30</v>
      </c>
      <c r="G2451" s="318">
        <v>16.97</v>
      </c>
      <c r="H2451" s="318">
        <v>48.45</v>
      </c>
      <c r="I2451" s="318">
        <v>19.32</v>
      </c>
      <c r="J2451" s="318">
        <v>20.2</v>
      </c>
    </row>
    <row r="2452" spans="1:10" ht="13.5" thickBot="1">
      <c r="A2452" s="10">
        <v>44376</v>
      </c>
      <c r="B2452" s="1016">
        <v>27.57</v>
      </c>
      <c r="C2452" s="318">
        <v>27.6</v>
      </c>
      <c r="D2452" s="318">
        <v>26.8</v>
      </c>
      <c r="E2452" s="318">
        <v>21.81</v>
      </c>
      <c r="F2452" s="1082">
        <v>30</v>
      </c>
      <c r="G2452" s="318">
        <v>16.89</v>
      </c>
      <c r="H2452" s="318">
        <v>48.45</v>
      </c>
      <c r="I2452" s="318">
        <v>19.149999999999999</v>
      </c>
      <c r="J2452" s="318">
        <v>20.2</v>
      </c>
    </row>
    <row r="2453" spans="1:10" ht="13.5" thickBot="1">
      <c r="A2453" s="1136" t="s">
        <v>662</v>
      </c>
      <c r="B2453" s="1137">
        <f t="shared" ref="B2453:J2453" si="250">AVERAGE(B2449:B2452)</f>
        <v>28.212499999999999</v>
      </c>
      <c r="C2453" s="1137">
        <f t="shared" si="250"/>
        <v>27.865000000000002</v>
      </c>
      <c r="D2453" s="1137">
        <f t="shared" si="250"/>
        <v>27.064999999999998</v>
      </c>
      <c r="E2453" s="1137">
        <f t="shared" si="250"/>
        <v>22.259999999999998</v>
      </c>
      <c r="F2453" s="1137">
        <f t="shared" si="250"/>
        <v>30</v>
      </c>
      <c r="G2453" s="1137">
        <f t="shared" si="250"/>
        <v>16.697499999999998</v>
      </c>
      <c r="H2453" s="1137">
        <f t="shared" si="250"/>
        <v>48.45</v>
      </c>
      <c r="I2453" s="1137">
        <f t="shared" si="250"/>
        <v>18.774999999999999</v>
      </c>
      <c r="J2453" s="1137">
        <f t="shared" si="250"/>
        <v>20.2</v>
      </c>
    </row>
    <row r="2454" spans="1:10" ht="13.5" thickBot="1"/>
    <row r="2455" spans="1:10" ht="13.5" thickBot="1">
      <c r="A2455" s="1667" t="s">
        <v>1</v>
      </c>
      <c r="B2455" s="1124" t="s">
        <v>139</v>
      </c>
      <c r="C2455" s="1125" t="s">
        <v>140</v>
      </c>
      <c r="D2455" s="1124" t="s">
        <v>5</v>
      </c>
      <c r="E2455" s="1126" t="s">
        <v>6</v>
      </c>
      <c r="F2455" s="1127" t="s">
        <v>57</v>
      </c>
      <c r="G2455" s="1128" t="s">
        <v>154</v>
      </c>
      <c r="H2455" s="1129" t="s">
        <v>149</v>
      </c>
      <c r="I2455" s="1130" t="s">
        <v>155</v>
      </c>
      <c r="J2455" s="1128" t="s">
        <v>61</v>
      </c>
    </row>
    <row r="2456" spans="1:10" ht="13.5" thickBot="1">
      <c r="A2456" s="1668"/>
      <c r="B2456" s="1131" t="s">
        <v>146</v>
      </c>
      <c r="C2456" s="1132" t="s">
        <v>146</v>
      </c>
      <c r="D2456" s="1132" t="s">
        <v>146</v>
      </c>
      <c r="E2456" s="1132" t="s">
        <v>146</v>
      </c>
      <c r="F2456" s="1133" t="s">
        <v>146</v>
      </c>
      <c r="G2456" s="1134" t="s">
        <v>146</v>
      </c>
      <c r="H2456" s="1135" t="s">
        <v>146</v>
      </c>
      <c r="I2456" s="1134" t="s">
        <v>146</v>
      </c>
      <c r="J2456" s="1134" t="s">
        <v>146</v>
      </c>
    </row>
    <row r="2457" spans="1:10">
      <c r="A2457" s="74">
        <v>44382</v>
      </c>
      <c r="B2457" s="1015">
        <v>29.271081081081068</v>
      </c>
      <c r="C2457" s="730">
        <v>28.78</v>
      </c>
      <c r="D2457" s="730">
        <v>27.98</v>
      </c>
      <c r="E2457" s="730">
        <v>22.97</v>
      </c>
      <c r="F2457" s="1082">
        <v>30</v>
      </c>
      <c r="G2457" s="730">
        <v>17.190000000000001</v>
      </c>
      <c r="H2457" s="730">
        <v>48.44</v>
      </c>
      <c r="I2457" s="730">
        <v>19.43</v>
      </c>
      <c r="J2457" s="730">
        <v>20.2</v>
      </c>
    </row>
    <row r="2458" spans="1:10">
      <c r="A2458" s="10">
        <v>44389</v>
      </c>
      <c r="B2458" s="1016">
        <v>29.02</v>
      </c>
      <c r="C2458" s="318">
        <v>28.64</v>
      </c>
      <c r="D2458" s="318">
        <v>27.84</v>
      </c>
      <c r="E2458" s="318">
        <v>22.82</v>
      </c>
      <c r="F2458" s="1082">
        <v>30</v>
      </c>
      <c r="G2458" s="318">
        <v>17.11</v>
      </c>
      <c r="H2458" s="318">
        <v>48.44</v>
      </c>
      <c r="I2458" s="318">
        <v>19.37</v>
      </c>
      <c r="J2458" s="318">
        <v>20.2</v>
      </c>
    </row>
    <row r="2459" spans="1:10">
      <c r="A2459" s="10">
        <v>44396</v>
      </c>
      <c r="B2459" s="1016">
        <v>28.75</v>
      </c>
      <c r="C2459" s="318">
        <v>28.34</v>
      </c>
      <c r="D2459" s="318">
        <v>27.54</v>
      </c>
      <c r="E2459" s="318">
        <v>22.55</v>
      </c>
      <c r="F2459" s="1082">
        <v>30</v>
      </c>
      <c r="G2459" s="318">
        <v>16.73</v>
      </c>
      <c r="H2459" s="318">
        <v>48.44</v>
      </c>
      <c r="I2459" s="318">
        <v>19.440000000000001</v>
      </c>
      <c r="J2459" s="318">
        <v>20.2</v>
      </c>
    </row>
    <row r="2460" spans="1:10" ht="13.5" thickBot="1">
      <c r="A2460" s="10">
        <v>44403</v>
      </c>
      <c r="B2460" s="1016">
        <v>28.63</v>
      </c>
      <c r="C2460" s="318">
        <v>28.09</v>
      </c>
      <c r="D2460" s="318">
        <v>27.29</v>
      </c>
      <c r="E2460" s="318">
        <v>22.1</v>
      </c>
      <c r="F2460" s="1082">
        <v>30</v>
      </c>
      <c r="G2460" s="318">
        <v>16.84</v>
      </c>
      <c r="H2460" s="318">
        <v>48.44</v>
      </c>
      <c r="I2460" s="318">
        <v>18.82</v>
      </c>
      <c r="J2460" s="318">
        <v>20.2</v>
      </c>
    </row>
    <row r="2461" spans="1:10" ht="13.5" thickBot="1">
      <c r="A2461" s="1136" t="s">
        <v>663</v>
      </c>
      <c r="B2461" s="1137">
        <f t="shared" ref="B2461:J2461" si="251">AVERAGE(B2457:B2460)</f>
        <v>28.917770270270267</v>
      </c>
      <c r="C2461" s="1137">
        <f t="shared" si="251"/>
        <v>28.462500000000002</v>
      </c>
      <c r="D2461" s="1137">
        <f t="shared" si="251"/>
        <v>27.662500000000001</v>
      </c>
      <c r="E2461" s="1137">
        <f t="shared" si="251"/>
        <v>22.61</v>
      </c>
      <c r="F2461" s="1137">
        <f t="shared" si="251"/>
        <v>30</v>
      </c>
      <c r="G2461" s="1137">
        <f t="shared" si="251"/>
        <v>16.967500000000001</v>
      </c>
      <c r="H2461" s="1137">
        <f t="shared" si="251"/>
        <v>48.44</v>
      </c>
      <c r="I2461" s="1137">
        <f t="shared" si="251"/>
        <v>19.265000000000001</v>
      </c>
      <c r="J2461" s="1137">
        <f t="shared" si="251"/>
        <v>20.2</v>
      </c>
    </row>
    <row r="2462" spans="1:10" ht="13.5" thickBot="1">
      <c r="A2462" s="564"/>
      <c r="B2462" s="564"/>
      <c r="C2462" s="564"/>
      <c r="D2462" s="564"/>
      <c r="E2462" s="564"/>
      <c r="F2462" s="564"/>
      <c r="G2462" s="564"/>
      <c r="H2462" s="548"/>
      <c r="I2462" s="564"/>
      <c r="J2462" s="564"/>
    </row>
    <row r="2463" spans="1:10" ht="13.5" thickBot="1">
      <c r="A2463" s="1667" t="s">
        <v>1</v>
      </c>
      <c r="B2463" s="1124" t="s">
        <v>139</v>
      </c>
      <c r="C2463" s="1125" t="s">
        <v>140</v>
      </c>
      <c r="D2463" s="1124" t="s">
        <v>5</v>
      </c>
      <c r="E2463" s="1126" t="s">
        <v>6</v>
      </c>
      <c r="F2463" s="1127" t="s">
        <v>57</v>
      </c>
      <c r="G2463" s="1128" t="s">
        <v>154</v>
      </c>
      <c r="H2463" s="1129" t="s">
        <v>149</v>
      </c>
      <c r="I2463" s="1130" t="s">
        <v>155</v>
      </c>
      <c r="J2463" s="1128" t="s">
        <v>61</v>
      </c>
    </row>
    <row r="2464" spans="1:10" ht="13.5" thickBot="1">
      <c r="A2464" s="1668"/>
      <c r="B2464" s="1131" t="s">
        <v>146</v>
      </c>
      <c r="C2464" s="1132" t="s">
        <v>146</v>
      </c>
      <c r="D2464" s="1132" t="s">
        <v>146</v>
      </c>
      <c r="E2464" s="1132" t="s">
        <v>146</v>
      </c>
      <c r="F2464" s="1133" t="s">
        <v>146</v>
      </c>
      <c r="G2464" s="1134" t="s">
        <v>146</v>
      </c>
      <c r="H2464" s="1135" t="s">
        <v>146</v>
      </c>
      <c r="I2464" s="1134" t="s">
        <v>146</v>
      </c>
      <c r="J2464" s="1134" t="s">
        <v>146</v>
      </c>
    </row>
    <row r="2465" spans="1:10" ht="13.5" thickBot="1">
      <c r="A2465" s="74">
        <v>44410</v>
      </c>
      <c r="B2465" s="1015">
        <v>29.6</v>
      </c>
      <c r="C2465" s="730">
        <v>29.1</v>
      </c>
      <c r="D2465" s="730">
        <v>28.28</v>
      </c>
      <c r="E2465" s="730">
        <v>23.1</v>
      </c>
      <c r="F2465" s="1082">
        <v>30</v>
      </c>
      <c r="G2465" s="730">
        <v>17.32</v>
      </c>
      <c r="H2465" s="730">
        <v>48.31</v>
      </c>
      <c r="I2465" s="730">
        <v>18.989999999999998</v>
      </c>
      <c r="J2465" s="730">
        <v>20.2</v>
      </c>
    </row>
    <row r="2466" spans="1:10" ht="13.5" thickBot="1">
      <c r="A2466" s="10">
        <v>44417</v>
      </c>
      <c r="B2466" s="1090">
        <v>29.58</v>
      </c>
      <c r="C2466" s="890">
        <v>29.09</v>
      </c>
      <c r="D2466" s="890">
        <v>28.27</v>
      </c>
      <c r="E2466" s="890">
        <v>23.09</v>
      </c>
      <c r="F2466" s="1082">
        <v>30</v>
      </c>
      <c r="G2466" s="730">
        <v>17.260000000000002</v>
      </c>
      <c r="H2466" s="730">
        <v>48.31</v>
      </c>
      <c r="I2466" s="730">
        <v>18.82</v>
      </c>
      <c r="J2466" s="730">
        <v>21.2</v>
      </c>
    </row>
    <row r="2467" spans="1:10">
      <c r="A2467" s="10">
        <v>44425</v>
      </c>
      <c r="B2467" s="1016">
        <v>29.31</v>
      </c>
      <c r="C2467" s="318">
        <v>28.8</v>
      </c>
      <c r="D2467" s="318">
        <v>28</v>
      </c>
      <c r="E2467" s="318">
        <v>22.8</v>
      </c>
      <c r="F2467" s="1082">
        <v>30</v>
      </c>
      <c r="G2467" s="730">
        <v>17.02</v>
      </c>
      <c r="H2467" s="730">
        <v>48.31</v>
      </c>
      <c r="I2467" s="730">
        <v>18.78</v>
      </c>
      <c r="J2467" s="730">
        <v>22.2</v>
      </c>
    </row>
    <row r="2468" spans="1:10">
      <c r="A2468" s="10">
        <v>44431</v>
      </c>
      <c r="B2468" s="1016">
        <v>29.31</v>
      </c>
      <c r="C2468" s="318">
        <v>28.79</v>
      </c>
      <c r="D2468" s="318">
        <v>27.99</v>
      </c>
      <c r="E2468" s="318">
        <v>22.79</v>
      </c>
      <c r="F2468" s="1082">
        <v>30</v>
      </c>
      <c r="G2468" s="318">
        <v>16.95</v>
      </c>
      <c r="H2468" s="318">
        <v>48.31</v>
      </c>
      <c r="I2468" s="318">
        <v>18.78</v>
      </c>
      <c r="J2468" s="318">
        <v>20.2</v>
      </c>
    </row>
    <row r="2469" spans="1:10" ht="13.5" thickBot="1">
      <c r="A2469" s="10">
        <v>44438</v>
      </c>
      <c r="B2469" s="1016">
        <v>29.31</v>
      </c>
      <c r="C2469" s="318">
        <v>28.79</v>
      </c>
      <c r="D2469" s="318">
        <v>27.99</v>
      </c>
      <c r="E2469" s="318">
        <v>22.79</v>
      </c>
      <c r="F2469" s="1082">
        <v>30</v>
      </c>
      <c r="G2469" s="318">
        <v>16.82</v>
      </c>
      <c r="H2469" s="318">
        <v>48.31</v>
      </c>
      <c r="I2469" s="318">
        <v>18.86</v>
      </c>
      <c r="J2469" s="318">
        <v>20.2</v>
      </c>
    </row>
    <row r="2470" spans="1:10" ht="13.5" thickBot="1">
      <c r="A2470" s="1136" t="s">
        <v>664</v>
      </c>
      <c r="B2470" s="1137">
        <f t="shared" ref="B2470:J2470" si="252">AVERAGE(B2465:B2469)</f>
        <v>29.421999999999997</v>
      </c>
      <c r="C2470" s="1137">
        <f t="shared" si="252"/>
        <v>28.913999999999998</v>
      </c>
      <c r="D2470" s="1137">
        <f t="shared" si="252"/>
        <v>28.106000000000002</v>
      </c>
      <c r="E2470" s="1137">
        <f t="shared" si="252"/>
        <v>22.913999999999998</v>
      </c>
      <c r="F2470" s="1137">
        <f t="shared" si="252"/>
        <v>30</v>
      </c>
      <c r="G2470" s="1137">
        <f t="shared" si="252"/>
        <v>17.074000000000002</v>
      </c>
      <c r="H2470" s="1137">
        <f t="shared" si="252"/>
        <v>48.31</v>
      </c>
      <c r="I2470" s="1137">
        <f t="shared" si="252"/>
        <v>18.846</v>
      </c>
      <c r="J2470" s="1137">
        <f t="shared" si="252"/>
        <v>20.8</v>
      </c>
    </row>
    <row r="2471" spans="1:10" ht="13.5" thickBot="1">
      <c r="A2471" s="564"/>
      <c r="B2471" s="564"/>
      <c r="C2471" s="564"/>
      <c r="D2471" s="564"/>
      <c r="E2471" s="564"/>
      <c r="F2471" s="564"/>
      <c r="G2471" s="564"/>
      <c r="H2471" s="548"/>
      <c r="I2471" s="564"/>
      <c r="J2471" s="564"/>
    </row>
    <row r="2472" spans="1:10" ht="13.5" thickBot="1">
      <c r="A2472" s="1667" t="s">
        <v>1</v>
      </c>
      <c r="B2472" s="1124" t="s">
        <v>139</v>
      </c>
      <c r="C2472" s="1125" t="s">
        <v>140</v>
      </c>
      <c r="D2472" s="1124" t="s">
        <v>5</v>
      </c>
      <c r="E2472" s="1126" t="s">
        <v>6</v>
      </c>
      <c r="F2472" s="1127" t="s">
        <v>57</v>
      </c>
      <c r="G2472" s="1128" t="s">
        <v>154</v>
      </c>
      <c r="H2472" s="1129" t="s">
        <v>149</v>
      </c>
      <c r="I2472" s="1130" t="s">
        <v>155</v>
      </c>
      <c r="J2472" s="1128" t="s">
        <v>61</v>
      </c>
    </row>
    <row r="2473" spans="1:10" ht="13.5" thickBot="1">
      <c r="A2473" s="1668"/>
      <c r="B2473" s="1131" t="s">
        <v>146</v>
      </c>
      <c r="C2473" s="1132" t="s">
        <v>146</v>
      </c>
      <c r="D2473" s="1132" t="s">
        <v>146</v>
      </c>
      <c r="E2473" s="1132" t="s">
        <v>146</v>
      </c>
      <c r="F2473" s="1133" t="s">
        <v>146</v>
      </c>
      <c r="G2473" s="1134" t="s">
        <v>146</v>
      </c>
      <c r="H2473" s="1135" t="s">
        <v>146</v>
      </c>
      <c r="I2473" s="1134" t="s">
        <v>146</v>
      </c>
      <c r="J2473" s="1134" t="s">
        <v>146</v>
      </c>
    </row>
    <row r="2474" spans="1:10" ht="13.5" thickBot="1">
      <c r="A2474" s="74">
        <v>44445</v>
      </c>
      <c r="B2474" s="1015">
        <v>29.59</v>
      </c>
      <c r="C2474" s="730">
        <v>29.11</v>
      </c>
      <c r="D2474" s="730">
        <v>28.4</v>
      </c>
      <c r="E2474" s="730">
        <v>23.2</v>
      </c>
      <c r="F2474" s="1082">
        <v>30</v>
      </c>
      <c r="G2474" s="730">
        <v>17.23</v>
      </c>
      <c r="H2474" s="730">
        <v>50.5</v>
      </c>
      <c r="I2474" s="730">
        <v>17.440000000000001</v>
      </c>
      <c r="J2474" s="1083">
        <f>(120/5.93951)</f>
        <v>20.203686836119477</v>
      </c>
    </row>
    <row r="2475" spans="1:10" ht="13.5" thickBot="1">
      <c r="A2475" s="10">
        <v>44452</v>
      </c>
      <c r="B2475" s="1090">
        <v>29.33</v>
      </c>
      <c r="C2475" s="890">
        <v>29.08</v>
      </c>
      <c r="D2475" s="890">
        <v>28.4</v>
      </c>
      <c r="E2475" s="890">
        <v>23.47</v>
      </c>
      <c r="F2475" s="1082">
        <v>30</v>
      </c>
      <c r="G2475" s="730">
        <v>17.399999999999999</v>
      </c>
      <c r="H2475" s="730">
        <v>50.5</v>
      </c>
      <c r="I2475" s="730">
        <v>18.23</v>
      </c>
      <c r="J2475" s="1083">
        <f>(120/5.93951)</f>
        <v>20.203686836119477</v>
      </c>
    </row>
    <row r="2476" spans="1:10" ht="13.5" thickBot="1">
      <c r="A2476" s="10">
        <v>44459</v>
      </c>
      <c r="B2476" s="1016">
        <v>29.8</v>
      </c>
      <c r="C2476" s="318">
        <v>29.27</v>
      </c>
      <c r="D2476" s="318">
        <v>28.58</v>
      </c>
      <c r="E2476" s="318">
        <v>23.77</v>
      </c>
      <c r="F2476" s="1082">
        <v>30</v>
      </c>
      <c r="G2476" s="730">
        <v>17.03</v>
      </c>
      <c r="H2476" s="730">
        <v>50.5</v>
      </c>
      <c r="I2476" s="730">
        <v>18.23</v>
      </c>
      <c r="J2476" s="1083">
        <f>(122.4/5.93951)</f>
        <v>20.607760572841869</v>
      </c>
    </row>
    <row r="2477" spans="1:10" ht="13.5" thickBot="1">
      <c r="A2477" s="10">
        <v>44466</v>
      </c>
      <c r="B2477" s="1016">
        <v>29.79</v>
      </c>
      <c r="C2477" s="318">
        <v>29.29</v>
      </c>
      <c r="D2477" s="318">
        <v>28.59</v>
      </c>
      <c r="E2477" s="318">
        <v>23.79</v>
      </c>
      <c r="F2477" s="1082">
        <v>30</v>
      </c>
      <c r="G2477" s="318">
        <v>17.190000000000001</v>
      </c>
      <c r="H2477" s="730">
        <v>50.5</v>
      </c>
      <c r="I2477" s="318">
        <v>18.23</v>
      </c>
      <c r="J2477" s="1083">
        <f>(128/5.93951)</f>
        <v>21.550599291860774</v>
      </c>
    </row>
    <row r="2478" spans="1:10" ht="13.5" thickBot="1">
      <c r="A2478" s="1136" t="s">
        <v>664</v>
      </c>
      <c r="B2478" s="1137">
        <f t="shared" ref="B2478:I2478" si="253">AVERAGE(B2474:B2477)</f>
        <v>29.627499999999998</v>
      </c>
      <c r="C2478" s="1137">
        <f t="shared" si="253"/>
        <v>29.1875</v>
      </c>
      <c r="D2478" s="1137">
        <f t="shared" si="253"/>
        <v>28.4925</v>
      </c>
      <c r="E2478" s="1137">
        <f t="shared" si="253"/>
        <v>23.557499999999997</v>
      </c>
      <c r="F2478" s="1137">
        <f t="shared" si="253"/>
        <v>30</v>
      </c>
      <c r="G2478" s="1137">
        <f t="shared" si="253"/>
        <v>17.212499999999999</v>
      </c>
      <c r="H2478" s="1137">
        <f t="shared" si="253"/>
        <v>50.5</v>
      </c>
      <c r="I2478" s="1137">
        <f t="shared" si="253"/>
        <v>18.032500000000002</v>
      </c>
      <c r="J2478" s="1137">
        <f>AVERAGE(J2474:J2477)</f>
        <v>20.641433384235398</v>
      </c>
    </row>
    <row r="2479" spans="1:10" ht="13.5" thickBot="1">
      <c r="A2479" s="564"/>
      <c r="B2479" s="564"/>
      <c r="C2479" s="564"/>
      <c r="D2479" s="564"/>
      <c r="E2479" s="564"/>
      <c r="F2479" s="564"/>
      <c r="G2479" s="564"/>
      <c r="H2479" s="548"/>
      <c r="I2479" s="564"/>
      <c r="J2479" s="564"/>
    </row>
    <row r="2480" spans="1:10" ht="13.5" thickBot="1">
      <c r="A2480" s="1667" t="s">
        <v>1</v>
      </c>
      <c r="B2480" s="1124" t="s">
        <v>139</v>
      </c>
      <c r="C2480" s="1125" t="s">
        <v>140</v>
      </c>
      <c r="D2480" s="1124" t="s">
        <v>5</v>
      </c>
      <c r="E2480" s="1126" t="s">
        <v>6</v>
      </c>
      <c r="F2480" s="1127" t="s">
        <v>57</v>
      </c>
      <c r="G2480" s="1128" t="s">
        <v>154</v>
      </c>
      <c r="H2480" s="1129" t="s">
        <v>149</v>
      </c>
      <c r="I2480" s="1130" t="s">
        <v>155</v>
      </c>
      <c r="J2480" s="1128" t="s">
        <v>61</v>
      </c>
    </row>
    <row r="2481" spans="1:10" ht="13.5" thickBot="1">
      <c r="A2481" s="1668"/>
      <c r="B2481" s="1131" t="s">
        <v>146</v>
      </c>
      <c r="C2481" s="1132" t="s">
        <v>146</v>
      </c>
      <c r="D2481" s="1132" t="s">
        <v>146</v>
      </c>
      <c r="E2481" s="1132" t="s">
        <v>146</v>
      </c>
      <c r="F2481" s="1133" t="s">
        <v>146</v>
      </c>
      <c r="G2481" s="1134" t="s">
        <v>146</v>
      </c>
      <c r="H2481" s="1135" t="s">
        <v>146</v>
      </c>
      <c r="I2481" s="1134" t="s">
        <v>146</v>
      </c>
      <c r="J2481" s="1134" t="s">
        <v>146</v>
      </c>
    </row>
    <row r="2482" spans="1:10" ht="13.5" thickBot="1">
      <c r="A2482" s="74">
        <v>44473</v>
      </c>
      <c r="B2482" s="1015">
        <v>29.49</v>
      </c>
      <c r="C2482" s="730">
        <v>29.01</v>
      </c>
      <c r="D2482" s="730">
        <v>28.3</v>
      </c>
      <c r="E2482" s="730">
        <v>24.48</v>
      </c>
      <c r="F2482" s="1082">
        <v>30</v>
      </c>
      <c r="G2482" s="730">
        <v>18.05</v>
      </c>
      <c r="H2482" s="730">
        <v>50.37</v>
      </c>
      <c r="I2482" s="730">
        <v>18.61</v>
      </c>
      <c r="J2482" s="1083">
        <f>(132/5.93951)</f>
        <v>22.224055519731426</v>
      </c>
    </row>
    <row r="2483" spans="1:10" ht="13.5" thickBot="1">
      <c r="A2483" s="10">
        <v>44480</v>
      </c>
      <c r="B2483" s="1090">
        <v>30.49</v>
      </c>
      <c r="C2483" s="890">
        <v>29.98</v>
      </c>
      <c r="D2483" s="890">
        <v>29.28</v>
      </c>
      <c r="E2483" s="890">
        <v>25.41</v>
      </c>
      <c r="F2483" s="1082">
        <v>30</v>
      </c>
      <c r="G2483" s="730">
        <f>AVERAGE([4]Hoja1!$D$10:$D$16)</f>
        <v>18.283333333333335</v>
      </c>
      <c r="H2483" s="730">
        <v>50.37</v>
      </c>
      <c r="I2483" s="730">
        <v>20.81</v>
      </c>
      <c r="J2483" s="1083">
        <f>(132/5.93951)</f>
        <v>22.224055519731426</v>
      </c>
    </row>
    <row r="2484" spans="1:10" ht="13.5" thickBot="1">
      <c r="A2484" s="10">
        <v>44487</v>
      </c>
      <c r="B2484" s="1016">
        <v>30.49</v>
      </c>
      <c r="C2484" s="318">
        <v>29.97</v>
      </c>
      <c r="D2484" s="318">
        <v>29.28</v>
      </c>
      <c r="E2484" s="318">
        <v>25.44</v>
      </c>
      <c r="F2484" s="1082">
        <v>30</v>
      </c>
      <c r="G2484" s="730">
        <v>18.97</v>
      </c>
      <c r="H2484" s="730">
        <v>50.37</v>
      </c>
      <c r="I2484" s="730">
        <v>21.41</v>
      </c>
      <c r="J2484" s="1083">
        <f>(132/5.93951)</f>
        <v>22.224055519731426</v>
      </c>
    </row>
    <row r="2485" spans="1:10" ht="13.5" thickBot="1">
      <c r="A2485" s="10">
        <v>44494</v>
      </c>
      <c r="B2485" s="1016">
        <v>31.49</v>
      </c>
      <c r="C2485" s="318">
        <v>30.98</v>
      </c>
      <c r="D2485" s="318">
        <v>30.28</v>
      </c>
      <c r="E2485" s="318">
        <v>26.49</v>
      </c>
      <c r="F2485" s="1082">
        <v>30</v>
      </c>
      <c r="G2485" s="318">
        <f>AVERAGE([4]Hoja1!$D$24:$D$30)</f>
        <v>19.011666666666667</v>
      </c>
      <c r="H2485" s="730">
        <v>50.37</v>
      </c>
      <c r="I2485" s="318">
        <v>22.71</v>
      </c>
      <c r="J2485" s="1083">
        <f>(132/5.93951)</f>
        <v>22.224055519731426</v>
      </c>
    </row>
    <row r="2486" spans="1:10" ht="13.5" thickBot="1">
      <c r="A2486" s="1136" t="s">
        <v>664</v>
      </c>
      <c r="B2486" s="1137">
        <f t="shared" ref="B2486:J2486" si="254">AVERAGE(B2482:B2485)</f>
        <v>30.49</v>
      </c>
      <c r="C2486" s="1137">
        <f t="shared" si="254"/>
        <v>29.985000000000003</v>
      </c>
      <c r="D2486" s="1137">
        <f t="shared" si="254"/>
        <v>29.285</v>
      </c>
      <c r="E2486" s="1137">
        <f t="shared" si="254"/>
        <v>25.454999999999998</v>
      </c>
      <c r="F2486" s="1137">
        <f t="shared" si="254"/>
        <v>30</v>
      </c>
      <c r="G2486" s="1137">
        <f t="shared" si="254"/>
        <v>18.578749999999999</v>
      </c>
      <c r="H2486" s="1137">
        <f t="shared" si="254"/>
        <v>50.37</v>
      </c>
      <c r="I2486" s="1137">
        <f t="shared" si="254"/>
        <v>20.884999999999998</v>
      </c>
      <c r="J2486" s="1137">
        <f t="shared" si="254"/>
        <v>22.224055519731426</v>
      </c>
    </row>
    <row r="2487" spans="1:10" ht="13.5" thickBot="1">
      <c r="A2487" s="564"/>
      <c r="B2487" s="564"/>
      <c r="C2487" s="564"/>
      <c r="D2487" s="564"/>
      <c r="E2487" s="564"/>
      <c r="F2487" s="564"/>
      <c r="G2487" s="564"/>
      <c r="H2487" s="548"/>
      <c r="I2487" s="564"/>
      <c r="J2487" s="564"/>
    </row>
    <row r="2488" spans="1:10" ht="13.5" thickBot="1">
      <c r="A2488" s="1667" t="s">
        <v>1</v>
      </c>
      <c r="B2488" s="1124" t="s">
        <v>139</v>
      </c>
      <c r="C2488" s="1125" t="s">
        <v>140</v>
      </c>
      <c r="D2488" s="1124" t="s">
        <v>5</v>
      </c>
      <c r="E2488" s="1126" t="s">
        <v>6</v>
      </c>
      <c r="F2488" s="1127" t="s">
        <v>57</v>
      </c>
      <c r="G2488" s="1128" t="s">
        <v>154</v>
      </c>
      <c r="H2488" s="1129" t="s">
        <v>149</v>
      </c>
      <c r="I2488" s="1130" t="s">
        <v>155</v>
      </c>
      <c r="J2488" s="1128" t="s">
        <v>61</v>
      </c>
    </row>
    <row r="2489" spans="1:10" ht="13.5" thickBot="1">
      <c r="A2489" s="1668"/>
      <c r="B2489" s="1131" t="s">
        <v>146</v>
      </c>
      <c r="C2489" s="1132" t="s">
        <v>146</v>
      </c>
      <c r="D2489" s="1132" t="s">
        <v>146</v>
      </c>
      <c r="E2489" s="1132" t="s">
        <v>146</v>
      </c>
      <c r="F2489" s="1133" t="s">
        <v>146</v>
      </c>
      <c r="G2489" s="1134" t="s">
        <v>146</v>
      </c>
      <c r="H2489" s="1135" t="s">
        <v>146</v>
      </c>
      <c r="I2489" s="1134" t="s">
        <v>146</v>
      </c>
      <c r="J2489" s="1134" t="s">
        <v>146</v>
      </c>
    </row>
    <row r="2490" spans="1:10" ht="13.5" thickBot="1">
      <c r="A2490" s="74">
        <v>44502</v>
      </c>
      <c r="B2490" s="1015">
        <v>31.49</v>
      </c>
      <c r="C2490" s="730">
        <v>30.98</v>
      </c>
      <c r="D2490" s="730">
        <v>30.28</v>
      </c>
      <c r="E2490" s="730">
        <v>26.48</v>
      </c>
      <c r="F2490" s="1082">
        <v>30</v>
      </c>
      <c r="G2490" s="730">
        <v>18.55</v>
      </c>
      <c r="H2490" s="730">
        <v>49.84</v>
      </c>
      <c r="I2490" s="730">
        <v>22.77</v>
      </c>
      <c r="J2490" s="730">
        <v>22.224055519731426</v>
      </c>
    </row>
    <row r="2491" spans="1:10" ht="13.5" thickBot="1">
      <c r="A2491" s="10">
        <v>44508</v>
      </c>
      <c r="B2491" s="1090">
        <v>31.5</v>
      </c>
      <c r="C2491" s="890">
        <v>30.99</v>
      </c>
      <c r="D2491" s="890">
        <v>30.3</v>
      </c>
      <c r="E2491" s="890">
        <v>26.49</v>
      </c>
      <c r="F2491" s="1082">
        <v>30</v>
      </c>
      <c r="G2491" s="730">
        <v>18.45</v>
      </c>
      <c r="H2491" s="730">
        <v>49.84</v>
      </c>
      <c r="I2491" s="730">
        <v>22.34</v>
      </c>
      <c r="J2491" s="730">
        <v>22.224055519731426</v>
      </c>
    </row>
    <row r="2492" spans="1:10">
      <c r="A2492" s="10">
        <v>44515</v>
      </c>
      <c r="B2492" s="1016">
        <v>31.01</v>
      </c>
      <c r="C2492" s="318">
        <v>30.63</v>
      </c>
      <c r="D2492" s="318">
        <v>29.93</v>
      </c>
      <c r="E2492" s="318">
        <v>26.12</v>
      </c>
      <c r="F2492" s="1082">
        <v>30</v>
      </c>
      <c r="G2492" s="730">
        <v>18.03</v>
      </c>
      <c r="H2492" s="730">
        <v>49.84</v>
      </c>
      <c r="I2492" s="730">
        <v>22.34</v>
      </c>
      <c r="J2492" s="730">
        <v>22.224055519731426</v>
      </c>
    </row>
    <row r="2493" spans="1:10">
      <c r="A2493" s="10">
        <v>44522</v>
      </c>
      <c r="B2493" s="1016">
        <v>30.49</v>
      </c>
      <c r="C2493" s="318">
        <v>30.01</v>
      </c>
      <c r="D2493" s="318">
        <v>29.32</v>
      </c>
      <c r="E2493" s="318">
        <v>25.7</v>
      </c>
      <c r="F2493" s="1082">
        <v>30</v>
      </c>
      <c r="G2493" s="318">
        <v>17.93</v>
      </c>
      <c r="H2493" s="318">
        <v>49.84</v>
      </c>
      <c r="I2493" s="318">
        <v>22.34</v>
      </c>
      <c r="J2493" s="318">
        <v>22.224055519731426</v>
      </c>
    </row>
    <row r="2494" spans="1:10" ht="13.5" thickBot="1">
      <c r="A2494" s="10">
        <v>44529</v>
      </c>
      <c r="B2494" s="1016">
        <v>30.24</v>
      </c>
      <c r="C2494" s="318">
        <v>29.78</v>
      </c>
      <c r="D2494" s="318">
        <v>29.07</v>
      </c>
      <c r="E2494" s="318">
        <v>25.33</v>
      </c>
      <c r="F2494" s="1082">
        <v>30</v>
      </c>
      <c r="G2494" s="318">
        <v>17.95</v>
      </c>
      <c r="H2494" s="318">
        <v>49.84</v>
      </c>
      <c r="I2494" s="318">
        <v>22.34</v>
      </c>
      <c r="J2494" s="318">
        <v>22.224055519731426</v>
      </c>
    </row>
    <row r="2495" spans="1:10" ht="13.5" thickBot="1">
      <c r="A2495" s="1136" t="s">
        <v>664</v>
      </c>
      <c r="B2495" s="1137">
        <f t="shared" ref="B2495:J2495" si="255">AVERAGE(B2490:B2494)</f>
        <v>30.945999999999998</v>
      </c>
      <c r="C2495" s="1137">
        <f t="shared" si="255"/>
        <v>30.477999999999998</v>
      </c>
      <c r="D2495" s="1137">
        <f t="shared" si="255"/>
        <v>29.779999999999994</v>
      </c>
      <c r="E2495" s="1137">
        <f t="shared" si="255"/>
        <v>26.024000000000001</v>
      </c>
      <c r="F2495" s="1137">
        <f t="shared" si="255"/>
        <v>30</v>
      </c>
      <c r="G2495" s="1137">
        <f>AVERAGE(G2490:G2494)</f>
        <v>18.182000000000002</v>
      </c>
      <c r="H2495" s="1137">
        <f t="shared" si="255"/>
        <v>49.84</v>
      </c>
      <c r="I2495" s="1137">
        <f t="shared" si="255"/>
        <v>22.426000000000002</v>
      </c>
      <c r="J2495" s="1137">
        <f t="shared" si="255"/>
        <v>22.224055519731426</v>
      </c>
    </row>
    <row r="2496" spans="1:10" ht="13.5" thickBot="1"/>
    <row r="2497" spans="1:10" ht="13.5" thickBot="1">
      <c r="A2497" s="1667" t="s">
        <v>1</v>
      </c>
      <c r="B2497" s="1124" t="s">
        <v>139</v>
      </c>
      <c r="C2497" s="1125" t="s">
        <v>140</v>
      </c>
      <c r="D2497" s="1124" t="s">
        <v>5</v>
      </c>
      <c r="E2497" s="1126" t="s">
        <v>6</v>
      </c>
      <c r="F2497" s="1127" t="s">
        <v>57</v>
      </c>
      <c r="G2497" s="1128" t="s">
        <v>154</v>
      </c>
      <c r="H2497" s="1129" t="s">
        <v>149</v>
      </c>
      <c r="I2497" s="1130" t="s">
        <v>155</v>
      </c>
      <c r="J2497" s="1128" t="s">
        <v>61</v>
      </c>
    </row>
    <row r="2498" spans="1:10" ht="13.5" thickBot="1">
      <c r="A2498" s="1668"/>
      <c r="B2498" s="1131" t="s">
        <v>146</v>
      </c>
      <c r="C2498" s="1132" t="s">
        <v>146</v>
      </c>
      <c r="D2498" s="1132" t="s">
        <v>146</v>
      </c>
      <c r="E2498" s="1132" t="s">
        <v>146</v>
      </c>
      <c r="F2498" s="1133" t="s">
        <v>146</v>
      </c>
      <c r="G2498" s="1134" t="s">
        <v>146</v>
      </c>
      <c r="H2498" s="1135" t="s">
        <v>146</v>
      </c>
      <c r="I2498" s="1134" t="s">
        <v>146</v>
      </c>
      <c r="J2498" s="1134" t="s">
        <v>146</v>
      </c>
    </row>
    <row r="2499" spans="1:10" ht="13.5" thickBot="1">
      <c r="A2499" s="74">
        <v>44536</v>
      </c>
      <c r="B2499" s="1015">
        <v>30.43</v>
      </c>
      <c r="C2499" s="730">
        <v>28.82</v>
      </c>
      <c r="D2499" s="730">
        <v>28.1</v>
      </c>
      <c r="E2499" s="730">
        <v>24.36</v>
      </c>
      <c r="F2499" s="1082">
        <v>30</v>
      </c>
      <c r="G2499" s="730">
        <v>17.350000000000001</v>
      </c>
      <c r="H2499" s="730">
        <v>50.19</v>
      </c>
      <c r="I2499" s="730">
        <v>21.59</v>
      </c>
      <c r="J2499" s="1083">
        <f>(122/5.93951)</f>
        <v>20.540414950054803</v>
      </c>
    </row>
    <row r="2500" spans="1:10" ht="13.5" thickBot="1">
      <c r="A2500" s="10">
        <v>44543</v>
      </c>
      <c r="B2500" s="1090">
        <v>29.22</v>
      </c>
      <c r="C2500" s="890">
        <v>28.78</v>
      </c>
      <c r="D2500" s="890">
        <v>28.06</v>
      </c>
      <c r="E2500" s="890">
        <v>24.28</v>
      </c>
      <c r="F2500" s="1082">
        <v>30</v>
      </c>
      <c r="G2500" s="730">
        <v>16.55</v>
      </c>
      <c r="H2500" s="730">
        <v>50.19</v>
      </c>
      <c r="I2500" s="730">
        <v>21.95</v>
      </c>
      <c r="J2500" s="1083">
        <f>(122/5.93951)</f>
        <v>20.540414950054803</v>
      </c>
    </row>
    <row r="2501" spans="1:10" ht="13.5" thickBot="1">
      <c r="A2501" s="10">
        <v>44550</v>
      </c>
      <c r="B2501" s="1016">
        <v>29.22</v>
      </c>
      <c r="C2501" s="318">
        <v>28.78</v>
      </c>
      <c r="D2501" s="318">
        <v>28.06</v>
      </c>
      <c r="E2501" s="318">
        <v>24.28</v>
      </c>
      <c r="F2501" s="1082">
        <v>30</v>
      </c>
      <c r="G2501" s="730">
        <v>16.579999999999998</v>
      </c>
      <c r="H2501" s="730">
        <v>50.19</v>
      </c>
      <c r="I2501" s="730">
        <v>20.260000000000002</v>
      </c>
      <c r="J2501" s="1083">
        <f>(122/5.93951)</f>
        <v>20.540414950054803</v>
      </c>
    </row>
    <row r="2502" spans="1:10" ht="13.5" thickBot="1">
      <c r="A2502" s="10">
        <v>44557</v>
      </c>
      <c r="B2502" s="1016">
        <v>29.39</v>
      </c>
      <c r="C2502" s="318">
        <v>28.69</v>
      </c>
      <c r="D2502" s="318">
        <v>27.91</v>
      </c>
      <c r="E2502" s="318">
        <v>24.51</v>
      </c>
      <c r="F2502" s="1082">
        <v>30</v>
      </c>
      <c r="G2502" s="318">
        <v>17.13</v>
      </c>
      <c r="H2502" s="730">
        <v>50.19</v>
      </c>
      <c r="I2502" s="318">
        <v>22.11</v>
      </c>
      <c r="J2502" s="1083">
        <f>(122/5.93951)</f>
        <v>20.540414950054803</v>
      </c>
    </row>
    <row r="2503" spans="1:10" ht="13.5" thickBot="1">
      <c r="A2503" s="1136" t="s">
        <v>664</v>
      </c>
      <c r="B2503" s="1137">
        <f t="shared" ref="B2503:J2503" si="256">AVERAGE(B2499:B2502)</f>
        <v>29.565000000000001</v>
      </c>
      <c r="C2503" s="1137">
        <f t="shared" si="256"/>
        <v>28.767499999999998</v>
      </c>
      <c r="D2503" s="1137">
        <f t="shared" si="256"/>
        <v>28.032499999999999</v>
      </c>
      <c r="E2503" s="1137">
        <f t="shared" si="256"/>
        <v>24.357500000000002</v>
      </c>
      <c r="F2503" s="1137">
        <f t="shared" si="256"/>
        <v>30</v>
      </c>
      <c r="G2503" s="1137">
        <f>AVERAGE(G2499:G2502)</f>
        <v>16.9025</v>
      </c>
      <c r="H2503" s="1137">
        <f t="shared" si="256"/>
        <v>50.19</v>
      </c>
      <c r="I2503" s="1137">
        <f t="shared" si="256"/>
        <v>21.477499999999999</v>
      </c>
      <c r="J2503" s="1137">
        <f t="shared" si="256"/>
        <v>20.540414950054803</v>
      </c>
    </row>
    <row r="2504" spans="1:10" ht="13.5" thickBot="1">
      <c r="A2504" s="564"/>
      <c r="B2504" s="564"/>
      <c r="C2504" s="564"/>
      <c r="D2504" s="564"/>
      <c r="E2504" s="564"/>
      <c r="F2504" s="564"/>
      <c r="G2504" s="564"/>
      <c r="H2504" s="548"/>
      <c r="I2504" s="564"/>
      <c r="J2504" s="564"/>
    </row>
    <row r="2505" spans="1:10" ht="13.5" thickBot="1">
      <c r="A2505" s="1664" t="s">
        <v>1</v>
      </c>
      <c r="B2505" s="1170" t="s">
        <v>139</v>
      </c>
      <c r="C2505" s="1171" t="s">
        <v>140</v>
      </c>
      <c r="D2505" s="1170" t="s">
        <v>5</v>
      </c>
      <c r="E2505" s="1172" t="s">
        <v>6</v>
      </c>
      <c r="F2505" s="1173" t="s">
        <v>57</v>
      </c>
      <c r="G2505" s="1174" t="s">
        <v>154</v>
      </c>
      <c r="H2505" s="1175" t="s">
        <v>149</v>
      </c>
      <c r="I2505" s="1176" t="s">
        <v>155</v>
      </c>
      <c r="J2505" s="1174" t="s">
        <v>61</v>
      </c>
    </row>
    <row r="2506" spans="1:10" ht="13.5" thickBot="1">
      <c r="A2506" s="1665"/>
      <c r="B2506" s="1177" t="s">
        <v>146</v>
      </c>
      <c r="C2506" s="1178" t="s">
        <v>146</v>
      </c>
      <c r="D2506" s="1178" t="s">
        <v>146</v>
      </c>
      <c r="E2506" s="1178" t="s">
        <v>146</v>
      </c>
      <c r="F2506" s="1179" t="s">
        <v>146</v>
      </c>
      <c r="G2506" s="1180" t="s">
        <v>146</v>
      </c>
      <c r="H2506" s="1181" t="s">
        <v>146</v>
      </c>
      <c r="I2506" s="1180" t="s">
        <v>146</v>
      </c>
      <c r="J2506" s="1180" t="s">
        <v>146</v>
      </c>
    </row>
    <row r="2507" spans="1:10" ht="13.5" thickBot="1">
      <c r="A2507" s="74">
        <v>44564</v>
      </c>
      <c r="B2507" s="1015">
        <v>29.39</v>
      </c>
      <c r="C2507" s="730">
        <v>28.79</v>
      </c>
      <c r="D2507" s="730">
        <v>27.99</v>
      </c>
      <c r="E2507" s="730">
        <v>24.6</v>
      </c>
      <c r="F2507" s="1082">
        <v>30</v>
      </c>
      <c r="G2507" s="730">
        <v>17.91</v>
      </c>
      <c r="H2507" s="730">
        <v>50.36</v>
      </c>
      <c r="I2507" s="730">
        <v>21.64</v>
      </c>
      <c r="J2507" s="1083">
        <f>(122/5.93951)</f>
        <v>20.540414950054803</v>
      </c>
    </row>
    <row r="2508" spans="1:10" ht="13.5" thickBot="1">
      <c r="A2508" s="10">
        <v>44571</v>
      </c>
      <c r="B2508" s="1090">
        <v>30.31</v>
      </c>
      <c r="C2508" s="890">
        <v>29.65</v>
      </c>
      <c r="D2508" s="890">
        <v>28.85</v>
      </c>
      <c r="E2508" s="890">
        <v>25.46</v>
      </c>
      <c r="F2508" s="1082">
        <v>30</v>
      </c>
      <c r="G2508" s="730">
        <v>18.555</v>
      </c>
      <c r="H2508" s="730">
        <v>50.36</v>
      </c>
      <c r="I2508" s="730">
        <v>22.37</v>
      </c>
      <c r="J2508" s="1083">
        <v>20.54</v>
      </c>
    </row>
    <row r="2509" spans="1:10" ht="13.5" thickBot="1">
      <c r="A2509" s="10">
        <v>44578</v>
      </c>
      <c r="B2509" s="1090">
        <v>31.09</v>
      </c>
      <c r="C2509" s="890">
        <v>30.49</v>
      </c>
      <c r="D2509" s="890">
        <v>29.69</v>
      </c>
      <c r="E2509" s="890">
        <v>26.49</v>
      </c>
      <c r="F2509" s="1082">
        <v>30</v>
      </c>
      <c r="G2509" s="730">
        <v>18.97</v>
      </c>
      <c r="H2509" s="730">
        <v>50.36</v>
      </c>
      <c r="I2509" s="730">
        <v>23.63</v>
      </c>
      <c r="J2509" s="1083">
        <f>(122/5.93951)</f>
        <v>20.540414950054803</v>
      </c>
    </row>
    <row r="2510" spans="1:10" ht="13.5" thickBot="1">
      <c r="A2510" s="10">
        <v>44585</v>
      </c>
      <c r="B2510" s="1016">
        <v>32.07</v>
      </c>
      <c r="C2510" s="318">
        <v>31.49</v>
      </c>
      <c r="D2510" s="318">
        <v>30.69</v>
      </c>
      <c r="E2510" s="318">
        <v>27.49</v>
      </c>
      <c r="F2510" s="1082">
        <v>30</v>
      </c>
      <c r="G2510" s="730">
        <v>19.55</v>
      </c>
      <c r="H2510" s="730">
        <v>50.36</v>
      </c>
      <c r="I2510" s="730">
        <v>24.14</v>
      </c>
      <c r="J2510" s="1083">
        <f>(122/5.93951)</f>
        <v>20.540414950054803</v>
      </c>
    </row>
    <row r="2511" spans="1:10" ht="13.5" thickBot="1">
      <c r="A2511" s="10">
        <v>44592</v>
      </c>
      <c r="B2511" s="1016">
        <v>32.1</v>
      </c>
      <c r="C2511" s="318">
        <v>31.5</v>
      </c>
      <c r="D2511" s="318">
        <v>30.69</v>
      </c>
      <c r="E2511" s="318">
        <v>27.98</v>
      </c>
      <c r="F2511" s="1082">
        <v>30</v>
      </c>
      <c r="G2511" s="318">
        <v>19.850000000000001</v>
      </c>
      <c r="H2511" s="730">
        <v>50.36</v>
      </c>
      <c r="I2511" s="318">
        <v>24.15</v>
      </c>
      <c r="J2511" s="1083">
        <f>(122/5.93951)</f>
        <v>20.540414950054803</v>
      </c>
    </row>
    <row r="2512" spans="1:10" ht="13.5" thickBot="1">
      <c r="A2512" s="1182" t="s">
        <v>664</v>
      </c>
      <c r="B2512" s="1183">
        <f t="shared" ref="B2512:J2512" si="257">AVERAGE(B2507:B2511)</f>
        <v>30.992000000000001</v>
      </c>
      <c r="C2512" s="1183">
        <f t="shared" si="257"/>
        <v>30.383999999999997</v>
      </c>
      <c r="D2512" s="1183">
        <f t="shared" si="257"/>
        <v>29.582000000000001</v>
      </c>
      <c r="E2512" s="1183">
        <f t="shared" si="257"/>
        <v>26.403999999999996</v>
      </c>
      <c r="F2512" s="1183">
        <f t="shared" si="257"/>
        <v>30</v>
      </c>
      <c r="G2512" s="1183">
        <f t="shared" si="257"/>
        <v>18.967000000000002</v>
      </c>
      <c r="H2512" s="1183">
        <f t="shared" si="257"/>
        <v>50.36</v>
      </c>
      <c r="I2512" s="1183">
        <f t="shared" si="257"/>
        <v>23.186</v>
      </c>
      <c r="J2512" s="1183">
        <f t="shared" si="257"/>
        <v>20.54033196004384</v>
      </c>
    </row>
    <row r="2513" spans="1:13" ht="13.5" thickBot="1">
      <c r="A2513" s="564"/>
      <c r="B2513" s="564"/>
      <c r="C2513" s="564"/>
      <c r="D2513" s="564"/>
      <c r="E2513" s="564"/>
      <c r="F2513" s="564"/>
      <c r="G2513" s="564"/>
      <c r="H2513" s="548"/>
      <c r="I2513" s="564"/>
      <c r="J2513" s="564"/>
      <c r="L2513" s="564"/>
      <c r="M2513" s="564"/>
    </row>
    <row r="2514" spans="1:13" ht="13.5" thickBot="1">
      <c r="A2514" s="1664" t="s">
        <v>1</v>
      </c>
      <c r="B2514" s="1170" t="s">
        <v>139</v>
      </c>
      <c r="C2514" s="1171" t="s">
        <v>140</v>
      </c>
      <c r="D2514" s="1170" t="s">
        <v>5</v>
      </c>
      <c r="E2514" s="1172" t="s">
        <v>6</v>
      </c>
      <c r="F2514" s="1173" t="s">
        <v>57</v>
      </c>
      <c r="G2514" s="1174" t="s">
        <v>154</v>
      </c>
      <c r="H2514" s="1175" t="s">
        <v>149</v>
      </c>
      <c r="I2514" s="1176" t="s">
        <v>155</v>
      </c>
      <c r="J2514" s="1174" t="s">
        <v>61</v>
      </c>
      <c r="L2514" s="564"/>
      <c r="M2514" s="564"/>
    </row>
    <row r="2515" spans="1:13" ht="13.5" thickBot="1">
      <c r="A2515" s="1665"/>
      <c r="B2515" s="1177" t="s">
        <v>146</v>
      </c>
      <c r="C2515" s="1178" t="s">
        <v>146</v>
      </c>
      <c r="D2515" s="1178" t="s">
        <v>146</v>
      </c>
      <c r="E2515" s="1178" t="s">
        <v>146</v>
      </c>
      <c r="F2515" s="1179" t="s">
        <v>146</v>
      </c>
      <c r="G2515" s="1180" t="s">
        <v>146</v>
      </c>
      <c r="H2515" s="1181" t="s">
        <v>146</v>
      </c>
      <c r="I2515" s="1180" t="s">
        <v>146</v>
      </c>
      <c r="J2515" s="1180" t="s">
        <v>146</v>
      </c>
      <c r="L2515" s="564"/>
      <c r="M2515" s="564"/>
    </row>
    <row r="2516" spans="1:13" ht="13.5" thickBot="1">
      <c r="A2516" s="74">
        <v>44599</v>
      </c>
      <c r="B2516" s="1015">
        <v>32.78</v>
      </c>
      <c r="C2516" s="730">
        <v>32.19</v>
      </c>
      <c r="D2516" s="730">
        <v>31.39</v>
      </c>
      <c r="E2516" s="730">
        <v>28.58</v>
      </c>
      <c r="F2516" s="1082">
        <v>30</v>
      </c>
      <c r="G2516" s="730">
        <v>20.3</v>
      </c>
      <c r="H2516" s="730">
        <v>50.7</v>
      </c>
      <c r="I2516" s="730">
        <v>25.42</v>
      </c>
      <c r="J2516" s="1083">
        <f>(122/5.93951)</f>
        <v>20.540414950054803</v>
      </c>
      <c r="L2516" s="564"/>
      <c r="M2516" s="564"/>
    </row>
    <row r="2517" spans="1:13" ht="13.5" thickBot="1">
      <c r="A2517" s="10">
        <v>44606</v>
      </c>
      <c r="B2517" s="1090">
        <v>32.89</v>
      </c>
      <c r="C2517" s="890">
        <v>32.22</v>
      </c>
      <c r="D2517" s="890">
        <v>31.42</v>
      </c>
      <c r="E2517" s="890">
        <v>28.61</v>
      </c>
      <c r="F2517" s="1082">
        <v>30</v>
      </c>
      <c r="G2517" s="730">
        <v>20.350000000000001</v>
      </c>
      <c r="H2517" s="730">
        <v>50.7</v>
      </c>
      <c r="I2517" s="730">
        <v>26.04</v>
      </c>
      <c r="J2517" s="1083">
        <v>20.54</v>
      </c>
      <c r="L2517" s="564"/>
      <c r="M2517" s="564"/>
    </row>
    <row r="2518" spans="1:13" ht="13.5" thickBot="1">
      <c r="A2518" s="10">
        <v>44613</v>
      </c>
      <c r="B2518" s="1090">
        <v>33.99</v>
      </c>
      <c r="C2518" s="890">
        <v>33.5</v>
      </c>
      <c r="D2518" s="890">
        <v>32.700000000000003</v>
      </c>
      <c r="E2518" s="890">
        <v>29.88</v>
      </c>
      <c r="F2518" s="1082">
        <v>30</v>
      </c>
      <c r="G2518" s="730">
        <v>20.350000000000001</v>
      </c>
      <c r="H2518" s="730">
        <v>50.7</v>
      </c>
      <c r="I2518" s="730">
        <v>26.04</v>
      </c>
      <c r="J2518" s="1083">
        <f>(122/5.93951)</f>
        <v>20.540414950054803</v>
      </c>
      <c r="L2518" s="564"/>
      <c r="M2518" s="564"/>
    </row>
    <row r="2519" spans="1:13" ht="13.5" thickBot="1">
      <c r="A2519" s="10">
        <v>44620</v>
      </c>
      <c r="B2519" s="1016">
        <v>33.43</v>
      </c>
      <c r="C2519" s="318">
        <v>33.880000000000003</v>
      </c>
      <c r="D2519" s="318">
        <v>33.29</v>
      </c>
      <c r="E2519" s="318">
        <v>30.09</v>
      </c>
      <c r="F2519" s="1082">
        <v>30</v>
      </c>
      <c r="G2519" s="730">
        <v>20</v>
      </c>
      <c r="H2519" s="730">
        <v>50.7</v>
      </c>
      <c r="I2519" s="730">
        <v>25.67</v>
      </c>
      <c r="J2519" s="1083">
        <f>(122/5.93951)</f>
        <v>20.540414950054803</v>
      </c>
      <c r="L2519" s="564"/>
      <c r="M2519" s="564"/>
    </row>
    <row r="2520" spans="1:13" ht="13.5" thickBot="1">
      <c r="A2520" s="1182" t="s">
        <v>664</v>
      </c>
      <c r="B2520" s="1183">
        <f t="shared" ref="B2520:J2520" si="258">AVERAGE(B2516:B2519)</f>
        <v>33.272500000000001</v>
      </c>
      <c r="C2520" s="1183">
        <f t="shared" si="258"/>
        <v>32.947499999999998</v>
      </c>
      <c r="D2520" s="1183">
        <f t="shared" si="258"/>
        <v>32.200000000000003</v>
      </c>
      <c r="E2520" s="1183">
        <f t="shared" si="258"/>
        <v>29.29</v>
      </c>
      <c r="F2520" s="1183">
        <f t="shared" si="258"/>
        <v>30</v>
      </c>
      <c r="G2520" s="1183">
        <f t="shared" si="258"/>
        <v>20.25</v>
      </c>
      <c r="H2520" s="1183">
        <f t="shared" si="258"/>
        <v>50.7</v>
      </c>
      <c r="I2520" s="1183">
        <f t="shared" si="258"/>
        <v>25.7925</v>
      </c>
      <c r="J2520" s="1183">
        <f t="shared" si="258"/>
        <v>20.540311212541102</v>
      </c>
      <c r="L2520" s="564"/>
      <c r="M2520" s="564"/>
    </row>
    <row r="2521" spans="1:13">
      <c r="A2521" s="564"/>
      <c r="B2521" s="564"/>
      <c r="C2521" s="564"/>
      <c r="D2521" s="564"/>
      <c r="E2521" s="564"/>
      <c r="F2521" s="564"/>
      <c r="G2521" s="564"/>
      <c r="H2521" s="548"/>
      <c r="I2521" s="564"/>
      <c r="J2521" s="564"/>
      <c r="L2521" s="564"/>
      <c r="M2521" s="564"/>
    </row>
    <row r="2522" spans="1:13" ht="13.5" thickBot="1"/>
    <row r="2523" spans="1:13" ht="13.5" thickBot="1">
      <c r="A2523" s="1664" t="s">
        <v>1</v>
      </c>
      <c r="B2523" s="1170" t="s">
        <v>139</v>
      </c>
      <c r="C2523" s="1171" t="s">
        <v>140</v>
      </c>
      <c r="D2523" s="1170" t="s">
        <v>5</v>
      </c>
      <c r="E2523" s="1172" t="s">
        <v>6</v>
      </c>
      <c r="F2523" s="1173" t="s">
        <v>57</v>
      </c>
      <c r="G2523" s="1174" t="s">
        <v>154</v>
      </c>
      <c r="H2523" s="1175" t="s">
        <v>149</v>
      </c>
      <c r="I2523" s="1176" t="s">
        <v>155</v>
      </c>
      <c r="J2523" s="1174" t="s">
        <v>61</v>
      </c>
    </row>
    <row r="2524" spans="1:13" ht="13.5" thickBot="1">
      <c r="A2524" s="1665"/>
      <c r="B2524" s="1177" t="s">
        <v>146</v>
      </c>
      <c r="C2524" s="1178" t="s">
        <v>146</v>
      </c>
      <c r="D2524" s="1178" t="s">
        <v>146</v>
      </c>
      <c r="E2524" s="1178" t="s">
        <v>146</v>
      </c>
      <c r="F2524" s="1179" t="s">
        <v>146</v>
      </c>
      <c r="G2524" s="1180" t="s">
        <v>146</v>
      </c>
      <c r="H2524" s="1181" t="s">
        <v>146</v>
      </c>
      <c r="I2524" s="1180" t="s">
        <v>146</v>
      </c>
      <c r="J2524" s="1180" t="s">
        <v>146</v>
      </c>
    </row>
    <row r="2525" spans="1:13" ht="13.5" thickBot="1">
      <c r="A2525" s="74">
        <v>44684</v>
      </c>
      <c r="B2525" s="1015">
        <v>39.78</v>
      </c>
      <c r="C2525" s="730">
        <v>39.26</v>
      </c>
      <c r="D2525" s="730">
        <v>36.159999999999997</v>
      </c>
      <c r="E2525" s="730">
        <v>37.65</v>
      </c>
      <c r="F2525" s="1082">
        <v>39</v>
      </c>
      <c r="G2525" s="730">
        <v>23.27</v>
      </c>
      <c r="H2525" s="730">
        <v>55.35</v>
      </c>
      <c r="I2525" s="730">
        <v>38.479999999999997</v>
      </c>
      <c r="J2525" s="1083">
        <v>20.540414950054803</v>
      </c>
    </row>
    <row r="2526" spans="1:13" ht="13.5" thickBot="1">
      <c r="A2526" s="10">
        <v>44691</v>
      </c>
      <c r="B2526" s="1090">
        <v>42.12</v>
      </c>
      <c r="C2526" s="890">
        <v>41.65</v>
      </c>
      <c r="D2526" s="890">
        <v>38.549999999999997</v>
      </c>
      <c r="E2526" s="890">
        <v>38.42</v>
      </c>
      <c r="F2526" s="1082">
        <v>43</v>
      </c>
      <c r="G2526" s="730">
        <v>23.57</v>
      </c>
      <c r="H2526" s="730">
        <v>55.35</v>
      </c>
      <c r="I2526" s="730">
        <v>40.1</v>
      </c>
      <c r="J2526" s="1083">
        <v>20.54</v>
      </c>
    </row>
    <row r="2527" spans="1:13" ht="13.5" thickBot="1">
      <c r="A2527" s="10">
        <v>44698</v>
      </c>
      <c r="B2527" s="1090">
        <v>43.88</v>
      </c>
      <c r="C2527" s="890">
        <v>43.24</v>
      </c>
      <c r="D2527" s="890">
        <v>40.130000000000003</v>
      </c>
      <c r="E2527" s="890">
        <v>35.32</v>
      </c>
      <c r="F2527" s="1082">
        <v>43</v>
      </c>
      <c r="G2527" s="730">
        <v>23.27</v>
      </c>
      <c r="H2527" s="730">
        <v>55.35</v>
      </c>
      <c r="I2527" s="730">
        <v>37.92</v>
      </c>
      <c r="J2527" s="1083">
        <v>20.540414950054803</v>
      </c>
    </row>
    <row r="2528" spans="1:13" ht="13.5" thickBot="1">
      <c r="A2528" s="10">
        <v>44705</v>
      </c>
      <c r="B2528" s="1090">
        <v>43.48</v>
      </c>
      <c r="C2528" s="890">
        <v>42.98</v>
      </c>
      <c r="D2528" s="890">
        <v>39.869999999999997</v>
      </c>
      <c r="E2528" s="890">
        <v>32.26</v>
      </c>
      <c r="F2528" s="1082">
        <v>43.004300000000001</v>
      </c>
      <c r="G2528" s="730">
        <v>24.15</v>
      </c>
      <c r="H2528" s="730">
        <v>55.35</v>
      </c>
      <c r="I2528" s="730">
        <v>34.14</v>
      </c>
      <c r="J2528" s="1083">
        <v>20.540414950054803</v>
      </c>
    </row>
    <row r="2529" spans="1:10" ht="13.5" thickBot="1">
      <c r="A2529" s="10">
        <v>44712</v>
      </c>
      <c r="B2529" s="1016">
        <v>39.18</v>
      </c>
      <c r="C2529" s="318">
        <v>39.14</v>
      </c>
      <c r="D2529" s="318">
        <v>37.92</v>
      </c>
      <c r="E2529" s="318">
        <v>30.5</v>
      </c>
      <c r="F2529" s="1082">
        <v>43</v>
      </c>
      <c r="G2529" s="730">
        <v>24.52</v>
      </c>
      <c r="H2529" s="730">
        <v>55.35</v>
      </c>
      <c r="I2529" s="730">
        <v>33.83</v>
      </c>
      <c r="J2529" s="1083">
        <v>20.540414950054803</v>
      </c>
    </row>
    <row r="2530" spans="1:10" ht="13.5" thickBot="1">
      <c r="A2530" s="1182" t="s">
        <v>664</v>
      </c>
      <c r="B2530" s="1183">
        <f t="shared" ref="B2530:J2530" si="259">AVERAGE(B2525:B2529)</f>
        <v>41.688000000000002</v>
      </c>
      <c r="C2530" s="1183">
        <f t="shared" si="259"/>
        <v>41.253999999999998</v>
      </c>
      <c r="D2530" s="1183">
        <f t="shared" si="259"/>
        <v>38.525999999999996</v>
      </c>
      <c r="E2530" s="1183">
        <f t="shared" si="259"/>
        <v>34.83</v>
      </c>
      <c r="F2530" s="1183">
        <f t="shared" si="259"/>
        <v>42.200859999999999</v>
      </c>
      <c r="G2530" s="1183">
        <f t="shared" si="259"/>
        <v>23.755999999999997</v>
      </c>
      <c r="H2530" s="1183">
        <f t="shared" si="259"/>
        <v>55.35</v>
      </c>
      <c r="I2530" s="1183">
        <f t="shared" si="259"/>
        <v>36.893999999999991</v>
      </c>
      <c r="J2530" s="1183">
        <f t="shared" si="259"/>
        <v>20.54033196004384</v>
      </c>
    </row>
    <row r="2531" spans="1:10" ht="13.5" thickBot="1"/>
    <row r="2532" spans="1:10" ht="13.5" thickBot="1">
      <c r="A2532" s="1664" t="s">
        <v>1</v>
      </c>
      <c r="B2532" s="1170" t="s">
        <v>139</v>
      </c>
      <c r="C2532" s="1171" t="s">
        <v>140</v>
      </c>
      <c r="D2532" s="1170" t="s">
        <v>5</v>
      </c>
      <c r="E2532" s="1172" t="s">
        <v>6</v>
      </c>
      <c r="F2532" s="1173" t="s">
        <v>57</v>
      </c>
      <c r="G2532" s="1174" t="s">
        <v>154</v>
      </c>
      <c r="H2532" s="1175" t="s">
        <v>149</v>
      </c>
      <c r="I2532" s="1176" t="s">
        <v>155</v>
      </c>
      <c r="J2532" s="1174" t="s">
        <v>61</v>
      </c>
    </row>
    <row r="2533" spans="1:10" ht="13.5" thickBot="1">
      <c r="A2533" s="1665"/>
      <c r="B2533" s="1177" t="s">
        <v>146</v>
      </c>
      <c r="C2533" s="1178" t="s">
        <v>146</v>
      </c>
      <c r="D2533" s="1178" t="s">
        <v>146</v>
      </c>
      <c r="E2533" s="1178" t="s">
        <v>146</v>
      </c>
      <c r="F2533" s="1179" t="s">
        <v>146</v>
      </c>
      <c r="G2533" s="1180" t="s">
        <v>146</v>
      </c>
      <c r="H2533" s="1181" t="s">
        <v>146</v>
      </c>
      <c r="I2533" s="1180" t="s">
        <v>146</v>
      </c>
      <c r="J2533" s="1180" t="s">
        <v>146</v>
      </c>
    </row>
    <row r="2534" spans="1:10" ht="13.5" thickBot="1">
      <c r="A2534" s="74">
        <v>44719</v>
      </c>
      <c r="B2534" s="1015">
        <v>40.29</v>
      </c>
      <c r="C2534" s="730">
        <v>39.71</v>
      </c>
      <c r="D2534" s="730">
        <v>38.71</v>
      </c>
      <c r="E2534" s="730">
        <v>32.869999999999997</v>
      </c>
      <c r="F2534" s="1082">
        <v>39</v>
      </c>
      <c r="G2534" s="730">
        <v>24.52</v>
      </c>
      <c r="H2534" s="730">
        <v>59</v>
      </c>
      <c r="I2534" s="730">
        <v>36.54</v>
      </c>
      <c r="J2534" s="1083">
        <v>20.540414950054803</v>
      </c>
    </row>
    <row r="2535" spans="1:10" ht="13.5" thickBot="1">
      <c r="A2535" s="10">
        <v>44726</v>
      </c>
      <c r="B2535" s="1090">
        <v>42.15</v>
      </c>
      <c r="C2535" s="890">
        <v>41.51</v>
      </c>
      <c r="D2535" s="890">
        <v>40.5</v>
      </c>
      <c r="E2535" s="890">
        <v>35.44</v>
      </c>
      <c r="F2535" s="1082">
        <v>43</v>
      </c>
      <c r="G2535" s="730">
        <v>24.37</v>
      </c>
      <c r="H2535" s="730">
        <v>59</v>
      </c>
      <c r="I2535" s="730">
        <v>38.65</v>
      </c>
      <c r="J2535" s="1083">
        <v>20.54</v>
      </c>
    </row>
    <row r="2536" spans="1:10" ht="13.5" thickBot="1">
      <c r="A2536" s="10">
        <v>44733</v>
      </c>
      <c r="B2536" s="1090">
        <v>40.840000000000003</v>
      </c>
      <c r="C2536" s="890">
        <v>40.630000000000003</v>
      </c>
      <c r="D2536" s="890">
        <v>39.619999999999997</v>
      </c>
      <c r="E2536" s="890">
        <v>36.89</v>
      </c>
      <c r="F2536" s="1082">
        <v>43</v>
      </c>
      <c r="G2536" s="730">
        <v>23.77</v>
      </c>
      <c r="H2536" s="730">
        <v>59</v>
      </c>
      <c r="I2536" s="730">
        <v>39.85</v>
      </c>
      <c r="J2536" s="1083">
        <v>20.540414950054803</v>
      </c>
    </row>
    <row r="2537" spans="1:10" ht="13.5" thickBot="1">
      <c r="A2537" s="10">
        <v>44740</v>
      </c>
      <c r="B2537" s="1090">
        <v>39.69</v>
      </c>
      <c r="C2537" s="890">
        <v>39.43</v>
      </c>
      <c r="D2537" s="890">
        <v>38.43</v>
      </c>
      <c r="E2537" s="890">
        <v>36.4</v>
      </c>
      <c r="F2537" s="1082">
        <v>43.004300000000001</v>
      </c>
      <c r="G2537" s="730">
        <v>23.52</v>
      </c>
      <c r="H2537" s="730">
        <v>59</v>
      </c>
      <c r="I2537" s="730">
        <v>39.85</v>
      </c>
      <c r="J2537" s="1083">
        <v>20.540414950054803</v>
      </c>
    </row>
    <row r="2538" spans="1:10" ht="13.5" thickBot="1">
      <c r="A2538" s="1182" t="s">
        <v>705</v>
      </c>
      <c r="B2538" s="1183">
        <f t="shared" ref="B2538:J2538" si="260">AVERAGE(B2534:B2537)</f>
        <v>40.7425</v>
      </c>
      <c r="C2538" s="1183">
        <f t="shared" si="260"/>
        <v>40.32</v>
      </c>
      <c r="D2538" s="1183">
        <f t="shared" si="260"/>
        <v>39.315000000000005</v>
      </c>
      <c r="E2538" s="1183">
        <f t="shared" si="260"/>
        <v>35.4</v>
      </c>
      <c r="F2538" s="1183">
        <f t="shared" si="260"/>
        <v>42.001075</v>
      </c>
      <c r="G2538" s="1183">
        <f t="shared" si="260"/>
        <v>24.044999999999998</v>
      </c>
      <c r="H2538" s="1183">
        <f t="shared" si="260"/>
        <v>59</v>
      </c>
      <c r="I2538" s="1183">
        <f t="shared" si="260"/>
        <v>38.722499999999997</v>
      </c>
      <c r="J2538" s="1183">
        <f t="shared" si="260"/>
        <v>20.540311212541102</v>
      </c>
    </row>
    <row r="2539" spans="1:10" ht="13.5" thickBot="1"/>
    <row r="2540" spans="1:10" ht="13.5" thickBot="1">
      <c r="A2540" s="1664" t="s">
        <v>1</v>
      </c>
      <c r="B2540" s="1170" t="s">
        <v>139</v>
      </c>
      <c r="C2540" s="1171" t="s">
        <v>140</v>
      </c>
      <c r="D2540" s="1170" t="s">
        <v>5</v>
      </c>
      <c r="E2540" s="1172" t="s">
        <v>6</v>
      </c>
      <c r="F2540" s="1173" t="s">
        <v>57</v>
      </c>
      <c r="G2540" s="1174" t="s">
        <v>154</v>
      </c>
      <c r="H2540" s="1175" t="s">
        <v>149</v>
      </c>
      <c r="I2540" s="1176" t="s">
        <v>155</v>
      </c>
      <c r="J2540" s="1174" t="s">
        <v>61</v>
      </c>
    </row>
    <row r="2541" spans="1:10" ht="13.5" thickBot="1">
      <c r="A2541" s="1665"/>
      <c r="B2541" s="1177" t="s">
        <v>146</v>
      </c>
      <c r="C2541" s="1178" t="s">
        <v>146</v>
      </c>
      <c r="D2541" s="1178" t="s">
        <v>146</v>
      </c>
      <c r="E2541" s="1178" t="s">
        <v>146</v>
      </c>
      <c r="F2541" s="1179" t="s">
        <v>146</v>
      </c>
      <c r="G2541" s="1180" t="s">
        <v>146</v>
      </c>
      <c r="H2541" s="1181" t="s">
        <v>146</v>
      </c>
      <c r="I2541" s="1180" t="s">
        <v>146</v>
      </c>
      <c r="J2541" s="1180" t="s">
        <v>146</v>
      </c>
    </row>
    <row r="2542" spans="1:10" ht="13.5" thickBot="1">
      <c r="A2542" s="74">
        <v>44747</v>
      </c>
      <c r="B2542" s="1015">
        <v>39.49</v>
      </c>
      <c r="C2542" s="730">
        <v>39.17</v>
      </c>
      <c r="D2542" s="730">
        <v>38.17</v>
      </c>
      <c r="E2542" s="730">
        <v>33.880000000000003</v>
      </c>
      <c r="F2542" s="1082">
        <v>45</v>
      </c>
      <c r="G2542" s="730">
        <v>23.09</v>
      </c>
      <c r="H2542" s="730">
        <v>61</v>
      </c>
      <c r="I2542" s="730">
        <v>36.65</v>
      </c>
      <c r="J2542" s="1083">
        <v>20.540414950054803</v>
      </c>
    </row>
    <row r="2543" spans="1:10" ht="13.5" thickBot="1">
      <c r="A2543" s="10">
        <v>44754</v>
      </c>
      <c r="B2543" s="1090">
        <v>36.549999999999997</v>
      </c>
      <c r="C2543" s="890">
        <v>36.56</v>
      </c>
      <c r="D2543" s="890">
        <v>35.58</v>
      </c>
      <c r="E2543" s="890">
        <v>31.3</v>
      </c>
      <c r="F2543" s="1082">
        <v>45</v>
      </c>
      <c r="G2543" s="730">
        <v>21.74</v>
      </c>
      <c r="H2543" s="730">
        <v>61</v>
      </c>
      <c r="I2543" s="730">
        <v>36.65</v>
      </c>
      <c r="J2543" s="1083">
        <v>20.54</v>
      </c>
    </row>
    <row r="2544" spans="1:10" ht="13.5" thickBot="1">
      <c r="A2544" s="10">
        <v>44761</v>
      </c>
      <c r="B2544" s="1090">
        <v>33.78</v>
      </c>
      <c r="C2544" s="890">
        <v>33.659999999999997</v>
      </c>
      <c r="D2544" s="890">
        <v>32.75</v>
      </c>
      <c r="E2544" s="890">
        <v>31.01</v>
      </c>
      <c r="F2544" s="1082">
        <v>45</v>
      </c>
      <c r="G2544" s="730">
        <v>20.149999999999999</v>
      </c>
      <c r="H2544" s="730">
        <v>61</v>
      </c>
      <c r="I2544" s="730">
        <v>36.700000000000003</v>
      </c>
      <c r="J2544" s="1083">
        <v>20.540414950054803</v>
      </c>
    </row>
    <row r="2545" spans="1:10" ht="13.5" thickBot="1">
      <c r="A2545" s="10">
        <v>44768</v>
      </c>
      <c r="B2545" s="1090">
        <v>32.92</v>
      </c>
      <c r="C2545" s="890">
        <v>32.69</v>
      </c>
      <c r="D2545" s="890">
        <v>31.76</v>
      </c>
      <c r="E2545" s="890">
        <v>29.9</v>
      </c>
      <c r="F2545" s="1082">
        <v>42</v>
      </c>
      <c r="G2545" s="730">
        <v>21.2</v>
      </c>
      <c r="H2545" s="730">
        <v>61</v>
      </c>
      <c r="I2545" s="730">
        <v>36.520000000000003</v>
      </c>
      <c r="J2545" s="1083">
        <v>20.540414950054803</v>
      </c>
    </row>
    <row r="2546" spans="1:10" ht="13.5" thickBot="1">
      <c r="A2546" s="1182" t="s">
        <v>703</v>
      </c>
      <c r="B2546" s="1183">
        <f t="shared" ref="B2546:J2546" si="261">AVERAGE(B2542:B2545)</f>
        <v>35.685000000000002</v>
      </c>
      <c r="C2546" s="1183">
        <f t="shared" si="261"/>
        <v>35.519999999999996</v>
      </c>
      <c r="D2546" s="1183">
        <f t="shared" si="261"/>
        <v>34.564999999999998</v>
      </c>
      <c r="E2546" s="1183">
        <f t="shared" si="261"/>
        <v>31.522500000000001</v>
      </c>
      <c r="F2546" s="1183">
        <f t="shared" si="261"/>
        <v>44.25</v>
      </c>
      <c r="G2546" s="1183">
        <f t="shared" si="261"/>
        <v>21.544999999999998</v>
      </c>
      <c r="H2546" s="1183">
        <f t="shared" si="261"/>
        <v>61</v>
      </c>
      <c r="I2546" s="1183">
        <f t="shared" si="261"/>
        <v>36.630000000000003</v>
      </c>
      <c r="J2546" s="1183">
        <f t="shared" si="261"/>
        <v>20.540311212541102</v>
      </c>
    </row>
    <row r="2548" spans="1:10" ht="13.5" thickBot="1"/>
    <row r="2549" spans="1:10" ht="13.5" thickBot="1">
      <c r="A2549" s="1664" t="s">
        <v>1</v>
      </c>
      <c r="B2549" s="1170" t="s">
        <v>139</v>
      </c>
      <c r="C2549" s="1171" t="s">
        <v>140</v>
      </c>
      <c r="D2549" s="1170" t="s">
        <v>5</v>
      </c>
      <c r="E2549" s="1172" t="s">
        <v>6</v>
      </c>
      <c r="F2549" s="1173" t="s">
        <v>57</v>
      </c>
      <c r="G2549" s="1174" t="s">
        <v>154</v>
      </c>
      <c r="H2549" s="1175" t="s">
        <v>149</v>
      </c>
      <c r="I2549" s="1176" t="s">
        <v>155</v>
      </c>
      <c r="J2549" s="1174" t="s">
        <v>61</v>
      </c>
    </row>
    <row r="2550" spans="1:10" ht="13.5" thickBot="1">
      <c r="A2550" s="1665"/>
      <c r="B2550" s="1177" t="s">
        <v>146</v>
      </c>
      <c r="C2550" s="1178" t="s">
        <v>146</v>
      </c>
      <c r="D2550" s="1178" t="s">
        <v>146</v>
      </c>
      <c r="E2550" s="1178" t="s">
        <v>146</v>
      </c>
      <c r="F2550" s="1179" t="s">
        <v>146</v>
      </c>
      <c r="G2550" s="1180" t="s">
        <v>146</v>
      </c>
      <c r="H2550" s="1181" t="s">
        <v>146</v>
      </c>
      <c r="I2550" s="1180" t="s">
        <v>146</v>
      </c>
      <c r="J2550" s="1180" t="s">
        <v>146</v>
      </c>
    </row>
    <row r="2551" spans="1:10" ht="13.5" thickBot="1">
      <c r="A2551" s="74">
        <v>44775</v>
      </c>
      <c r="B2551" s="1015">
        <v>32.659999999999997</v>
      </c>
      <c r="C2551" s="730">
        <v>32.369999999999997</v>
      </c>
      <c r="D2551" s="730">
        <v>31.47</v>
      </c>
      <c r="E2551" s="730">
        <v>29.37</v>
      </c>
      <c r="F2551" s="1082">
        <v>42</v>
      </c>
      <c r="G2551" s="730">
        <v>22.05</v>
      </c>
      <c r="H2551" s="730">
        <v>61.22</v>
      </c>
      <c r="I2551" s="730">
        <v>36.54</v>
      </c>
      <c r="J2551" s="1083">
        <v>20.54</v>
      </c>
    </row>
    <row r="2552" spans="1:10" ht="13.5" thickBot="1">
      <c r="A2552" s="10">
        <v>44782</v>
      </c>
      <c r="B2552" s="1090">
        <v>35.5</v>
      </c>
      <c r="C2552" s="890">
        <v>35.64</v>
      </c>
      <c r="D2552" s="890">
        <v>34.75</v>
      </c>
      <c r="E2552" s="890">
        <v>33.979999999999997</v>
      </c>
      <c r="F2552" s="1082">
        <v>42</v>
      </c>
      <c r="G2552" s="730">
        <v>21.35</v>
      </c>
      <c r="H2552" s="730">
        <v>61.22</v>
      </c>
      <c r="I2552" s="730">
        <v>30.48</v>
      </c>
      <c r="J2552" s="1083">
        <v>20.54</v>
      </c>
    </row>
    <row r="2553" spans="1:10" ht="13.5" thickBot="1">
      <c r="A2553" s="10">
        <v>44789</v>
      </c>
      <c r="B2553" s="1090">
        <v>36.58</v>
      </c>
      <c r="C2553" s="890">
        <v>36.32</v>
      </c>
      <c r="D2553" s="890">
        <v>35.39</v>
      </c>
      <c r="E2553" s="890">
        <v>35.1</v>
      </c>
      <c r="F2553" s="1082">
        <v>39</v>
      </c>
      <c r="G2553" s="730">
        <v>21.13</v>
      </c>
      <c r="H2553" s="730">
        <v>61.22</v>
      </c>
      <c r="I2553" s="730">
        <v>30.45</v>
      </c>
      <c r="J2553" s="1083">
        <v>20.54</v>
      </c>
    </row>
    <row r="2554" spans="1:10" ht="13.5" thickBot="1">
      <c r="A2554" s="10">
        <v>44796</v>
      </c>
      <c r="B2554" s="1090">
        <v>35.950000000000003</v>
      </c>
      <c r="C2554" s="890">
        <v>35.65</v>
      </c>
      <c r="D2554" s="890">
        <v>34.720999999999997</v>
      </c>
      <c r="E2554" s="890">
        <v>35.799999999999997</v>
      </c>
      <c r="F2554" s="1082">
        <v>39</v>
      </c>
      <c r="G2554" s="730">
        <v>19.88</v>
      </c>
      <c r="H2554" s="730">
        <v>61.22</v>
      </c>
      <c r="I2554" s="730">
        <v>31.62</v>
      </c>
      <c r="J2554" s="1083">
        <v>20.54</v>
      </c>
    </row>
    <row r="2555" spans="1:10" ht="13.5" thickBot="1">
      <c r="A2555" s="10">
        <v>44803</v>
      </c>
      <c r="B2555" s="1090">
        <v>35.71</v>
      </c>
      <c r="C2555" s="890">
        <v>35.549999999999997</v>
      </c>
      <c r="D2555" s="890">
        <v>34.619999999999997</v>
      </c>
      <c r="E2555" s="890">
        <v>35.19</v>
      </c>
      <c r="F2555" s="1082">
        <v>39</v>
      </c>
      <c r="G2555" s="730">
        <v>20.059999999999999</v>
      </c>
      <c r="H2555" s="730">
        <v>61.22</v>
      </c>
      <c r="I2555" s="730">
        <v>34.24</v>
      </c>
      <c r="J2555" s="1083">
        <v>20.54</v>
      </c>
    </row>
    <row r="2556" spans="1:10" ht="13.5" thickBot="1">
      <c r="A2556" s="1182" t="s">
        <v>704</v>
      </c>
      <c r="B2556" s="1183">
        <f t="shared" ref="B2556:J2556" si="262">AVERAGE(B2551:B2555)</f>
        <v>35.28</v>
      </c>
      <c r="C2556" s="1183">
        <f t="shared" si="262"/>
        <v>35.105999999999995</v>
      </c>
      <c r="D2556" s="1183">
        <f t="shared" si="262"/>
        <v>34.190199999999997</v>
      </c>
      <c r="E2556" s="1183">
        <f t="shared" si="262"/>
        <v>33.887999999999998</v>
      </c>
      <c r="F2556" s="1183">
        <f t="shared" si="262"/>
        <v>40.200000000000003</v>
      </c>
      <c r="G2556" s="1183">
        <f t="shared" si="262"/>
        <v>20.893999999999998</v>
      </c>
      <c r="H2556" s="1183">
        <f t="shared" si="262"/>
        <v>61.220000000000006</v>
      </c>
      <c r="I2556" s="1183">
        <f t="shared" si="262"/>
        <v>32.666000000000004</v>
      </c>
      <c r="J2556" s="1183">
        <f t="shared" si="262"/>
        <v>20.54</v>
      </c>
    </row>
    <row r="2557" spans="1:10" ht="13.5" thickBot="1"/>
    <row r="2558" spans="1:10" ht="13.5" thickBot="1">
      <c r="A2558" s="1664" t="s">
        <v>1</v>
      </c>
      <c r="B2558" s="1170" t="s">
        <v>139</v>
      </c>
      <c r="C2558" s="1171" t="s">
        <v>140</v>
      </c>
      <c r="D2558" s="1170" t="s">
        <v>5</v>
      </c>
      <c r="E2558" s="1172" t="s">
        <v>6</v>
      </c>
      <c r="F2558" s="1173" t="s">
        <v>57</v>
      </c>
      <c r="G2558" s="1174" t="s">
        <v>154</v>
      </c>
      <c r="H2558" s="1175" t="s">
        <v>149</v>
      </c>
      <c r="I2558" s="1176" t="s">
        <v>155</v>
      </c>
      <c r="J2558" s="1174" t="s">
        <v>61</v>
      </c>
    </row>
    <row r="2559" spans="1:10" ht="13.5" thickBot="1">
      <c r="A2559" s="1665"/>
      <c r="B2559" s="1177" t="s">
        <v>146</v>
      </c>
      <c r="C2559" s="1178" t="s">
        <v>146</v>
      </c>
      <c r="D2559" s="1178" t="s">
        <v>146</v>
      </c>
      <c r="E2559" s="1178" t="s">
        <v>146</v>
      </c>
      <c r="F2559" s="1179" t="s">
        <v>146</v>
      </c>
      <c r="G2559" s="1180" t="s">
        <v>146</v>
      </c>
      <c r="H2559" s="1181" t="s">
        <v>146</v>
      </c>
      <c r="I2559" s="1180" t="s">
        <v>146</v>
      </c>
      <c r="J2559" s="1180" t="s">
        <v>146</v>
      </c>
    </row>
    <row r="2560" spans="1:10" ht="13.5" thickBot="1">
      <c r="A2560" s="74">
        <v>44809</v>
      </c>
      <c r="B2560" s="1015">
        <v>34.75</v>
      </c>
      <c r="C2560" s="730">
        <v>34.49</v>
      </c>
      <c r="D2560" s="730">
        <v>33.58</v>
      </c>
      <c r="E2560" s="730">
        <v>32.24</v>
      </c>
      <c r="F2560" s="1082">
        <v>39</v>
      </c>
      <c r="G2560" s="730">
        <v>19.45</v>
      </c>
      <c r="H2560" s="730">
        <v>61.09</v>
      </c>
      <c r="I2560" s="730">
        <v>32.76</v>
      </c>
      <c r="J2560" s="1083">
        <v>20.54</v>
      </c>
    </row>
    <row r="2561" spans="1:10" ht="13.5" thickBot="1">
      <c r="A2561" s="10">
        <v>44816</v>
      </c>
      <c r="B2561" s="1090">
        <v>34.659999999999997</v>
      </c>
      <c r="C2561" s="890">
        <v>34.159999999999997</v>
      </c>
      <c r="D2561" s="890">
        <v>33.24</v>
      </c>
      <c r="E2561" s="890">
        <v>31.41</v>
      </c>
      <c r="F2561" s="1082">
        <v>39</v>
      </c>
      <c r="G2561" s="730">
        <v>19.45</v>
      </c>
      <c r="H2561" s="730">
        <v>61.09</v>
      </c>
      <c r="I2561" s="730">
        <v>33.090000000000003</v>
      </c>
      <c r="J2561" s="1083">
        <v>20.54</v>
      </c>
    </row>
    <row r="2562" spans="1:10" ht="13.5" thickBot="1">
      <c r="A2562" s="10">
        <v>44823</v>
      </c>
      <c r="B2562" s="1090">
        <v>34.67</v>
      </c>
      <c r="C2562" s="890">
        <v>34.119999999999997</v>
      </c>
      <c r="D2562" s="890">
        <v>33.22</v>
      </c>
      <c r="E2562" s="890">
        <v>30</v>
      </c>
      <c r="F2562" s="1082">
        <v>39</v>
      </c>
      <c r="G2562" s="730">
        <v>17.57</v>
      </c>
      <c r="H2562" s="730">
        <v>61.09</v>
      </c>
      <c r="I2562" s="730">
        <v>33.43</v>
      </c>
      <c r="J2562" s="1083">
        <v>20.54</v>
      </c>
    </row>
    <row r="2563" spans="1:10" ht="13.5" thickBot="1">
      <c r="A2563" s="10">
        <v>44827</v>
      </c>
      <c r="B2563" s="1090">
        <v>34.69</v>
      </c>
      <c r="C2563" s="890">
        <v>34.18</v>
      </c>
      <c r="D2563" s="890">
        <v>33.28</v>
      </c>
      <c r="E2563" s="890">
        <v>29.16</v>
      </c>
      <c r="F2563" s="1082">
        <v>39</v>
      </c>
      <c r="G2563" s="730">
        <v>16.920000000000002</v>
      </c>
      <c r="H2563" s="730">
        <v>61.09</v>
      </c>
      <c r="I2563" s="730">
        <v>32.229999999999997</v>
      </c>
      <c r="J2563" s="1083">
        <v>20.54</v>
      </c>
    </row>
    <row r="2564" spans="1:10" ht="13.5" thickBot="1">
      <c r="A2564" s="1182" t="s">
        <v>706</v>
      </c>
      <c r="B2564" s="1183">
        <f t="shared" ref="B2564:J2564" si="263">AVERAGE(B2560:B2563)</f>
        <v>34.692499999999995</v>
      </c>
      <c r="C2564" s="1183">
        <f t="shared" si="263"/>
        <v>34.237500000000004</v>
      </c>
      <c r="D2564" s="1183">
        <f t="shared" si="263"/>
        <v>33.33</v>
      </c>
      <c r="E2564" s="1183">
        <f t="shared" si="263"/>
        <v>30.702500000000001</v>
      </c>
      <c r="F2564" s="1183">
        <f t="shared" si="263"/>
        <v>39</v>
      </c>
      <c r="G2564" s="1183">
        <f t="shared" si="263"/>
        <v>18.3475</v>
      </c>
      <c r="H2564" s="1183">
        <f t="shared" si="263"/>
        <v>61.09</v>
      </c>
      <c r="I2564" s="1183">
        <f t="shared" si="263"/>
        <v>32.877499999999998</v>
      </c>
      <c r="J2564" s="1183">
        <f t="shared" si="263"/>
        <v>20.54</v>
      </c>
    </row>
    <row r="2565" spans="1:10" ht="13.5" thickBot="1"/>
    <row r="2566" spans="1:10" ht="13.5" thickBot="1">
      <c r="A2566" s="1664" t="s">
        <v>1</v>
      </c>
      <c r="B2566" s="1170" t="s">
        <v>139</v>
      </c>
      <c r="C2566" s="1171" t="s">
        <v>140</v>
      </c>
      <c r="D2566" s="1170" t="s">
        <v>5</v>
      </c>
      <c r="E2566" s="1172" t="s">
        <v>6</v>
      </c>
      <c r="F2566" s="1173" t="s">
        <v>57</v>
      </c>
      <c r="G2566" s="1174" t="s">
        <v>154</v>
      </c>
      <c r="H2566" s="1175" t="s">
        <v>149</v>
      </c>
      <c r="I2566" s="1176" t="s">
        <v>155</v>
      </c>
      <c r="J2566" s="1174" t="s">
        <v>61</v>
      </c>
    </row>
    <row r="2567" spans="1:10" ht="13.5" thickBot="1">
      <c r="A2567" s="1665"/>
      <c r="B2567" s="1177" t="s">
        <v>146</v>
      </c>
      <c r="C2567" s="1178" t="s">
        <v>146</v>
      </c>
      <c r="D2567" s="1178" t="s">
        <v>146</v>
      </c>
      <c r="E2567" s="1178" t="s">
        <v>146</v>
      </c>
      <c r="F2567" s="1179" t="s">
        <v>146</v>
      </c>
      <c r="G2567" s="1180" t="s">
        <v>146</v>
      </c>
      <c r="H2567" s="1181" t="s">
        <v>146</v>
      </c>
      <c r="I2567" s="1180" t="s">
        <v>146</v>
      </c>
      <c r="J2567" s="1180" t="s">
        <v>146</v>
      </c>
    </row>
    <row r="2568" spans="1:10" ht="13.5" thickBot="1">
      <c r="A2568" s="74">
        <v>44837</v>
      </c>
      <c r="B2568" s="1015">
        <v>34.659999999999997</v>
      </c>
      <c r="C2568" s="730">
        <v>34.159999999999997</v>
      </c>
      <c r="D2568" s="730">
        <v>33.270000000000003</v>
      </c>
      <c r="E2568" s="730">
        <v>32.33</v>
      </c>
      <c r="F2568" s="1082">
        <v>39</v>
      </c>
      <c r="G2568" s="730">
        <v>15.92</v>
      </c>
      <c r="H2568" s="730">
        <v>61.09</v>
      </c>
      <c r="I2568" s="730">
        <v>32.409999999999997</v>
      </c>
      <c r="J2568" s="1083">
        <v>20.54</v>
      </c>
    </row>
    <row r="2569" spans="1:10" ht="13.5" thickBot="1">
      <c r="A2569" s="10">
        <v>44844</v>
      </c>
      <c r="B2569" s="1090">
        <v>37.69</v>
      </c>
      <c r="C2569" s="890">
        <v>36.92</v>
      </c>
      <c r="D2569" s="890">
        <v>35.99</v>
      </c>
      <c r="E2569" s="890">
        <v>38.46</v>
      </c>
      <c r="F2569" s="1082">
        <v>39</v>
      </c>
      <c r="G2569" s="730">
        <v>16.22</v>
      </c>
      <c r="H2569" s="730">
        <v>61.09</v>
      </c>
      <c r="I2569" s="730">
        <v>35.69</v>
      </c>
      <c r="J2569" s="1083">
        <v>20.54</v>
      </c>
    </row>
    <row r="2570" spans="1:10" ht="13.5" thickBot="1">
      <c r="A2570" s="10">
        <v>44851</v>
      </c>
      <c r="B2570" s="1090">
        <v>37.67</v>
      </c>
      <c r="C2570" s="890">
        <v>37.14</v>
      </c>
      <c r="D2570" s="890">
        <v>36.229999999999997</v>
      </c>
      <c r="E2570" s="890">
        <v>41.27</v>
      </c>
      <c r="F2570" s="1082">
        <v>42</v>
      </c>
      <c r="G2570" s="730">
        <v>15.37</v>
      </c>
      <c r="H2570" s="730">
        <v>61.09</v>
      </c>
      <c r="I2570" s="730">
        <v>36.22</v>
      </c>
      <c r="J2570" s="1083">
        <v>20.54</v>
      </c>
    </row>
    <row r="2571" spans="1:10" ht="13.5" thickBot="1">
      <c r="A2571" s="10">
        <v>44858</v>
      </c>
      <c r="B2571" s="1090">
        <v>37.67</v>
      </c>
      <c r="C2571" s="890">
        <v>37.17</v>
      </c>
      <c r="D2571" s="890">
        <v>36.270000000000003</v>
      </c>
      <c r="E2571" s="890">
        <v>41.25</v>
      </c>
      <c r="F2571" s="1082">
        <v>42</v>
      </c>
      <c r="G2571" s="730">
        <v>16.07</v>
      </c>
      <c r="H2571" s="730">
        <v>61.09</v>
      </c>
      <c r="I2571" s="730">
        <v>34.14</v>
      </c>
      <c r="J2571" s="1083">
        <v>20.54</v>
      </c>
    </row>
    <row r="2572" spans="1:10" ht="13.5" thickBot="1">
      <c r="A2572" s="1182" t="s">
        <v>707</v>
      </c>
      <c r="B2572" s="1183">
        <f t="shared" ref="B2572:J2572" si="264">AVERAGE(B2568:B2571)</f>
        <v>36.922499999999999</v>
      </c>
      <c r="C2572" s="1183">
        <f t="shared" si="264"/>
        <v>36.347499999999997</v>
      </c>
      <c r="D2572" s="1183">
        <f t="shared" si="264"/>
        <v>35.440000000000005</v>
      </c>
      <c r="E2572" s="1183">
        <f t="shared" si="264"/>
        <v>38.327500000000001</v>
      </c>
      <c r="F2572" s="1183">
        <f t="shared" si="264"/>
        <v>40.5</v>
      </c>
      <c r="G2572" s="1183">
        <f t="shared" si="264"/>
        <v>15.895</v>
      </c>
      <c r="H2572" s="1183">
        <f t="shared" si="264"/>
        <v>61.09</v>
      </c>
      <c r="I2572" s="1183">
        <f t="shared" si="264"/>
        <v>34.614999999999995</v>
      </c>
      <c r="J2572" s="1183">
        <f t="shared" si="264"/>
        <v>20.54</v>
      </c>
    </row>
    <row r="2573" spans="1:10" ht="13.5" thickBot="1"/>
    <row r="2574" spans="1:10" ht="13.5" thickBot="1">
      <c r="A2574" s="1664" t="s">
        <v>1</v>
      </c>
      <c r="B2574" s="1170" t="s">
        <v>139</v>
      </c>
      <c r="C2574" s="1171" t="s">
        <v>140</v>
      </c>
      <c r="D2574" s="1170" t="s">
        <v>5</v>
      </c>
      <c r="E2574" s="1172" t="s">
        <v>6</v>
      </c>
      <c r="F2574" s="1173" t="s">
        <v>57</v>
      </c>
      <c r="G2574" s="1174" t="s">
        <v>154</v>
      </c>
      <c r="H2574" s="1175" t="s">
        <v>149</v>
      </c>
      <c r="I2574" s="1176" t="s">
        <v>155</v>
      </c>
      <c r="J2574" s="1174" t="s">
        <v>61</v>
      </c>
    </row>
    <row r="2575" spans="1:10" ht="13.5" thickBot="1">
      <c r="A2575" s="1666"/>
      <c r="B2575" s="1177" t="s">
        <v>146</v>
      </c>
      <c r="C2575" s="1178" t="s">
        <v>146</v>
      </c>
      <c r="D2575" s="1178" t="s">
        <v>146</v>
      </c>
      <c r="E2575" s="1178" t="s">
        <v>146</v>
      </c>
      <c r="F2575" s="1179" t="s">
        <v>146</v>
      </c>
      <c r="G2575" s="1180" t="s">
        <v>146</v>
      </c>
      <c r="H2575" s="1181" t="s">
        <v>146</v>
      </c>
      <c r="I2575" s="1180" t="s">
        <v>146</v>
      </c>
      <c r="J2575" s="1180" t="s">
        <v>146</v>
      </c>
    </row>
    <row r="2576" spans="1:10">
      <c r="A2576" s="10">
        <v>44867</v>
      </c>
      <c r="B2576" s="1369"/>
      <c r="C2576" s="1369"/>
      <c r="D2576" s="1369"/>
      <c r="E2576" s="1369"/>
      <c r="F2576" s="1367">
        <v>42</v>
      </c>
      <c r="G2576" s="890">
        <v>16.37</v>
      </c>
      <c r="H2576" s="730">
        <v>61.09</v>
      </c>
      <c r="I2576" s="730">
        <v>34.17</v>
      </c>
      <c r="J2576" s="1083">
        <v>20.54</v>
      </c>
    </row>
    <row r="2577" spans="1:10" ht="13.5" thickBot="1">
      <c r="A2577" s="10">
        <v>44872</v>
      </c>
      <c r="B2577" s="1090">
        <v>37.200000000000003</v>
      </c>
      <c r="C2577" s="890">
        <v>36.700000000000003</v>
      </c>
      <c r="D2577" s="890">
        <v>35.5</v>
      </c>
      <c r="E2577" s="890">
        <v>39.82</v>
      </c>
      <c r="F2577" s="1367">
        <v>42</v>
      </c>
      <c r="G2577" s="890">
        <v>17.37</v>
      </c>
      <c r="H2577" s="890">
        <v>61.21</v>
      </c>
      <c r="I2577" s="890">
        <v>34.159999999999997</v>
      </c>
      <c r="J2577" s="1368">
        <v>20.54</v>
      </c>
    </row>
    <row r="2578" spans="1:10" ht="13.5" thickBot="1">
      <c r="A2578" s="10">
        <v>44879</v>
      </c>
      <c r="B2578" s="1090">
        <v>37.874615384615375</v>
      </c>
      <c r="C2578" s="890">
        <v>37.369999999999997</v>
      </c>
      <c r="D2578" s="890">
        <v>35.869999999999997</v>
      </c>
      <c r="E2578" s="890">
        <v>40.590000000000003</v>
      </c>
      <c r="F2578" s="1082">
        <v>40.39</v>
      </c>
      <c r="G2578" s="730">
        <v>17.87</v>
      </c>
      <c r="H2578" s="730">
        <v>61.21</v>
      </c>
      <c r="I2578" s="730">
        <v>32.15</v>
      </c>
      <c r="J2578" s="1083">
        <v>20.54</v>
      </c>
    </row>
    <row r="2579" spans="1:10" ht="13.5" thickBot="1">
      <c r="A2579" s="10">
        <v>44886</v>
      </c>
      <c r="B2579" s="1090">
        <v>36.369999999999997</v>
      </c>
      <c r="C2579" s="890">
        <v>36.14</v>
      </c>
      <c r="D2579" s="890">
        <v>34.54</v>
      </c>
      <c r="E2579" s="890">
        <v>38.17</v>
      </c>
      <c r="F2579" s="1082">
        <v>42</v>
      </c>
      <c r="G2579" s="730">
        <v>17.27</v>
      </c>
      <c r="H2579" s="730">
        <v>61.21</v>
      </c>
      <c r="I2579" s="730">
        <v>33</v>
      </c>
      <c r="J2579" s="1083">
        <v>20.54</v>
      </c>
    </row>
    <row r="2580" spans="1:10" ht="13.5" thickBot="1">
      <c r="A2580" s="10">
        <v>44893</v>
      </c>
      <c r="B2580" s="1090">
        <v>35.39</v>
      </c>
      <c r="C2580" s="890">
        <v>34.94</v>
      </c>
      <c r="D2580" s="890">
        <v>33.32</v>
      </c>
      <c r="E2580" s="890">
        <v>35.96</v>
      </c>
      <c r="F2580" s="1082">
        <v>40</v>
      </c>
      <c r="G2580" s="730">
        <v>17.27</v>
      </c>
      <c r="H2580" s="730">
        <v>61.21</v>
      </c>
      <c r="I2580" s="730">
        <v>32.15</v>
      </c>
      <c r="J2580" s="1083">
        <v>20.54</v>
      </c>
    </row>
    <row r="2581" spans="1:10" ht="13.5" thickBot="1">
      <c r="A2581" s="1182" t="s">
        <v>708</v>
      </c>
      <c r="B2581" s="1183">
        <f t="shared" ref="B2581:J2581" si="265">AVERAGE(B2577:B2580)</f>
        <v>36.708653846153851</v>
      </c>
      <c r="C2581" s="1183">
        <f t="shared" si="265"/>
        <v>36.287499999999994</v>
      </c>
      <c r="D2581" s="1183">
        <f t="shared" si="265"/>
        <v>34.807499999999997</v>
      </c>
      <c r="E2581" s="1183">
        <f t="shared" si="265"/>
        <v>38.634999999999998</v>
      </c>
      <c r="F2581" s="1183">
        <f t="shared" si="265"/>
        <v>41.097499999999997</v>
      </c>
      <c r="G2581" s="1183">
        <f t="shared" si="265"/>
        <v>17.445</v>
      </c>
      <c r="H2581" s="1183">
        <f t="shared" si="265"/>
        <v>61.21</v>
      </c>
      <c r="I2581" s="1183">
        <f t="shared" si="265"/>
        <v>32.865000000000002</v>
      </c>
      <c r="J2581" s="1183">
        <f t="shared" si="265"/>
        <v>20.54</v>
      </c>
    </row>
    <row r="2582" spans="1:10" ht="13.5" thickBot="1">
      <c r="A2582" s="1385"/>
      <c r="B2582" s="1386"/>
      <c r="C2582" s="1386"/>
      <c r="D2582" s="1386"/>
      <c r="E2582" s="1386"/>
      <c r="F2582" s="1386"/>
      <c r="G2582" s="1386"/>
      <c r="H2582" s="1386"/>
      <c r="I2582" s="1386"/>
      <c r="J2582" s="1386"/>
    </row>
    <row r="2583" spans="1:10" ht="13.5" thickBot="1">
      <c r="A2583" s="1664" t="s">
        <v>1</v>
      </c>
      <c r="B2583" s="1170" t="s">
        <v>139</v>
      </c>
      <c r="C2583" s="1171" t="s">
        <v>140</v>
      </c>
      <c r="D2583" s="1170" t="s">
        <v>5</v>
      </c>
      <c r="E2583" s="1172" t="s">
        <v>6</v>
      </c>
      <c r="F2583" s="1173" t="s">
        <v>57</v>
      </c>
      <c r="G2583" s="1174" t="s">
        <v>154</v>
      </c>
      <c r="H2583" s="1175" t="s">
        <v>149</v>
      </c>
      <c r="I2583" s="1176" t="s">
        <v>155</v>
      </c>
      <c r="J2583" s="1174" t="s">
        <v>61</v>
      </c>
    </row>
    <row r="2584" spans="1:10" ht="13.5" thickBot="1">
      <c r="A2584" s="1665"/>
      <c r="B2584" s="1177" t="s">
        <v>146</v>
      </c>
      <c r="C2584" s="1178" t="s">
        <v>146</v>
      </c>
      <c r="D2584" s="1178" t="s">
        <v>146</v>
      </c>
      <c r="E2584" s="1178" t="s">
        <v>146</v>
      </c>
      <c r="F2584" s="1179" t="s">
        <v>146</v>
      </c>
      <c r="G2584" s="1180" t="s">
        <v>146</v>
      </c>
      <c r="H2584" s="1181" t="s">
        <v>146</v>
      </c>
      <c r="I2584" s="1180" t="s">
        <v>146</v>
      </c>
      <c r="J2584" s="1180" t="s">
        <v>146</v>
      </c>
    </row>
    <row r="2585" spans="1:10" ht="13.5" thickBot="1">
      <c r="A2585" s="74">
        <v>44900</v>
      </c>
      <c r="B2585" s="1015">
        <v>21.7</v>
      </c>
      <c r="C2585" s="730">
        <v>21.2</v>
      </c>
      <c r="D2585" s="730">
        <v>20.399999999999999</v>
      </c>
      <c r="E2585" s="730">
        <v>16.48</v>
      </c>
      <c r="F2585" s="1082">
        <v>40</v>
      </c>
      <c r="G2585" s="730">
        <v>15.97</v>
      </c>
      <c r="H2585" s="730">
        <v>61.56</v>
      </c>
      <c r="I2585" s="730">
        <v>29.46</v>
      </c>
      <c r="J2585" s="1083">
        <v>20.54</v>
      </c>
    </row>
    <row r="2586" spans="1:10" ht="13.5" thickBot="1">
      <c r="A2586" s="10">
        <v>44907</v>
      </c>
      <c r="B2586" s="1090">
        <v>21.9</v>
      </c>
      <c r="C2586" s="890">
        <v>21.4</v>
      </c>
      <c r="D2586" s="890">
        <v>20.6</v>
      </c>
      <c r="E2586" s="890">
        <v>17.190000000000001</v>
      </c>
      <c r="F2586" s="1082">
        <v>38</v>
      </c>
      <c r="G2586" s="730">
        <v>15.37</v>
      </c>
      <c r="H2586" s="730">
        <v>61.56</v>
      </c>
      <c r="I2586" s="730">
        <v>27.47</v>
      </c>
      <c r="J2586" s="1083">
        <v>20.54</v>
      </c>
    </row>
    <row r="2587" spans="1:10" ht="13.5" thickBot="1">
      <c r="A2587" s="10">
        <v>44914</v>
      </c>
      <c r="B2587" s="1090">
        <v>22.4</v>
      </c>
      <c r="C2587" s="890">
        <v>21.91</v>
      </c>
      <c r="D2587" s="890">
        <v>21.11</v>
      </c>
      <c r="E2587" s="890">
        <v>17.62</v>
      </c>
      <c r="F2587" s="1082">
        <v>38</v>
      </c>
      <c r="G2587" s="730">
        <v>15.69</v>
      </c>
      <c r="H2587" s="730">
        <v>61.56</v>
      </c>
      <c r="I2587" s="730">
        <v>31.97</v>
      </c>
      <c r="J2587" s="1083">
        <v>20.54</v>
      </c>
    </row>
    <row r="2588" spans="1:10" ht="13.5" thickBot="1">
      <c r="A2588" s="10">
        <v>44922</v>
      </c>
      <c r="B2588" s="1090">
        <v>22.41</v>
      </c>
      <c r="C2588" s="890">
        <v>21.91</v>
      </c>
      <c r="D2588" s="890">
        <v>21.11</v>
      </c>
      <c r="E2588" s="890">
        <v>17.61</v>
      </c>
      <c r="F2588" s="1082">
        <v>38</v>
      </c>
      <c r="G2588" s="730">
        <v>15.99</v>
      </c>
      <c r="H2588" s="730">
        <v>61.56</v>
      </c>
      <c r="I2588" s="730">
        <v>31.97</v>
      </c>
      <c r="J2588" s="1083">
        <v>20.54</v>
      </c>
    </row>
    <row r="2589" spans="1:10" ht="13.5" thickBot="1">
      <c r="A2589" s="1182" t="s">
        <v>709</v>
      </c>
      <c r="B2589" s="1183">
        <f t="shared" ref="B2589:J2589" si="266">AVERAGE(B2585:B2588)</f>
        <v>22.102499999999999</v>
      </c>
      <c r="C2589" s="1183">
        <f t="shared" si="266"/>
        <v>21.604999999999997</v>
      </c>
      <c r="D2589" s="1183">
        <f t="shared" si="266"/>
        <v>20.805</v>
      </c>
      <c r="E2589" s="1183">
        <f t="shared" si="266"/>
        <v>17.225000000000001</v>
      </c>
      <c r="F2589" s="1183">
        <f t="shared" si="266"/>
        <v>38.5</v>
      </c>
      <c r="G2589" s="1183">
        <f t="shared" si="266"/>
        <v>15.755000000000001</v>
      </c>
      <c r="H2589" s="1183">
        <f t="shared" si="266"/>
        <v>61.56</v>
      </c>
      <c r="I2589" s="1183">
        <f t="shared" si="266"/>
        <v>30.217500000000001</v>
      </c>
      <c r="J2589" s="1183">
        <f t="shared" si="266"/>
        <v>20.54</v>
      </c>
    </row>
    <row r="2590" spans="1:10" ht="13.5" thickBot="1"/>
    <row r="2591" spans="1:10" ht="13.5" thickBot="1">
      <c r="A2591" s="1662" t="s">
        <v>1</v>
      </c>
      <c r="B2591" s="1387" t="s">
        <v>139</v>
      </c>
      <c r="C2591" s="1388" t="s">
        <v>140</v>
      </c>
      <c r="D2591" s="1387" t="s">
        <v>5</v>
      </c>
      <c r="E2591" s="1389" t="s">
        <v>6</v>
      </c>
      <c r="F2591" s="1390" t="s">
        <v>57</v>
      </c>
      <c r="G2591" s="1391" t="s">
        <v>154</v>
      </c>
      <c r="H2591" s="1392" t="s">
        <v>149</v>
      </c>
      <c r="I2591" s="1393" t="s">
        <v>155</v>
      </c>
      <c r="J2591" s="1391" t="s">
        <v>61</v>
      </c>
    </row>
    <row r="2592" spans="1:10" ht="13.5" thickBot="1">
      <c r="A2592" s="1663"/>
      <c r="B2592" s="1394" t="s">
        <v>146</v>
      </c>
      <c r="C2592" s="1395" t="s">
        <v>146</v>
      </c>
      <c r="D2592" s="1395" t="s">
        <v>146</v>
      </c>
      <c r="E2592" s="1395" t="s">
        <v>146</v>
      </c>
      <c r="F2592" s="1396" t="s">
        <v>146</v>
      </c>
      <c r="G2592" s="1397" t="s">
        <v>146</v>
      </c>
      <c r="H2592" s="1398" t="s">
        <v>146</v>
      </c>
      <c r="I2592" s="1397" t="s">
        <v>146</v>
      </c>
      <c r="J2592" s="1397" t="s">
        <v>146</v>
      </c>
    </row>
    <row r="2593" spans="1:16" ht="13.5" thickBot="1">
      <c r="A2593" s="74">
        <v>44929</v>
      </c>
      <c r="B2593" s="1015">
        <v>33.49</v>
      </c>
      <c r="C2593" s="730">
        <v>32.86</v>
      </c>
      <c r="D2593" s="730">
        <v>31.42</v>
      </c>
      <c r="E2593" s="730">
        <v>35.31</v>
      </c>
      <c r="F2593" s="1082">
        <v>38</v>
      </c>
      <c r="G2593" s="730">
        <v>16.39</v>
      </c>
      <c r="H2593" s="730">
        <v>60</v>
      </c>
      <c r="I2593" s="730">
        <v>30.21</v>
      </c>
      <c r="J2593" s="1083">
        <v>20.54</v>
      </c>
    </row>
    <row r="2594" spans="1:16" ht="13.5" thickBot="1">
      <c r="A2594" s="10">
        <v>44935</v>
      </c>
      <c r="B2594" s="1090">
        <v>33.479999999999997</v>
      </c>
      <c r="C2594" s="890">
        <v>33</v>
      </c>
      <c r="D2594" s="890">
        <v>31.6</v>
      </c>
      <c r="E2594" s="890">
        <v>35.979999999999997</v>
      </c>
      <c r="F2594" s="1082">
        <v>38</v>
      </c>
      <c r="G2594" s="730">
        <v>16.39</v>
      </c>
      <c r="H2594" s="730">
        <v>60</v>
      </c>
      <c r="I2594" s="730">
        <v>33.200000000000003</v>
      </c>
      <c r="J2594" s="1083">
        <v>20.54</v>
      </c>
    </row>
    <row r="2595" spans="1:16" ht="13.5" thickBot="1">
      <c r="A2595" s="10">
        <v>44942</v>
      </c>
      <c r="B2595" s="1090">
        <v>34.47</v>
      </c>
      <c r="C2595" s="890">
        <v>33.96</v>
      </c>
      <c r="D2595" s="890">
        <v>32.58</v>
      </c>
      <c r="E2595" s="890">
        <v>35.96</v>
      </c>
      <c r="F2595" s="1082">
        <v>38</v>
      </c>
      <c r="G2595" s="730">
        <v>15.99</v>
      </c>
      <c r="H2595" s="730">
        <v>60</v>
      </c>
      <c r="I2595" s="730">
        <v>35.85</v>
      </c>
      <c r="J2595" s="1083">
        <v>20.54</v>
      </c>
    </row>
    <row r="2596" spans="1:16" ht="13.5" thickBot="1">
      <c r="A2596" s="10">
        <v>44949</v>
      </c>
      <c r="B2596" s="1090">
        <v>35.47</v>
      </c>
      <c r="C2596" s="890">
        <v>35.020000000000003</v>
      </c>
      <c r="D2596" s="890">
        <v>33.630000000000003</v>
      </c>
      <c r="E2596" s="890">
        <v>35.54</v>
      </c>
      <c r="F2596" s="1082">
        <v>38</v>
      </c>
      <c r="G2596" s="730">
        <v>16.39</v>
      </c>
      <c r="H2596" s="730">
        <v>60</v>
      </c>
      <c r="I2596" s="730">
        <v>35.86</v>
      </c>
      <c r="J2596" s="1083">
        <v>20.54</v>
      </c>
    </row>
    <row r="2597" spans="1:16" ht="13.5" thickBot="1">
      <c r="A2597" s="10">
        <v>44956</v>
      </c>
      <c r="B2597" s="1090">
        <v>36.17</v>
      </c>
      <c r="C2597" s="890">
        <v>35.659999999999997</v>
      </c>
      <c r="D2597" s="890">
        <v>34.26</v>
      </c>
      <c r="E2597" s="890">
        <v>36.18</v>
      </c>
      <c r="F2597" s="1082">
        <v>40</v>
      </c>
      <c r="G2597" s="730">
        <v>16.23</v>
      </c>
      <c r="H2597" s="730">
        <v>60</v>
      </c>
      <c r="I2597" s="730">
        <v>37.770000000000003</v>
      </c>
      <c r="J2597" s="1083">
        <v>20.54</v>
      </c>
    </row>
    <row r="2598" spans="1:16" ht="13.5" thickBot="1">
      <c r="A2598" s="1399" t="s">
        <v>714</v>
      </c>
      <c r="B2598" s="1400">
        <f t="shared" ref="B2598:J2598" si="267">AVERAGE(B2593:B2597)</f>
        <v>34.616</v>
      </c>
      <c r="C2598" s="1400">
        <f t="shared" si="267"/>
        <v>34.1</v>
      </c>
      <c r="D2598" s="1400">
        <f t="shared" si="267"/>
        <v>32.697999999999993</v>
      </c>
      <c r="E2598" s="1400">
        <f t="shared" si="267"/>
        <v>35.793999999999997</v>
      </c>
      <c r="F2598" s="1400">
        <f t="shared" si="267"/>
        <v>38.4</v>
      </c>
      <c r="G2598" s="1400">
        <f t="shared" si="267"/>
        <v>16.277999999999999</v>
      </c>
      <c r="H2598" s="1400">
        <f t="shared" si="267"/>
        <v>60</v>
      </c>
      <c r="I2598" s="1400">
        <f t="shared" si="267"/>
        <v>34.578000000000003</v>
      </c>
      <c r="J2598" s="1400">
        <f t="shared" si="267"/>
        <v>20.54</v>
      </c>
    </row>
    <row r="2599" spans="1:16" ht="13.5" thickBot="1"/>
    <row r="2600" spans="1:16" ht="13.5" thickBot="1">
      <c r="A2600" s="1662" t="s">
        <v>1</v>
      </c>
      <c r="B2600" s="1387" t="s">
        <v>139</v>
      </c>
      <c r="C2600" s="1388" t="s">
        <v>140</v>
      </c>
      <c r="D2600" s="1387" t="s">
        <v>5</v>
      </c>
      <c r="E2600" s="1389" t="s">
        <v>6</v>
      </c>
      <c r="F2600" s="1390" t="s">
        <v>57</v>
      </c>
      <c r="G2600" s="1391" t="s">
        <v>154</v>
      </c>
      <c r="H2600" s="1392" t="s">
        <v>149</v>
      </c>
      <c r="I2600" s="1393" t="s">
        <v>155</v>
      </c>
      <c r="J2600" s="1391" t="s">
        <v>61</v>
      </c>
    </row>
    <row r="2601" spans="1:16" ht="13.5" thickBot="1">
      <c r="A2601" s="1663"/>
      <c r="B2601" s="1394" t="s">
        <v>146</v>
      </c>
      <c r="C2601" s="1395" t="s">
        <v>146</v>
      </c>
      <c r="D2601" s="1395" t="s">
        <v>146</v>
      </c>
      <c r="E2601" s="1395" t="s">
        <v>146</v>
      </c>
      <c r="F2601" s="1396" t="s">
        <v>146</v>
      </c>
      <c r="G2601" s="1397" t="s">
        <v>146</v>
      </c>
      <c r="H2601" s="1398" t="s">
        <v>146</v>
      </c>
      <c r="I2601" s="1397" t="s">
        <v>146</v>
      </c>
      <c r="J2601" s="1397" t="s">
        <v>146</v>
      </c>
    </row>
    <row r="2602" spans="1:16" ht="13.5" thickBot="1">
      <c r="A2602" s="74">
        <v>44963</v>
      </c>
      <c r="B2602" s="1015"/>
      <c r="C2602" s="730">
        <v>34.94</v>
      </c>
      <c r="D2602" s="730">
        <v>33.49</v>
      </c>
      <c r="E2602" s="730">
        <v>35.29</v>
      </c>
      <c r="F2602" s="1082">
        <v>43</v>
      </c>
      <c r="G2602" s="730">
        <v>15.63</v>
      </c>
      <c r="H2602" s="730">
        <v>52.24</v>
      </c>
      <c r="I2602" s="730">
        <v>34.340000000000003</v>
      </c>
      <c r="J2602" s="1083">
        <v>22.73</v>
      </c>
    </row>
    <row r="2603" spans="1:16" ht="13.5" thickBot="1">
      <c r="A2603" s="10">
        <v>44970</v>
      </c>
      <c r="B2603" s="1090"/>
      <c r="C2603" s="890">
        <v>34.229999999999997</v>
      </c>
      <c r="D2603" s="890">
        <v>32.74</v>
      </c>
      <c r="E2603" s="890">
        <v>33.54</v>
      </c>
      <c r="F2603" s="1082">
        <v>40</v>
      </c>
      <c r="G2603" s="730">
        <v>16.39</v>
      </c>
      <c r="H2603" s="730">
        <v>52.24</v>
      </c>
      <c r="I2603" s="730">
        <v>30.56</v>
      </c>
      <c r="J2603" s="1083">
        <v>22.73</v>
      </c>
    </row>
    <row r="2604" spans="1:16" ht="13.5" thickBot="1">
      <c r="A2604" s="10">
        <v>44977</v>
      </c>
      <c r="B2604" s="1090"/>
      <c r="C2604" s="890">
        <v>33.74</v>
      </c>
      <c r="D2604" s="890">
        <v>32.24</v>
      </c>
      <c r="E2604" s="890">
        <v>32.14</v>
      </c>
      <c r="F2604" s="1082">
        <v>40</v>
      </c>
      <c r="G2604" s="730">
        <v>15.93</v>
      </c>
      <c r="H2604" s="730">
        <v>52.24</v>
      </c>
      <c r="I2604" s="730">
        <v>29.62</v>
      </c>
      <c r="J2604" s="1083">
        <v>22.73</v>
      </c>
    </row>
    <row r="2605" spans="1:16" ht="13.5" thickBot="1">
      <c r="A2605" s="10">
        <v>44984</v>
      </c>
      <c r="B2605" s="1090"/>
      <c r="C2605" s="890">
        <v>33.33</v>
      </c>
      <c r="D2605" s="890">
        <v>31.84</v>
      </c>
      <c r="E2605" s="890">
        <v>31.11</v>
      </c>
      <c r="F2605" s="1082">
        <v>40</v>
      </c>
      <c r="G2605" s="730">
        <v>15.58</v>
      </c>
      <c r="H2605" s="730">
        <v>52.24</v>
      </c>
      <c r="I2605" s="730">
        <v>30.87</v>
      </c>
      <c r="J2605" s="1083">
        <v>22.73</v>
      </c>
      <c r="O2605" s="564">
        <v>115</v>
      </c>
    </row>
    <row r="2606" spans="1:16" ht="13.5" thickBot="1">
      <c r="A2606" s="1399" t="s">
        <v>715</v>
      </c>
      <c r="B2606" s="1400" t="e">
        <f t="shared" ref="B2606:J2606" si="268">AVERAGE(B2602:B2605)</f>
        <v>#DIV/0!</v>
      </c>
      <c r="C2606" s="1400">
        <f t="shared" si="268"/>
        <v>34.06</v>
      </c>
      <c r="D2606" s="1400">
        <f t="shared" si="268"/>
        <v>32.577500000000001</v>
      </c>
      <c r="E2606" s="1400">
        <f t="shared" si="268"/>
        <v>33.019999999999996</v>
      </c>
      <c r="F2606" s="1400">
        <f t="shared" si="268"/>
        <v>40.75</v>
      </c>
      <c r="G2606" s="1400">
        <f t="shared" si="268"/>
        <v>15.8825</v>
      </c>
      <c r="H2606" s="1400">
        <f t="shared" si="268"/>
        <v>52.24</v>
      </c>
      <c r="I2606" s="1400">
        <f t="shared" si="268"/>
        <v>31.347500000000004</v>
      </c>
      <c r="J2606" s="1400">
        <f t="shared" si="268"/>
        <v>22.73</v>
      </c>
      <c r="O2606" s="564">
        <v>5.9395100000000003</v>
      </c>
      <c r="P2606" s="564">
        <f>(O2605/O2606)</f>
        <v>19.361866551281164</v>
      </c>
    </row>
    <row r="2607" spans="1:16">
      <c r="A2607" s="564"/>
      <c r="B2607" s="564"/>
      <c r="C2607" s="564"/>
      <c r="D2607" s="564"/>
      <c r="E2607" s="564"/>
      <c r="F2607" s="564"/>
      <c r="G2607" s="564"/>
      <c r="H2607" s="548"/>
      <c r="I2607" s="564"/>
      <c r="J2607" s="564"/>
      <c r="L2607" s="564"/>
      <c r="M2607" s="564"/>
    </row>
    <row r="2608" spans="1:16" ht="13.5" thickBot="1">
      <c r="A2608" s="564"/>
      <c r="B2608" s="564"/>
      <c r="C2608" s="564"/>
      <c r="D2608" s="564"/>
      <c r="E2608" s="564"/>
      <c r="F2608" s="564"/>
      <c r="G2608" s="564"/>
      <c r="H2608" s="548"/>
      <c r="I2608" s="564"/>
      <c r="J2608" s="564"/>
      <c r="L2608" s="564"/>
      <c r="M2608" s="564"/>
    </row>
    <row r="2609" spans="1:13" ht="13.5" thickBot="1">
      <c r="A2609" s="1662" t="s">
        <v>1</v>
      </c>
      <c r="B2609" s="1387" t="s">
        <v>139</v>
      </c>
      <c r="C2609" s="1388" t="s">
        <v>140</v>
      </c>
      <c r="D2609" s="1387" t="s">
        <v>5</v>
      </c>
      <c r="E2609" s="1389" t="s">
        <v>6</v>
      </c>
      <c r="F2609" s="1390" t="s">
        <v>57</v>
      </c>
      <c r="G2609" s="1391" t="s">
        <v>154</v>
      </c>
      <c r="H2609" s="1392" t="s">
        <v>149</v>
      </c>
      <c r="I2609" s="1393" t="s">
        <v>155</v>
      </c>
      <c r="J2609" s="1391" t="s">
        <v>61</v>
      </c>
      <c r="L2609" s="564"/>
      <c r="M2609" s="564"/>
    </row>
    <row r="2610" spans="1:13" ht="13.5" thickBot="1">
      <c r="A2610" s="1663"/>
      <c r="B2610" s="1394" t="s">
        <v>146</v>
      </c>
      <c r="C2610" s="1395" t="s">
        <v>146</v>
      </c>
      <c r="D2610" s="1395" t="s">
        <v>146</v>
      </c>
      <c r="E2610" s="1395" t="s">
        <v>146</v>
      </c>
      <c r="F2610" s="1396" t="s">
        <v>146</v>
      </c>
      <c r="G2610" s="1397" t="s">
        <v>146</v>
      </c>
      <c r="H2610" s="1398" t="s">
        <v>146</v>
      </c>
      <c r="I2610" s="1397" t="s">
        <v>146</v>
      </c>
      <c r="J2610" s="1397" t="s">
        <v>146</v>
      </c>
      <c r="L2610" s="564"/>
      <c r="M2610" s="564"/>
    </row>
    <row r="2611" spans="1:13" ht="13.5" thickBot="1">
      <c r="A2611" s="74">
        <v>44991</v>
      </c>
      <c r="B2611" s="1015">
        <v>34.93</v>
      </c>
      <c r="C2611" s="730">
        <v>34.46</v>
      </c>
      <c r="D2611" s="730">
        <v>32.86</v>
      </c>
      <c r="E2611" s="730">
        <v>30.02</v>
      </c>
      <c r="F2611" s="1082">
        <v>38</v>
      </c>
      <c r="G2611" s="730">
        <v>16.579999999999998</v>
      </c>
      <c r="H2611" s="730">
        <v>52.33</v>
      </c>
      <c r="I2611" s="730">
        <v>30.75</v>
      </c>
      <c r="J2611" s="1083">
        <v>22.73</v>
      </c>
      <c r="L2611" s="564"/>
      <c r="M2611" s="564"/>
    </row>
    <row r="2612" spans="1:13" ht="13.5" thickBot="1">
      <c r="A2612" s="10">
        <v>44998</v>
      </c>
      <c r="B2612" s="1090">
        <v>35.49</v>
      </c>
      <c r="C2612" s="890">
        <v>34.99</v>
      </c>
      <c r="D2612" s="890">
        <v>33.4</v>
      </c>
      <c r="E2612" s="890">
        <v>30</v>
      </c>
      <c r="F2612" s="1082">
        <v>38</v>
      </c>
      <c r="G2612" s="730">
        <v>16.82</v>
      </c>
      <c r="H2612" s="730">
        <v>52.33</v>
      </c>
      <c r="I2612" s="730">
        <v>29.77</v>
      </c>
      <c r="J2612" s="1083">
        <v>22.73</v>
      </c>
      <c r="L2612" s="564"/>
      <c r="M2612" s="564"/>
    </row>
    <row r="2613" spans="1:13" ht="13.5" thickBot="1">
      <c r="A2613" s="10">
        <v>45005</v>
      </c>
      <c r="B2613" s="1090">
        <v>36.479999999999997</v>
      </c>
      <c r="C2613" s="890">
        <v>35.979999999999997</v>
      </c>
      <c r="D2613" s="890">
        <v>34.36</v>
      </c>
      <c r="E2613" s="890">
        <v>29.78</v>
      </c>
      <c r="F2613" s="1082">
        <v>38</v>
      </c>
      <c r="G2613" s="730">
        <v>15.82</v>
      </c>
      <c r="H2613" s="730">
        <v>52.33</v>
      </c>
      <c r="I2613" s="730">
        <v>29.61</v>
      </c>
      <c r="J2613" s="1083">
        <v>19.36</v>
      </c>
      <c r="L2613" s="564"/>
      <c r="M2613" s="564"/>
    </row>
    <row r="2614" spans="1:13" ht="13.5" thickBot="1">
      <c r="A2614" s="10">
        <v>45012</v>
      </c>
      <c r="B2614" s="1090">
        <v>36.409999999999997</v>
      </c>
      <c r="C2614" s="890">
        <v>35.909999999999997</v>
      </c>
      <c r="D2614" s="890">
        <v>34.31</v>
      </c>
      <c r="E2614" s="890">
        <v>29.32</v>
      </c>
      <c r="F2614" s="1082">
        <v>38</v>
      </c>
      <c r="G2614" s="730">
        <v>16.12</v>
      </c>
      <c r="H2614" s="730">
        <v>52.33</v>
      </c>
      <c r="I2614" s="730">
        <v>27.58</v>
      </c>
      <c r="J2614" s="1083">
        <v>19.36</v>
      </c>
      <c r="L2614" s="564"/>
      <c r="M2614" s="564"/>
    </row>
    <row r="2615" spans="1:13" ht="13.5" thickBot="1">
      <c r="A2615" s="1399" t="s">
        <v>716</v>
      </c>
      <c r="B2615" s="1400">
        <f t="shared" ref="B2615:J2615" si="269">AVERAGE(B2611:B2614)</f>
        <v>35.827500000000001</v>
      </c>
      <c r="C2615" s="1400">
        <f t="shared" si="269"/>
        <v>35.335000000000001</v>
      </c>
      <c r="D2615" s="1400">
        <f t="shared" si="269"/>
        <v>33.732500000000002</v>
      </c>
      <c r="E2615" s="1400">
        <f t="shared" si="269"/>
        <v>29.78</v>
      </c>
      <c r="F2615" s="1400">
        <f t="shared" si="269"/>
        <v>38</v>
      </c>
      <c r="G2615" s="1400">
        <f t="shared" si="269"/>
        <v>16.335000000000001</v>
      </c>
      <c r="H2615" s="1400">
        <f t="shared" si="269"/>
        <v>52.33</v>
      </c>
      <c r="I2615" s="1400">
        <f t="shared" si="269"/>
        <v>29.427499999999998</v>
      </c>
      <c r="J2615" s="1400">
        <f t="shared" si="269"/>
        <v>21.044999999999998</v>
      </c>
      <c r="L2615" s="564"/>
      <c r="M2615" s="564"/>
    </row>
    <row r="2616" spans="1:13">
      <c r="A2616" s="564"/>
      <c r="B2616" s="564"/>
      <c r="C2616" s="564"/>
      <c r="D2616" s="564"/>
      <c r="E2616" s="564"/>
      <c r="F2616" s="564"/>
      <c r="G2616" s="564"/>
      <c r="H2616" s="548"/>
      <c r="I2616" s="564"/>
      <c r="J2616" s="564"/>
      <c r="L2616" s="564"/>
      <c r="M2616" s="564"/>
    </row>
    <row r="2617" spans="1:13" ht="13.5" thickBot="1">
      <c r="A2617" s="564"/>
      <c r="B2617" s="564"/>
      <c r="C2617" s="564"/>
      <c r="D2617" s="564"/>
      <c r="E2617" s="564"/>
      <c r="F2617" s="564"/>
      <c r="G2617" s="564"/>
      <c r="H2617" s="548"/>
      <c r="I2617" s="564"/>
      <c r="J2617" s="564"/>
      <c r="L2617" s="564"/>
      <c r="M2617" s="564"/>
    </row>
    <row r="2618" spans="1:13" ht="13.5" thickBot="1">
      <c r="A2618" s="1662" t="s">
        <v>1</v>
      </c>
      <c r="B2618" s="1387" t="s">
        <v>139</v>
      </c>
      <c r="C2618" s="1388" t="s">
        <v>140</v>
      </c>
      <c r="D2618" s="1387" t="s">
        <v>5</v>
      </c>
      <c r="E2618" s="1389" t="s">
        <v>6</v>
      </c>
      <c r="F2618" s="1390" t="s">
        <v>57</v>
      </c>
      <c r="G2618" s="1391" t="s">
        <v>154</v>
      </c>
      <c r="H2618" s="1392" t="s">
        <v>149</v>
      </c>
      <c r="I2618" s="1393" t="s">
        <v>155</v>
      </c>
      <c r="J2618" s="1391" t="s">
        <v>61</v>
      </c>
      <c r="L2618" s="564"/>
      <c r="M2618" s="564"/>
    </row>
    <row r="2619" spans="1:13" ht="13.5" thickBot="1">
      <c r="A2619" s="1663"/>
      <c r="B2619" s="1394" t="s">
        <v>146</v>
      </c>
      <c r="C2619" s="1395" t="s">
        <v>146</v>
      </c>
      <c r="D2619" s="1395" t="s">
        <v>146</v>
      </c>
      <c r="E2619" s="1395" t="s">
        <v>146</v>
      </c>
      <c r="F2619" s="1396" t="s">
        <v>146</v>
      </c>
      <c r="G2619" s="1397" t="s">
        <v>146</v>
      </c>
      <c r="H2619" s="1398" t="s">
        <v>146</v>
      </c>
      <c r="I2619" s="1397" t="s">
        <v>146</v>
      </c>
      <c r="J2619" s="1397" t="s">
        <v>146</v>
      </c>
      <c r="L2619" s="564"/>
      <c r="M2619" s="564"/>
    </row>
    <row r="2620" spans="1:13" ht="13.5" thickBot="1">
      <c r="A2620" s="74">
        <v>45019</v>
      </c>
      <c r="B2620" s="1015">
        <v>34.93</v>
      </c>
      <c r="C2620" s="730">
        <v>34.46</v>
      </c>
      <c r="D2620" s="730">
        <v>32.86</v>
      </c>
      <c r="E2620" s="730">
        <v>30.02</v>
      </c>
      <c r="F2620" s="1082">
        <v>38</v>
      </c>
      <c r="G2620" s="730">
        <v>17.62</v>
      </c>
      <c r="H2620" s="730">
        <v>52.33</v>
      </c>
      <c r="I2620" s="730">
        <v>27.65</v>
      </c>
      <c r="J2620" s="1083">
        <v>19.36</v>
      </c>
      <c r="L2620" s="564"/>
      <c r="M2620" s="564"/>
    </row>
    <row r="2621" spans="1:13" ht="13.5" thickBot="1">
      <c r="A2621" s="10">
        <v>45026</v>
      </c>
      <c r="B2621" s="1090">
        <v>35.49</v>
      </c>
      <c r="C2621" s="890">
        <v>34.99</v>
      </c>
      <c r="D2621" s="890">
        <v>33.4</v>
      </c>
      <c r="E2621" s="890">
        <v>30</v>
      </c>
      <c r="F2621" s="1082">
        <v>38</v>
      </c>
      <c r="G2621" s="730">
        <v>18.82</v>
      </c>
      <c r="H2621" s="730">
        <v>52.33</v>
      </c>
      <c r="I2621" s="730">
        <v>26.53</v>
      </c>
      <c r="J2621" s="1083">
        <v>19.36</v>
      </c>
    </row>
    <row r="2622" spans="1:13" ht="13.5" thickBot="1">
      <c r="A2622" s="10">
        <v>45033</v>
      </c>
      <c r="B2622" s="1090">
        <v>36.479999999999997</v>
      </c>
      <c r="C2622" s="890">
        <v>35.979999999999997</v>
      </c>
      <c r="D2622" s="890">
        <v>34.36</v>
      </c>
      <c r="E2622" s="890">
        <v>29.78</v>
      </c>
      <c r="F2622" s="1082">
        <v>38</v>
      </c>
      <c r="G2622" s="730">
        <v>19.12</v>
      </c>
      <c r="H2622" s="730">
        <v>52.33</v>
      </c>
      <c r="I2622" s="730">
        <v>26.61</v>
      </c>
      <c r="J2622" s="1083">
        <v>19.36</v>
      </c>
    </row>
    <row r="2623" spans="1:13" ht="13.5" thickBot="1">
      <c r="A2623" s="10">
        <v>45040</v>
      </c>
      <c r="B2623" s="1090">
        <v>36.409999999999997</v>
      </c>
      <c r="C2623" s="890">
        <v>35.909999999999997</v>
      </c>
      <c r="D2623" s="890">
        <v>34.31</v>
      </c>
      <c r="E2623" s="890">
        <v>29.32</v>
      </c>
      <c r="F2623" s="1082">
        <v>36</v>
      </c>
      <c r="G2623" s="730">
        <v>18.670000000000002</v>
      </c>
      <c r="H2623" s="730">
        <v>52.33</v>
      </c>
      <c r="I2623" s="730">
        <v>25.95</v>
      </c>
      <c r="J2623" s="1083">
        <v>19.36</v>
      </c>
    </row>
    <row r="2624" spans="1:13" ht="13.5" thickBot="1">
      <c r="A2624" s="1399" t="s">
        <v>717</v>
      </c>
      <c r="B2624" s="1400">
        <f t="shared" ref="B2624:J2624" si="270">AVERAGE(B2620:B2623)</f>
        <v>35.827500000000001</v>
      </c>
      <c r="C2624" s="1400">
        <f t="shared" si="270"/>
        <v>35.335000000000001</v>
      </c>
      <c r="D2624" s="1400">
        <f t="shared" si="270"/>
        <v>33.732500000000002</v>
      </c>
      <c r="E2624" s="1400">
        <f t="shared" si="270"/>
        <v>29.78</v>
      </c>
      <c r="F2624" s="1400">
        <f t="shared" si="270"/>
        <v>37.5</v>
      </c>
      <c r="G2624" s="1400">
        <f t="shared" si="270"/>
        <v>18.557500000000001</v>
      </c>
      <c r="H2624" s="1400">
        <f t="shared" si="270"/>
        <v>52.33</v>
      </c>
      <c r="I2624" s="1400">
        <f t="shared" si="270"/>
        <v>26.684999999999999</v>
      </c>
      <c r="J2624" s="1400">
        <f t="shared" si="270"/>
        <v>19.36</v>
      </c>
    </row>
    <row r="2625" spans="1:21" ht="13.5" thickBot="1">
      <c r="A2625" s="564"/>
      <c r="B2625" s="564"/>
      <c r="C2625" s="564"/>
      <c r="D2625" s="564"/>
      <c r="E2625" s="564"/>
      <c r="F2625" s="564"/>
      <c r="G2625" s="564"/>
      <c r="H2625" s="548"/>
      <c r="I2625" s="564"/>
      <c r="J2625" s="564"/>
      <c r="L2625" s="564"/>
      <c r="M2625" s="564"/>
    </row>
    <row r="2626" spans="1:21" ht="13.5" thickBot="1">
      <c r="A2626" s="1662" t="s">
        <v>1</v>
      </c>
      <c r="B2626" s="1387" t="s">
        <v>139</v>
      </c>
      <c r="C2626" s="1388" t="s">
        <v>140</v>
      </c>
      <c r="D2626" s="1387" t="s">
        <v>5</v>
      </c>
      <c r="E2626" s="1389" t="s">
        <v>6</v>
      </c>
      <c r="F2626" s="1390" t="s">
        <v>57</v>
      </c>
      <c r="G2626" s="1391" t="s">
        <v>154</v>
      </c>
      <c r="H2626" s="1392" t="s">
        <v>149</v>
      </c>
      <c r="I2626" s="1393" t="s">
        <v>155</v>
      </c>
      <c r="J2626" s="1391" t="s">
        <v>61</v>
      </c>
      <c r="L2626" s="564"/>
      <c r="M2626" s="564"/>
    </row>
    <row r="2627" spans="1:21" ht="13.5" thickBot="1">
      <c r="A2627" s="1663"/>
      <c r="B2627" s="1394" t="s">
        <v>146</v>
      </c>
      <c r="C2627" s="1395" t="s">
        <v>146</v>
      </c>
      <c r="D2627" s="1395" t="s">
        <v>146</v>
      </c>
      <c r="E2627" s="1395" t="s">
        <v>146</v>
      </c>
      <c r="F2627" s="1396" t="s">
        <v>146</v>
      </c>
      <c r="G2627" s="1397" t="s">
        <v>146</v>
      </c>
      <c r="H2627" s="1398" t="s">
        <v>146</v>
      </c>
      <c r="I2627" s="1397" t="s">
        <v>146</v>
      </c>
      <c r="J2627" s="1397" t="s">
        <v>146</v>
      </c>
      <c r="L2627" s="564"/>
      <c r="M2627" s="564"/>
      <c r="R2627" s="564">
        <v>33.78</v>
      </c>
      <c r="S2627" s="564">
        <v>33.299999999999997</v>
      </c>
      <c r="T2627" s="564">
        <v>31.97</v>
      </c>
      <c r="U2627" s="564">
        <v>26.56</v>
      </c>
    </row>
    <row r="2628" spans="1:21" ht="13.5" thickBot="1">
      <c r="A2628" s="74">
        <v>45048</v>
      </c>
      <c r="B2628" s="1015">
        <v>35.47</v>
      </c>
      <c r="C2628" s="730">
        <v>35.08</v>
      </c>
      <c r="D2628" s="730">
        <v>33.46</v>
      </c>
      <c r="E2628" s="730">
        <v>28.43</v>
      </c>
      <c r="F2628" s="1082">
        <v>36</v>
      </c>
      <c r="G2628" s="730">
        <v>17.670000000000002</v>
      </c>
      <c r="H2628" s="730">
        <v>54.72</v>
      </c>
      <c r="I2628" s="730">
        <v>25.02</v>
      </c>
      <c r="J2628" s="1083">
        <v>19.36</v>
      </c>
      <c r="L2628" s="564"/>
      <c r="M2628" s="564"/>
      <c r="R2628" s="564">
        <v>33.49</v>
      </c>
      <c r="S2628" s="564">
        <v>33.1</v>
      </c>
      <c r="T2628" s="564">
        <v>31.78</v>
      </c>
      <c r="U2628" s="564">
        <v>26.3</v>
      </c>
    </row>
    <row r="2629" spans="1:21" ht="13.5" thickBot="1">
      <c r="A2629" s="10">
        <v>45054</v>
      </c>
      <c r="B2629" s="1090">
        <v>34.770000000000003</v>
      </c>
      <c r="C2629" s="890">
        <v>34.31</v>
      </c>
      <c r="D2629" s="890">
        <v>32.799999999999997</v>
      </c>
      <c r="E2629" s="890">
        <v>27.68</v>
      </c>
      <c r="F2629" s="1082">
        <v>36</v>
      </c>
      <c r="G2629" s="730">
        <v>16.47</v>
      </c>
      <c r="H2629" s="730">
        <v>54.72</v>
      </c>
      <c r="I2629" s="730">
        <v>23.73</v>
      </c>
      <c r="J2629" s="1083">
        <v>19.36</v>
      </c>
      <c r="R2629" s="564">
        <v>33.47</v>
      </c>
      <c r="S2629" s="564">
        <v>33.08</v>
      </c>
      <c r="T2629" s="564">
        <v>31.79</v>
      </c>
      <c r="U2629" s="564">
        <v>26.25</v>
      </c>
    </row>
    <row r="2630" spans="1:21" ht="13.5" thickBot="1">
      <c r="A2630" s="10">
        <v>45061</v>
      </c>
      <c r="B2630" s="1090">
        <v>33.97</v>
      </c>
      <c r="C2630" s="890">
        <v>33.49</v>
      </c>
      <c r="D2630" s="890">
        <v>31.98</v>
      </c>
      <c r="E2630" s="890">
        <v>27.02</v>
      </c>
      <c r="F2630" s="1082">
        <v>36</v>
      </c>
      <c r="G2630" s="730">
        <v>16.97</v>
      </c>
      <c r="H2630" s="730">
        <v>54.72</v>
      </c>
      <c r="I2630" s="730">
        <v>24.52</v>
      </c>
      <c r="J2630" s="1083">
        <v>19.36</v>
      </c>
      <c r="R2630" s="564">
        <v>34.67</v>
      </c>
      <c r="S2630" s="564">
        <v>34.159999999999997</v>
      </c>
      <c r="T2630" s="564">
        <v>32.659999999999997</v>
      </c>
      <c r="U2630" s="564">
        <v>27</v>
      </c>
    </row>
    <row r="2631" spans="1:21" ht="13.5" thickBot="1">
      <c r="A2631" s="10">
        <v>45068</v>
      </c>
      <c r="B2631" s="1090">
        <v>33.78</v>
      </c>
      <c r="C2631" s="890">
        <v>33.35</v>
      </c>
      <c r="D2631" s="890">
        <v>31.97</v>
      </c>
      <c r="E2631" s="890">
        <v>27.01</v>
      </c>
      <c r="F2631" s="1082">
        <v>36</v>
      </c>
      <c r="G2631" s="730">
        <v>17.170000000000002</v>
      </c>
      <c r="H2631" s="730">
        <v>54.72</v>
      </c>
      <c r="I2631" s="730">
        <v>24.55</v>
      </c>
      <c r="J2631" s="1083">
        <v>19.36</v>
      </c>
    </row>
    <row r="2632" spans="1:21" ht="13.5" thickBot="1">
      <c r="A2632" s="10">
        <v>45075</v>
      </c>
      <c r="B2632" s="1090">
        <v>33.82</v>
      </c>
      <c r="C2632" s="890">
        <v>33.299999999999997</v>
      </c>
      <c r="D2632" s="890">
        <v>31.99</v>
      </c>
      <c r="E2632" s="890">
        <v>27</v>
      </c>
      <c r="F2632" s="1082">
        <v>36</v>
      </c>
      <c r="G2632" s="730">
        <v>16.670000000000002</v>
      </c>
      <c r="H2632" s="730">
        <v>54.72</v>
      </c>
      <c r="I2632" s="730">
        <v>24.58</v>
      </c>
      <c r="J2632" s="1083">
        <v>19.36</v>
      </c>
    </row>
    <row r="2633" spans="1:21" ht="13.5" thickBot="1">
      <c r="A2633" s="1399" t="s">
        <v>718</v>
      </c>
      <c r="B2633" s="1400">
        <f t="shared" ref="B2633:J2633" si="271">AVERAGE(B2628:B2632)</f>
        <v>34.362000000000002</v>
      </c>
      <c r="C2633" s="1400">
        <f t="shared" si="271"/>
        <v>33.905999999999992</v>
      </c>
      <c r="D2633" s="1400">
        <f t="shared" si="271"/>
        <v>32.44</v>
      </c>
      <c r="E2633" s="1400">
        <f t="shared" si="271"/>
        <v>27.427999999999997</v>
      </c>
      <c r="F2633" s="1400">
        <f t="shared" si="271"/>
        <v>36</v>
      </c>
      <c r="G2633" s="1400">
        <f t="shared" si="271"/>
        <v>16.990000000000002</v>
      </c>
      <c r="H2633" s="1400">
        <f t="shared" si="271"/>
        <v>54.720000000000006</v>
      </c>
      <c r="I2633" s="1400">
        <f t="shared" si="271"/>
        <v>24.479999999999997</v>
      </c>
      <c r="J2633" s="1400">
        <f t="shared" si="271"/>
        <v>19.36</v>
      </c>
    </row>
    <row r="2634" spans="1:21" ht="13.5" thickBot="1"/>
    <row r="2635" spans="1:21" ht="13.5" thickBot="1">
      <c r="A2635" s="1662" t="s">
        <v>1</v>
      </c>
      <c r="B2635" s="1387" t="s">
        <v>139</v>
      </c>
      <c r="C2635" s="1388" t="s">
        <v>140</v>
      </c>
      <c r="D2635" s="1387" t="s">
        <v>5</v>
      </c>
      <c r="E2635" s="1389" t="s">
        <v>6</v>
      </c>
      <c r="F2635" s="1390" t="s">
        <v>57</v>
      </c>
      <c r="G2635" s="1391" t="s">
        <v>154</v>
      </c>
      <c r="H2635" s="1392" t="s">
        <v>149</v>
      </c>
      <c r="I2635" s="1393" t="s">
        <v>155</v>
      </c>
      <c r="J2635" s="1391" t="s">
        <v>61</v>
      </c>
    </row>
    <row r="2636" spans="1:21" ht="13.5" thickBot="1">
      <c r="A2636" s="1663"/>
      <c r="B2636" s="1394" t="s">
        <v>146</v>
      </c>
      <c r="C2636" s="1395" t="s">
        <v>146</v>
      </c>
      <c r="D2636" s="1395" t="s">
        <v>146</v>
      </c>
      <c r="E2636" s="1395" t="s">
        <v>146</v>
      </c>
      <c r="F2636" s="1396" t="s">
        <v>146</v>
      </c>
      <c r="G2636" s="1397" t="s">
        <v>146</v>
      </c>
      <c r="H2636" s="1398" t="s">
        <v>146</v>
      </c>
      <c r="I2636" s="1397" t="s">
        <v>146</v>
      </c>
      <c r="J2636" s="1397" t="s">
        <v>146</v>
      </c>
    </row>
    <row r="2637" spans="1:21" ht="13.5" thickBot="1">
      <c r="A2637" s="74">
        <v>45082</v>
      </c>
      <c r="B2637" s="1015">
        <v>33.78</v>
      </c>
      <c r="C2637" s="730">
        <v>33.299999999999997</v>
      </c>
      <c r="D2637" s="730">
        <v>31.97</v>
      </c>
      <c r="E2637" s="730">
        <v>26.56</v>
      </c>
      <c r="F2637" s="1082">
        <v>36</v>
      </c>
      <c r="G2637" s="730">
        <v>16.670000000000002</v>
      </c>
      <c r="H2637" s="730">
        <v>58.08</v>
      </c>
      <c r="I2637" s="730">
        <v>24.35</v>
      </c>
      <c r="J2637" s="1083">
        <f>(115/5.93951)</f>
        <v>19.361866551281164</v>
      </c>
    </row>
    <row r="2638" spans="1:21" ht="13.5" thickBot="1">
      <c r="A2638" s="10">
        <v>45089</v>
      </c>
      <c r="B2638" s="1090">
        <v>33.49</v>
      </c>
      <c r="C2638" s="890">
        <v>33.1</v>
      </c>
      <c r="D2638" s="890">
        <v>31.78</v>
      </c>
      <c r="E2638" s="890">
        <v>26.3</v>
      </c>
      <c r="F2638" s="1082">
        <v>36</v>
      </c>
      <c r="G2638" s="730">
        <v>17.52</v>
      </c>
      <c r="H2638" s="730">
        <v>58.08</v>
      </c>
      <c r="I2638" s="730">
        <v>25.09</v>
      </c>
      <c r="J2638" s="1083">
        <f>(115/5.93951)</f>
        <v>19.361866551281164</v>
      </c>
    </row>
    <row r="2639" spans="1:21" ht="13.5" thickBot="1">
      <c r="A2639" s="10">
        <v>45096</v>
      </c>
      <c r="B2639" s="1090">
        <v>33.47</v>
      </c>
      <c r="C2639" s="890">
        <v>33.08</v>
      </c>
      <c r="D2639" s="890">
        <v>31.79</v>
      </c>
      <c r="E2639" s="890">
        <v>26.25</v>
      </c>
      <c r="F2639" s="1082">
        <v>36</v>
      </c>
      <c r="G2639" s="730">
        <v>18.82</v>
      </c>
      <c r="H2639" s="730">
        <v>58.08</v>
      </c>
      <c r="I2639" s="730">
        <v>24.89</v>
      </c>
      <c r="J2639" s="1083">
        <f>(135/5.93951)</f>
        <v>22.729147690634413</v>
      </c>
    </row>
    <row r="2640" spans="1:21" ht="13.5" thickBot="1">
      <c r="A2640" s="10">
        <v>45104</v>
      </c>
      <c r="B2640" s="1090">
        <v>34.67</v>
      </c>
      <c r="C2640" s="890">
        <v>34.159999999999997</v>
      </c>
      <c r="D2640" s="890">
        <v>32.659999999999997</v>
      </c>
      <c r="E2640" s="890">
        <v>27</v>
      </c>
      <c r="F2640" s="1082">
        <v>36</v>
      </c>
      <c r="G2640" s="730">
        <v>18.82</v>
      </c>
      <c r="H2640" s="730">
        <v>58.08</v>
      </c>
      <c r="I2640" s="730">
        <v>25</v>
      </c>
      <c r="J2640" s="1083">
        <f>(135/5.93951)</f>
        <v>22.729147690634413</v>
      </c>
    </row>
    <row r="2641" spans="1:10" ht="13.5" thickBot="1">
      <c r="A2641" s="1399" t="s">
        <v>719</v>
      </c>
      <c r="B2641" s="1400">
        <f t="shared" ref="B2641:I2641" si="272">AVERAGE(B2637:B2640)</f>
        <v>33.852500000000006</v>
      </c>
      <c r="C2641" s="1400">
        <f t="shared" si="272"/>
        <v>33.409999999999997</v>
      </c>
      <c r="D2641" s="1400">
        <f t="shared" si="272"/>
        <v>32.049999999999997</v>
      </c>
      <c r="E2641" s="1400">
        <f t="shared" si="272"/>
        <v>26.5275</v>
      </c>
      <c r="F2641" s="1400">
        <f t="shared" si="272"/>
        <v>36</v>
      </c>
      <c r="G2641" s="1400">
        <f t="shared" si="272"/>
        <v>17.9575</v>
      </c>
      <c r="H2641" s="1400">
        <f t="shared" si="272"/>
        <v>58.08</v>
      </c>
      <c r="I2641" s="1400">
        <f t="shared" si="272"/>
        <v>24.8325</v>
      </c>
      <c r="J2641" s="1400">
        <f>AVERAGE(J2637:J2640)</f>
        <v>21.045507120957787</v>
      </c>
    </row>
    <row r="2642" spans="1:10" ht="13.5" thickBot="1"/>
    <row r="2643" spans="1:10" ht="13.5" thickBot="1">
      <c r="A2643" s="1662" t="s">
        <v>1</v>
      </c>
      <c r="B2643" s="1387" t="s">
        <v>139</v>
      </c>
      <c r="C2643" s="1388" t="s">
        <v>140</v>
      </c>
      <c r="D2643" s="1387" t="s">
        <v>5</v>
      </c>
      <c r="E2643" s="1389" t="s">
        <v>6</v>
      </c>
      <c r="F2643" s="1390" t="s">
        <v>57</v>
      </c>
      <c r="G2643" s="1391" t="s">
        <v>154</v>
      </c>
      <c r="H2643" s="1392" t="s">
        <v>149</v>
      </c>
      <c r="I2643" s="1393" t="s">
        <v>155</v>
      </c>
      <c r="J2643" s="1391" t="s">
        <v>61</v>
      </c>
    </row>
    <row r="2644" spans="1:10" ht="13.5" thickBot="1">
      <c r="A2644" s="1663"/>
      <c r="B2644" s="1394" t="s">
        <v>146</v>
      </c>
      <c r="C2644" s="1395" t="s">
        <v>146</v>
      </c>
      <c r="D2644" s="1395" t="s">
        <v>146</v>
      </c>
      <c r="E2644" s="1395" t="s">
        <v>146</v>
      </c>
      <c r="F2644" s="1396" t="s">
        <v>146</v>
      </c>
      <c r="G2644" s="1397" t="s">
        <v>146</v>
      </c>
      <c r="H2644" s="1397" t="s">
        <v>146</v>
      </c>
      <c r="I2644" s="1397" t="s">
        <v>146</v>
      </c>
      <c r="J2644" s="1397" t="s">
        <v>146</v>
      </c>
    </row>
    <row r="2645" spans="1:10">
      <c r="A2645" s="74">
        <v>45111</v>
      </c>
      <c r="B2645" s="1015">
        <v>33.97</v>
      </c>
      <c r="C2645" s="730">
        <v>33.520000000000003</v>
      </c>
      <c r="D2645" s="730">
        <v>32.01</v>
      </c>
      <c r="E2645" s="730">
        <v>29.97</v>
      </c>
      <c r="F2645" s="1082">
        <v>36</v>
      </c>
      <c r="G2645" s="730">
        <v>19.7</v>
      </c>
      <c r="H2645" s="730">
        <v>58.09</v>
      </c>
      <c r="I2645" s="730">
        <v>24.83</v>
      </c>
      <c r="J2645" s="1083">
        <f>(135/5.93951)</f>
        <v>22.729147690634413</v>
      </c>
    </row>
    <row r="2646" spans="1:10">
      <c r="A2646" s="10">
        <v>45117</v>
      </c>
      <c r="B2646" s="1090">
        <v>33.97</v>
      </c>
      <c r="C2646" s="890">
        <v>33.51</v>
      </c>
      <c r="D2646" s="890">
        <v>32.01</v>
      </c>
      <c r="E2646" s="890">
        <v>26.96</v>
      </c>
      <c r="F2646" s="1082">
        <v>36</v>
      </c>
      <c r="G2646" s="890">
        <v>19.45</v>
      </c>
      <c r="H2646" s="890">
        <v>58.09</v>
      </c>
      <c r="I2646" s="890">
        <v>25.72</v>
      </c>
      <c r="J2646" s="1083">
        <f>(135/5.93951)</f>
        <v>22.729147690634413</v>
      </c>
    </row>
    <row r="2647" spans="1:10">
      <c r="A2647" s="10">
        <v>45124</v>
      </c>
      <c r="B2647" s="1090">
        <v>34.28</v>
      </c>
      <c r="C2647" s="890">
        <v>33.78</v>
      </c>
      <c r="D2647" s="890">
        <v>32.28</v>
      </c>
      <c r="E2647" s="890">
        <v>27.47</v>
      </c>
      <c r="F2647" s="1082">
        <v>36</v>
      </c>
      <c r="G2647" s="890">
        <v>19.2</v>
      </c>
      <c r="H2647" s="890">
        <v>58.09</v>
      </c>
      <c r="I2647" s="890">
        <v>26.31</v>
      </c>
      <c r="J2647" s="1083">
        <f>(135/5.93951)</f>
        <v>22.729147690634413</v>
      </c>
    </row>
    <row r="2648" spans="1:10">
      <c r="A2648" s="10">
        <v>45131</v>
      </c>
      <c r="B2648" s="1090">
        <v>35.29</v>
      </c>
      <c r="C2648" s="890">
        <v>34.78</v>
      </c>
      <c r="D2648" s="890">
        <v>33.28</v>
      </c>
      <c r="E2648" s="890">
        <v>28.47</v>
      </c>
      <c r="F2648" s="1082">
        <v>36</v>
      </c>
      <c r="G2648" s="890">
        <v>19.440000000000001</v>
      </c>
      <c r="H2648" s="890">
        <v>58.09</v>
      </c>
      <c r="I2648" s="890">
        <v>26.8</v>
      </c>
      <c r="J2648" s="1083">
        <f>(135/5.93951)</f>
        <v>22.729147690634413</v>
      </c>
    </row>
    <row r="2649" spans="1:10" ht="13.5" thickBot="1">
      <c r="A2649" s="10">
        <v>45138</v>
      </c>
      <c r="B2649" s="1090">
        <v>36.479999999999997</v>
      </c>
      <c r="C2649" s="890">
        <v>36.28</v>
      </c>
      <c r="D2649" s="890">
        <v>34.770000000000003</v>
      </c>
      <c r="E2649" s="890">
        <v>29.68</v>
      </c>
      <c r="F2649" s="1082">
        <v>36</v>
      </c>
      <c r="G2649" s="890">
        <v>20.54</v>
      </c>
      <c r="H2649" s="890">
        <v>58.09</v>
      </c>
      <c r="I2649" s="890">
        <v>28.94</v>
      </c>
      <c r="J2649" s="1083">
        <f>(135/5.93951)</f>
        <v>22.729147690634413</v>
      </c>
    </row>
    <row r="2650" spans="1:10" ht="13.5" thickBot="1">
      <c r="A2650" s="1399" t="s">
        <v>720</v>
      </c>
      <c r="B2650" s="1400">
        <f t="shared" ref="B2650:I2650" si="273">AVERAGE(B2645:B2649)</f>
        <v>34.797999999999995</v>
      </c>
      <c r="C2650" s="1400">
        <f t="shared" si="273"/>
        <v>34.374000000000002</v>
      </c>
      <c r="D2650" s="1400">
        <f t="shared" si="273"/>
        <v>32.869999999999997</v>
      </c>
      <c r="E2650" s="1400">
        <f t="shared" si="273"/>
        <v>28.51</v>
      </c>
      <c r="F2650" s="1400">
        <f t="shared" si="273"/>
        <v>36</v>
      </c>
      <c r="G2650" s="1400">
        <f t="shared" si="273"/>
        <v>19.665999999999997</v>
      </c>
      <c r="H2650" s="1400">
        <f t="shared" si="273"/>
        <v>58.090000000000011</v>
      </c>
      <c r="I2650" s="1400">
        <f t="shared" si="273"/>
        <v>26.52</v>
      </c>
      <c r="J2650" s="1419">
        <f>AVERAGE(J2645:J2649)</f>
        <v>22.729147690634413</v>
      </c>
    </row>
    <row r="2651" spans="1:10" s="564" customFormat="1" ht="13.5" thickBot="1">
      <c r="A2651" s="1427"/>
      <c r="B2651" s="1428"/>
      <c r="C2651" s="1429"/>
      <c r="D2651" s="1428"/>
      <c r="E2651" s="1430"/>
      <c r="F2651" s="1429"/>
      <c r="G2651" s="1431"/>
      <c r="H2651" s="1429"/>
      <c r="I2651" s="1431"/>
      <c r="J2651" s="1432"/>
    </row>
    <row r="2652" spans="1:10" ht="13.5" thickBot="1">
      <c r="A2652" s="1662" t="s">
        <v>1</v>
      </c>
      <c r="B2652" s="1387" t="s">
        <v>139</v>
      </c>
      <c r="C2652" s="1388" t="s">
        <v>140</v>
      </c>
      <c r="D2652" s="1387" t="s">
        <v>5</v>
      </c>
      <c r="E2652" s="1389" t="s">
        <v>6</v>
      </c>
      <c r="F2652" s="1390" t="s">
        <v>57</v>
      </c>
      <c r="G2652" s="1391" t="s">
        <v>154</v>
      </c>
      <c r="H2652" s="1392" t="s">
        <v>149</v>
      </c>
      <c r="I2652" s="1393" t="s">
        <v>155</v>
      </c>
      <c r="J2652" s="1391" t="s">
        <v>61</v>
      </c>
    </row>
    <row r="2653" spans="1:10" ht="13.5" thickBot="1">
      <c r="A2653" s="1663"/>
      <c r="B2653" s="1394" t="s">
        <v>146</v>
      </c>
      <c r="C2653" s="1395" t="s">
        <v>146</v>
      </c>
      <c r="D2653" s="1395" t="s">
        <v>146</v>
      </c>
      <c r="E2653" s="1395" t="s">
        <v>146</v>
      </c>
      <c r="F2653" s="1396" t="s">
        <v>146</v>
      </c>
      <c r="G2653" s="1397" t="s">
        <v>146</v>
      </c>
      <c r="H2653" s="1397" t="s">
        <v>146</v>
      </c>
      <c r="I2653" s="1397" t="s">
        <v>146</v>
      </c>
      <c r="J2653" s="1397" t="s">
        <v>146</v>
      </c>
    </row>
    <row r="2654" spans="1:10" ht="13.5" thickBot="1">
      <c r="A2654" s="74">
        <v>45145</v>
      </c>
      <c r="B2654" s="1015">
        <v>37.97</v>
      </c>
      <c r="C2654" s="730">
        <v>37.47</v>
      </c>
      <c r="D2654" s="730">
        <v>35.97</v>
      </c>
      <c r="E2654" s="730">
        <v>30.97</v>
      </c>
      <c r="F2654" s="1082">
        <v>36</v>
      </c>
      <c r="G2654" s="730">
        <v>19.54</v>
      </c>
      <c r="H2654" s="730">
        <v>58.14</v>
      </c>
      <c r="I2654" s="730">
        <v>30.65</v>
      </c>
      <c r="J2654" s="1083">
        <v>22.729147690634413</v>
      </c>
    </row>
    <row r="2655" spans="1:10" ht="13.5" thickBot="1">
      <c r="A2655" s="10">
        <v>45152</v>
      </c>
      <c r="B2655" s="1090">
        <v>37.97</v>
      </c>
      <c r="C2655" s="890">
        <v>37.47</v>
      </c>
      <c r="D2655" s="890">
        <v>35.97</v>
      </c>
      <c r="E2655" s="890">
        <v>31.89</v>
      </c>
      <c r="F2655" s="1082">
        <v>36</v>
      </c>
      <c r="G2655" s="890">
        <v>20.65</v>
      </c>
      <c r="H2655" s="730">
        <v>58.14</v>
      </c>
      <c r="I2655" s="890">
        <v>31.24</v>
      </c>
      <c r="J2655" s="1083">
        <v>22.729147690634413</v>
      </c>
    </row>
    <row r="2656" spans="1:10" ht="13.5" thickBot="1">
      <c r="A2656" s="10">
        <v>45160</v>
      </c>
      <c r="B2656" s="1090">
        <v>37.53</v>
      </c>
      <c r="C2656" s="890">
        <v>37.159999999999997</v>
      </c>
      <c r="D2656" s="890">
        <v>35.659999999999997</v>
      </c>
      <c r="E2656" s="890">
        <v>31.65</v>
      </c>
      <c r="F2656" s="1082">
        <v>38</v>
      </c>
      <c r="G2656" s="890">
        <v>20.100000000000001</v>
      </c>
      <c r="H2656" s="730">
        <v>58.14</v>
      </c>
      <c r="I2656" s="890">
        <v>31.91</v>
      </c>
      <c r="J2656" s="1083">
        <v>22.729147690634413</v>
      </c>
    </row>
    <row r="2657" spans="1:18" ht="13.5" thickBot="1">
      <c r="A2657" s="10">
        <v>45166</v>
      </c>
      <c r="B2657" s="1090">
        <v>37.770000000000003</v>
      </c>
      <c r="C2657" s="890">
        <v>37.26</v>
      </c>
      <c r="D2657" s="890">
        <v>35.76</v>
      </c>
      <c r="E2657" s="890">
        <v>32.9</v>
      </c>
      <c r="F2657" s="1082">
        <v>38</v>
      </c>
      <c r="G2657" s="890">
        <v>20.100000000000001</v>
      </c>
      <c r="H2657" s="730">
        <v>58.14</v>
      </c>
      <c r="I2657" s="890">
        <v>32.130000000000003</v>
      </c>
      <c r="J2657" s="1083">
        <v>22.729147690634413</v>
      </c>
    </row>
    <row r="2658" spans="1:18" ht="20.25" customHeight="1" thickBot="1">
      <c r="A2658" s="1399" t="s">
        <v>720</v>
      </c>
      <c r="B2658" s="1400">
        <f t="shared" ref="B2658:I2658" si="274">AVERAGE(B2654:B2657)</f>
        <v>37.81</v>
      </c>
      <c r="C2658" s="1400">
        <f t="shared" si="274"/>
        <v>37.339999999999996</v>
      </c>
      <c r="D2658" s="1400">
        <f t="shared" si="274"/>
        <v>35.839999999999996</v>
      </c>
      <c r="E2658" s="1400">
        <f t="shared" si="274"/>
        <v>31.852499999999999</v>
      </c>
      <c r="F2658" s="1400">
        <f t="shared" si="274"/>
        <v>37</v>
      </c>
      <c r="G2658" s="1400">
        <f t="shared" si="274"/>
        <v>20.0975</v>
      </c>
      <c r="H2658" s="1400">
        <f t="shared" si="274"/>
        <v>58.14</v>
      </c>
      <c r="I2658" s="1400">
        <f t="shared" si="274"/>
        <v>31.482500000000002</v>
      </c>
      <c r="J2658" s="1419">
        <f>AVERAGE(J2654:J2657)</f>
        <v>22.729147690634413</v>
      </c>
    </row>
    <row r="2659" spans="1:18" ht="13.5" thickBot="1">
      <c r="A2659" s="564"/>
      <c r="B2659" s="564"/>
      <c r="C2659" s="564"/>
      <c r="D2659" s="564"/>
      <c r="E2659" s="564"/>
      <c r="F2659" s="564"/>
      <c r="G2659" s="564"/>
      <c r="H2659" s="548"/>
      <c r="I2659" s="564"/>
      <c r="J2659" s="564"/>
    </row>
    <row r="2660" spans="1:18" ht="13.5" thickBot="1">
      <c r="A2660" s="1662" t="s">
        <v>1</v>
      </c>
      <c r="B2660" s="1387" t="s">
        <v>139</v>
      </c>
      <c r="C2660" s="1388" t="s">
        <v>140</v>
      </c>
      <c r="D2660" s="1387" t="s">
        <v>5</v>
      </c>
      <c r="E2660" s="1389" t="s">
        <v>6</v>
      </c>
      <c r="F2660" s="1390" t="s">
        <v>57</v>
      </c>
      <c r="G2660" s="1391" t="s">
        <v>154</v>
      </c>
      <c r="H2660" s="1392" t="s">
        <v>149</v>
      </c>
      <c r="I2660" s="1393" t="s">
        <v>155</v>
      </c>
      <c r="J2660" s="1391" t="s">
        <v>61</v>
      </c>
    </row>
    <row r="2661" spans="1:18" ht="13.5" thickBot="1">
      <c r="A2661" s="1663"/>
      <c r="B2661" s="1394" t="s">
        <v>146</v>
      </c>
      <c r="C2661" s="1395" t="s">
        <v>146</v>
      </c>
      <c r="D2661" s="1395" t="s">
        <v>146</v>
      </c>
      <c r="E2661" s="1395" t="s">
        <v>146</v>
      </c>
      <c r="F2661" s="1396" t="s">
        <v>146</v>
      </c>
      <c r="G2661" s="1397" t="s">
        <v>146</v>
      </c>
      <c r="H2661" s="1397" t="s">
        <v>146</v>
      </c>
      <c r="I2661" s="1397" t="s">
        <v>146</v>
      </c>
      <c r="J2661" s="1397" t="s">
        <v>146</v>
      </c>
    </row>
    <row r="2662" spans="1:18" ht="13.5" thickBot="1">
      <c r="A2662" s="74">
        <v>45173</v>
      </c>
      <c r="B2662" s="1015">
        <v>37.770000000000003</v>
      </c>
      <c r="C2662" s="730">
        <v>37.28</v>
      </c>
      <c r="D2662" s="730">
        <v>35.770000000000003</v>
      </c>
      <c r="E2662" s="730">
        <v>32.82</v>
      </c>
      <c r="F2662" s="1082">
        <v>39</v>
      </c>
      <c r="G2662" s="730">
        <v>20.59</v>
      </c>
      <c r="H2662" s="730">
        <v>58.23</v>
      </c>
      <c r="I2662" s="730">
        <v>33.03</v>
      </c>
      <c r="J2662" s="1083">
        <v>22.729147690634413</v>
      </c>
    </row>
    <row r="2663" spans="1:18" ht="13.5" thickBot="1">
      <c r="A2663" s="10">
        <v>45180</v>
      </c>
      <c r="B2663" s="1090">
        <v>37.35</v>
      </c>
      <c r="C2663" s="890">
        <v>36.909999999999997</v>
      </c>
      <c r="D2663" s="890">
        <v>35.42</v>
      </c>
      <c r="E2663" s="890">
        <v>32.520000000000003</v>
      </c>
      <c r="F2663" s="1082">
        <v>39</v>
      </c>
      <c r="G2663" s="890">
        <v>21.09</v>
      </c>
      <c r="H2663" s="730">
        <v>58.23</v>
      </c>
      <c r="I2663" s="890">
        <v>33.03</v>
      </c>
      <c r="J2663" s="1083">
        <v>22.729147690634413</v>
      </c>
    </row>
    <row r="2664" spans="1:18" ht="13.5" thickBot="1">
      <c r="A2664" s="10">
        <v>45187</v>
      </c>
      <c r="B2664" s="1090">
        <v>37.369999999999997</v>
      </c>
      <c r="C2664" s="890">
        <v>36.880000000000003</v>
      </c>
      <c r="D2664" s="890">
        <v>35.4</v>
      </c>
      <c r="E2664" s="890">
        <v>33.909999999999997</v>
      </c>
      <c r="F2664" s="1082">
        <v>39</v>
      </c>
      <c r="G2664" s="890">
        <v>21.49</v>
      </c>
      <c r="H2664" s="730">
        <v>58.23</v>
      </c>
      <c r="I2664" s="890">
        <v>33.03</v>
      </c>
      <c r="J2664" s="1083">
        <v>22.729147690634413</v>
      </c>
    </row>
    <row r="2665" spans="1:18" ht="13.5" thickBot="1">
      <c r="A2665" s="10">
        <v>45194</v>
      </c>
      <c r="B2665" s="1090">
        <v>37.869999999999997</v>
      </c>
      <c r="C2665" s="890">
        <v>37.31</v>
      </c>
      <c r="D2665" s="890">
        <v>35.82</v>
      </c>
      <c r="E2665" s="890">
        <v>34.6</v>
      </c>
      <c r="F2665" s="1082">
        <v>39</v>
      </c>
      <c r="G2665" s="890">
        <v>21.49</v>
      </c>
      <c r="H2665" s="730">
        <v>58.23</v>
      </c>
      <c r="I2665" s="890">
        <v>33.03</v>
      </c>
      <c r="J2665" s="1083">
        <v>22.729147690634413</v>
      </c>
    </row>
    <row r="2666" spans="1:18" ht="13.5" thickBot="1">
      <c r="A2666" s="1399" t="s">
        <v>720</v>
      </c>
      <c r="B2666" s="1400">
        <f t="shared" ref="B2666:I2666" si="275">AVERAGE(B2662:B2665)</f>
        <v>37.590000000000003</v>
      </c>
      <c r="C2666" s="1400">
        <f t="shared" si="275"/>
        <v>37.094999999999999</v>
      </c>
      <c r="D2666" s="1400">
        <f t="shared" si="275"/>
        <v>35.602499999999999</v>
      </c>
      <c r="E2666" s="1400">
        <f t="shared" si="275"/>
        <v>33.462499999999999</v>
      </c>
      <c r="F2666" s="1400">
        <f t="shared" si="275"/>
        <v>39</v>
      </c>
      <c r="G2666" s="1400">
        <f t="shared" si="275"/>
        <v>21.164999999999999</v>
      </c>
      <c r="H2666" s="1400">
        <f t="shared" si="275"/>
        <v>58.23</v>
      </c>
      <c r="I2666" s="1400">
        <f t="shared" si="275"/>
        <v>33.03</v>
      </c>
      <c r="J2666" s="1419">
        <f>AVERAGE(J2662:J2665)</f>
        <v>22.729147690634413</v>
      </c>
    </row>
    <row r="2667" spans="1:18" ht="13.5" thickBot="1"/>
    <row r="2668" spans="1:18" ht="13.5" thickBot="1">
      <c r="A2668" s="1662" t="s">
        <v>1</v>
      </c>
      <c r="B2668" s="1387" t="s">
        <v>139</v>
      </c>
      <c r="C2668" s="1388" t="s">
        <v>140</v>
      </c>
      <c r="D2668" s="1387" t="s">
        <v>5</v>
      </c>
      <c r="E2668" s="1389" t="s">
        <v>6</v>
      </c>
      <c r="F2668" s="1390" t="s">
        <v>57</v>
      </c>
      <c r="G2668" s="1391" t="s">
        <v>154</v>
      </c>
      <c r="H2668" s="1392" t="s">
        <v>149</v>
      </c>
      <c r="I2668" s="1393" t="s">
        <v>155</v>
      </c>
      <c r="J2668" s="1391" t="s">
        <v>61</v>
      </c>
      <c r="R2668" s="564">
        <v>45201</v>
      </c>
    </row>
    <row r="2669" spans="1:18" ht="13.5" thickBot="1">
      <c r="A2669" s="1663"/>
      <c r="B2669" s="1394" t="s">
        <v>146</v>
      </c>
      <c r="C2669" s="1395" t="s">
        <v>146</v>
      </c>
      <c r="D2669" s="1395" t="s">
        <v>146</v>
      </c>
      <c r="E2669" s="1395" t="s">
        <v>146</v>
      </c>
      <c r="F2669" s="1396" t="s">
        <v>146</v>
      </c>
      <c r="G2669" s="1397" t="s">
        <v>146</v>
      </c>
      <c r="H2669" s="1397" t="s">
        <v>146</v>
      </c>
      <c r="I2669" s="1397" t="s">
        <v>146</v>
      </c>
      <c r="J2669" s="1397" t="s">
        <v>146</v>
      </c>
      <c r="R2669" s="564">
        <v>45208</v>
      </c>
    </row>
    <row r="2670" spans="1:18" ht="13.5" thickBot="1">
      <c r="A2670" s="74">
        <v>45201</v>
      </c>
      <c r="B2670" s="1015">
        <v>36.979999999999997</v>
      </c>
      <c r="C2670" s="730">
        <v>36.619999999999997</v>
      </c>
      <c r="D2670" s="730">
        <v>35.119999999999997</v>
      </c>
      <c r="E2670" s="730">
        <v>34.42</v>
      </c>
      <c r="F2670" s="1082">
        <v>39</v>
      </c>
      <c r="G2670" s="730">
        <v>21.49</v>
      </c>
      <c r="H2670" s="730">
        <v>58.5</v>
      </c>
      <c r="I2670" s="730">
        <v>33.06</v>
      </c>
      <c r="J2670" s="1083">
        <v>22.729147690634413</v>
      </c>
      <c r="R2670" s="564">
        <v>45215</v>
      </c>
    </row>
    <row r="2671" spans="1:18" ht="13.5" thickBot="1">
      <c r="A2671" s="10">
        <v>45208</v>
      </c>
      <c r="B2671" s="1090">
        <v>36.19</v>
      </c>
      <c r="C2671" s="890">
        <v>35.659999999999997</v>
      </c>
      <c r="D2671" s="890">
        <v>34.159999999999997</v>
      </c>
      <c r="E2671" s="890">
        <v>33.96</v>
      </c>
      <c r="F2671" s="1082">
        <v>39</v>
      </c>
      <c r="G2671" s="890">
        <v>21.49</v>
      </c>
      <c r="H2671" s="730">
        <v>58.5</v>
      </c>
      <c r="I2671" s="890">
        <v>33.06</v>
      </c>
      <c r="J2671" s="1083">
        <v>22.73</v>
      </c>
    </row>
    <row r="2672" spans="1:18" ht="13.5" thickBot="1">
      <c r="A2672" s="10">
        <v>45215</v>
      </c>
      <c r="B2672" s="1090">
        <v>36.17</v>
      </c>
      <c r="C2672" s="890">
        <v>35.75</v>
      </c>
      <c r="D2672" s="890">
        <v>34.25</v>
      </c>
      <c r="E2672" s="890">
        <v>33.99</v>
      </c>
      <c r="F2672" s="1082">
        <v>40</v>
      </c>
      <c r="G2672" s="890">
        <v>21.49</v>
      </c>
      <c r="H2672" s="730">
        <v>58.5</v>
      </c>
      <c r="I2672" s="890">
        <v>30.3</v>
      </c>
      <c r="J2672" s="1083">
        <v>22.729147690634413</v>
      </c>
      <c r="R2672" s="564">
        <v>45222</v>
      </c>
    </row>
    <row r="2673" spans="1:18" ht="13.5" thickBot="1">
      <c r="A2673" s="10">
        <v>45222</v>
      </c>
      <c r="B2673" s="1090">
        <v>35.69</v>
      </c>
      <c r="C2673" s="890">
        <v>35.33</v>
      </c>
      <c r="D2673" s="890">
        <v>33.83</v>
      </c>
      <c r="E2673" s="890">
        <v>33.409999999999997</v>
      </c>
      <c r="F2673" s="1082">
        <v>40</v>
      </c>
      <c r="G2673" s="890">
        <v>20.49</v>
      </c>
      <c r="H2673" s="730">
        <v>58.5</v>
      </c>
      <c r="I2673" s="890">
        <v>30.73</v>
      </c>
      <c r="J2673" s="1083">
        <v>22.729147690634413</v>
      </c>
      <c r="R2673" s="564">
        <v>45229</v>
      </c>
    </row>
    <row r="2674" spans="1:18" ht="13.5" thickBot="1">
      <c r="A2674" s="10">
        <v>45229</v>
      </c>
      <c r="B2674" s="1090">
        <v>34.97</v>
      </c>
      <c r="C2674" s="890">
        <v>34.520000000000003</v>
      </c>
      <c r="D2674" s="890">
        <v>32.99</v>
      </c>
      <c r="E2674" s="890">
        <v>32.799999999999997</v>
      </c>
      <c r="F2674" s="1082">
        <v>38</v>
      </c>
      <c r="G2674" s="890">
        <v>20.49</v>
      </c>
      <c r="H2674" s="730">
        <v>58.5</v>
      </c>
      <c r="I2674" s="890">
        <v>30.73</v>
      </c>
      <c r="J2674" s="1083">
        <v>22.729147690634413</v>
      </c>
    </row>
    <row r="2675" spans="1:18" ht="13.5" thickBot="1">
      <c r="A2675" s="1399" t="s">
        <v>730</v>
      </c>
      <c r="B2675" s="1400">
        <f t="shared" ref="B2675:I2675" si="276">AVERAGE(B2670:B2674)</f>
        <v>35.999999999999993</v>
      </c>
      <c r="C2675" s="1400">
        <f t="shared" si="276"/>
        <v>35.576000000000008</v>
      </c>
      <c r="D2675" s="1400">
        <f t="shared" si="276"/>
        <v>34.070000000000007</v>
      </c>
      <c r="E2675" s="1400">
        <f t="shared" si="276"/>
        <v>33.715999999999994</v>
      </c>
      <c r="F2675" s="1400">
        <f>AVERAGE(F2670:F2674)</f>
        <v>39.200000000000003</v>
      </c>
      <c r="G2675" s="1400">
        <f t="shared" si="276"/>
        <v>21.089999999999996</v>
      </c>
      <c r="H2675" s="1400">
        <f t="shared" si="276"/>
        <v>58.5</v>
      </c>
      <c r="I2675" s="1400">
        <f t="shared" si="276"/>
        <v>31.576000000000001</v>
      </c>
      <c r="J2675" s="1419">
        <f>AVERAGE(J2670:J2674)</f>
        <v>22.729318152507535</v>
      </c>
    </row>
    <row r="2676" spans="1:18" ht="13.5" thickBot="1"/>
    <row r="2677" spans="1:18" ht="13.5" thickBot="1">
      <c r="A2677" s="1662" t="s">
        <v>1</v>
      </c>
      <c r="B2677" s="1387" t="s">
        <v>139</v>
      </c>
      <c r="C2677" s="1388" t="s">
        <v>140</v>
      </c>
      <c r="D2677" s="1387" t="s">
        <v>5</v>
      </c>
      <c r="E2677" s="1389" t="s">
        <v>6</v>
      </c>
      <c r="F2677" s="1390" t="s">
        <v>57</v>
      </c>
      <c r="G2677" s="1391" t="s">
        <v>154</v>
      </c>
      <c r="H2677" s="1392" t="s">
        <v>149</v>
      </c>
      <c r="I2677" s="1393" t="s">
        <v>155</v>
      </c>
      <c r="J2677" s="1391" t="s">
        <v>61</v>
      </c>
    </row>
    <row r="2678" spans="1:18" ht="13.5" thickBot="1">
      <c r="A2678" s="1663"/>
      <c r="B2678" s="1394" t="s">
        <v>146</v>
      </c>
      <c r="C2678" s="1395" t="s">
        <v>146</v>
      </c>
      <c r="D2678" s="1395" t="s">
        <v>146</v>
      </c>
      <c r="E2678" s="1395" t="s">
        <v>146</v>
      </c>
      <c r="F2678" s="1396" t="s">
        <v>146</v>
      </c>
      <c r="G2678" s="1397" t="s">
        <v>146</v>
      </c>
      <c r="H2678" s="1397" t="s">
        <v>146</v>
      </c>
      <c r="I2678" s="1397" t="s">
        <v>146</v>
      </c>
      <c r="J2678" s="1397" t="s">
        <v>146</v>
      </c>
    </row>
    <row r="2679" spans="1:18">
      <c r="A2679" s="74">
        <v>45236</v>
      </c>
      <c r="B2679" s="1015">
        <v>32.99</v>
      </c>
      <c r="C2679" s="730">
        <v>32.79</v>
      </c>
      <c r="D2679" s="730">
        <v>31.28</v>
      </c>
      <c r="E2679" s="730">
        <v>32.31</v>
      </c>
      <c r="F2679" s="1082">
        <v>38</v>
      </c>
      <c r="G2679" s="1082">
        <v>19.489999999999998</v>
      </c>
      <c r="H2679" s="1082">
        <v>59.02</v>
      </c>
      <c r="I2679" s="730">
        <v>30.64</v>
      </c>
      <c r="J2679" s="1083">
        <v>22.729147690634413</v>
      </c>
    </row>
    <row r="2680" spans="1:18">
      <c r="A2680" s="10">
        <v>45243</v>
      </c>
      <c r="B2680" s="1090">
        <v>31.78</v>
      </c>
      <c r="C2680" s="890">
        <v>31.34</v>
      </c>
      <c r="D2680" s="890">
        <v>29.85</v>
      </c>
      <c r="E2680" s="890">
        <v>31.61</v>
      </c>
      <c r="F2680" s="1082">
        <v>38</v>
      </c>
      <c r="G2680" s="1082">
        <v>18.489999999999998</v>
      </c>
      <c r="H2680" s="1082">
        <v>59.02</v>
      </c>
      <c r="I2680" s="890">
        <v>30.64</v>
      </c>
      <c r="J2680" s="1083">
        <v>22.73</v>
      </c>
    </row>
    <row r="2681" spans="1:18">
      <c r="A2681" s="10">
        <v>45250</v>
      </c>
      <c r="B2681" s="1090">
        <v>30.47</v>
      </c>
      <c r="C2681" s="890">
        <v>29.99</v>
      </c>
      <c r="D2681" s="890">
        <v>28.52</v>
      </c>
      <c r="E2681" s="890">
        <v>30.58</v>
      </c>
      <c r="F2681" s="1082">
        <v>38</v>
      </c>
      <c r="G2681" s="1082">
        <v>18.489999999999998</v>
      </c>
      <c r="H2681" s="1082">
        <v>59.02</v>
      </c>
      <c r="I2681" s="890">
        <v>29.94</v>
      </c>
      <c r="J2681" s="1083">
        <v>22.729147690634413</v>
      </c>
    </row>
    <row r="2682" spans="1:18" ht="13.5" thickBot="1">
      <c r="A2682" s="10">
        <v>45257</v>
      </c>
      <c r="B2682" s="1090">
        <v>30.47</v>
      </c>
      <c r="C2682" s="890">
        <v>29.98</v>
      </c>
      <c r="D2682" s="890">
        <v>28.49</v>
      </c>
      <c r="E2682" s="890">
        <v>29.97</v>
      </c>
      <c r="F2682" s="1082">
        <v>38</v>
      </c>
      <c r="G2682" s="1082">
        <v>19.489999999999998</v>
      </c>
      <c r="H2682" s="1082">
        <v>59.02</v>
      </c>
      <c r="I2682" s="890">
        <v>27.77</v>
      </c>
      <c r="J2682" s="1083">
        <v>22.729147690634413</v>
      </c>
    </row>
    <row r="2683" spans="1:18" ht="13.5" thickBot="1">
      <c r="A2683" s="1399" t="s">
        <v>729</v>
      </c>
      <c r="B2683" s="1400">
        <f t="shared" ref="B2683:J2683" si="277">AVERAGE(B2679:B2682)</f>
        <v>31.427500000000002</v>
      </c>
      <c r="C2683" s="1400">
        <f t="shared" si="277"/>
        <v>31.024999999999999</v>
      </c>
      <c r="D2683" s="1400">
        <f t="shared" si="277"/>
        <v>29.535</v>
      </c>
      <c r="E2683" s="1400">
        <f t="shared" si="277"/>
        <v>31.1175</v>
      </c>
      <c r="F2683" s="1400">
        <f t="shared" si="277"/>
        <v>38</v>
      </c>
      <c r="G2683" s="1400">
        <f t="shared" si="277"/>
        <v>18.989999999999998</v>
      </c>
      <c r="H2683" s="1400">
        <f t="shared" si="277"/>
        <v>59.02</v>
      </c>
      <c r="I2683" s="1400">
        <f t="shared" si="277"/>
        <v>29.747499999999999</v>
      </c>
      <c r="J2683" s="1419">
        <f t="shared" si="277"/>
        <v>22.729360767975813</v>
      </c>
    </row>
    <row r="2684" spans="1:18" ht="13.5" thickBot="1"/>
    <row r="2685" spans="1:18" ht="13.5" thickBot="1">
      <c r="A2685" s="1662" t="s">
        <v>1</v>
      </c>
      <c r="B2685" s="1387" t="s">
        <v>139</v>
      </c>
      <c r="C2685" s="1388" t="s">
        <v>140</v>
      </c>
      <c r="D2685" s="1387" t="s">
        <v>5</v>
      </c>
      <c r="E2685" s="1389" t="s">
        <v>6</v>
      </c>
      <c r="F2685" s="1390" t="s">
        <v>57</v>
      </c>
      <c r="G2685" s="1391" t="s">
        <v>154</v>
      </c>
      <c r="H2685" s="1392" t="s">
        <v>149</v>
      </c>
      <c r="I2685" s="1393" t="s">
        <v>155</v>
      </c>
      <c r="J2685" s="1391" t="s">
        <v>61</v>
      </c>
    </row>
    <row r="2686" spans="1:18" ht="13.5" thickBot="1">
      <c r="A2686" s="1663"/>
      <c r="B2686" s="1394" t="s">
        <v>146</v>
      </c>
      <c r="C2686" s="1395" t="s">
        <v>146</v>
      </c>
      <c r="D2686" s="1395" t="s">
        <v>146</v>
      </c>
      <c r="E2686" s="1395" t="s">
        <v>146</v>
      </c>
      <c r="F2686" s="1396" t="s">
        <v>146</v>
      </c>
      <c r="G2686" s="1397" t="s">
        <v>146</v>
      </c>
      <c r="H2686" s="1397" t="s">
        <v>146</v>
      </c>
      <c r="I2686" s="1397" t="s">
        <v>146</v>
      </c>
      <c r="J2686" s="1397" t="s">
        <v>146</v>
      </c>
    </row>
    <row r="2687" spans="1:18">
      <c r="A2687" s="74">
        <v>45264</v>
      </c>
      <c r="B2687" s="1015">
        <v>30.47</v>
      </c>
      <c r="C2687" s="730">
        <v>29.98</v>
      </c>
      <c r="D2687" s="730">
        <v>28.49</v>
      </c>
      <c r="E2687" s="730">
        <v>29.97</v>
      </c>
      <c r="F2687" s="1082">
        <v>38</v>
      </c>
      <c r="G2687" s="1082">
        <v>18.989999999999998</v>
      </c>
      <c r="H2687" s="1082">
        <v>58.89</v>
      </c>
      <c r="I2687" s="730">
        <v>26.24</v>
      </c>
      <c r="J2687" s="1083">
        <v>22.729147690634413</v>
      </c>
    </row>
    <row r="2688" spans="1:18">
      <c r="A2688" s="1110">
        <v>45271</v>
      </c>
      <c r="B2688" s="1090">
        <v>29.49</v>
      </c>
      <c r="C2688" s="890">
        <v>29.13</v>
      </c>
      <c r="D2688" s="890">
        <v>27.65</v>
      </c>
      <c r="E2688" s="890">
        <v>29.11</v>
      </c>
      <c r="F2688" s="1082">
        <v>38</v>
      </c>
      <c r="G2688" s="1082">
        <v>18.989999999999998</v>
      </c>
      <c r="H2688" s="1082">
        <v>58.89</v>
      </c>
      <c r="I2688" s="890">
        <v>25.37</v>
      </c>
      <c r="J2688" s="1083">
        <v>22.73</v>
      </c>
      <c r="Q2688" s="564">
        <v>19.36</v>
      </c>
    </row>
    <row r="2689" spans="1:10">
      <c r="A2689" s="10">
        <v>45278</v>
      </c>
      <c r="B2689" s="1090">
        <v>28.97</v>
      </c>
      <c r="C2689" s="890">
        <v>28.65</v>
      </c>
      <c r="D2689" s="890">
        <v>27.15</v>
      </c>
      <c r="E2689" s="890">
        <v>28.62</v>
      </c>
      <c r="F2689" s="1082">
        <v>38</v>
      </c>
      <c r="G2689" s="1082">
        <v>18.989999999999998</v>
      </c>
      <c r="H2689" s="1082">
        <v>58.89</v>
      </c>
      <c r="I2689" s="890">
        <v>25.37</v>
      </c>
      <c r="J2689" s="1083">
        <v>19.36</v>
      </c>
    </row>
    <row r="2690" spans="1:10" ht="13.5" thickBot="1">
      <c r="A2690" s="10">
        <v>45287</v>
      </c>
      <c r="B2690" s="1090">
        <v>30.97</v>
      </c>
      <c r="C2690" s="890">
        <v>30.44</v>
      </c>
      <c r="D2690" s="890">
        <v>28.95</v>
      </c>
      <c r="E2690" s="890">
        <v>29.47</v>
      </c>
      <c r="F2690" s="1082">
        <v>37</v>
      </c>
      <c r="G2690" s="1082">
        <v>18.989999999999998</v>
      </c>
      <c r="H2690" s="1082">
        <v>58.89</v>
      </c>
      <c r="I2690" s="890">
        <v>27.22</v>
      </c>
      <c r="J2690" s="1083">
        <v>19.36</v>
      </c>
    </row>
    <row r="2691" spans="1:10" ht="13.5" thickBot="1">
      <c r="A2691" s="1399" t="s">
        <v>729</v>
      </c>
      <c r="B2691" s="1400">
        <f t="shared" ref="B2691:J2691" si="278">AVERAGE(B2687:B2690)</f>
        <v>29.974999999999998</v>
      </c>
      <c r="C2691" s="1400">
        <f t="shared" si="278"/>
        <v>29.549999999999997</v>
      </c>
      <c r="D2691" s="1400">
        <f t="shared" si="278"/>
        <v>28.06</v>
      </c>
      <c r="E2691" s="1400">
        <f t="shared" si="278"/>
        <v>29.2925</v>
      </c>
      <c r="F2691" s="1400">
        <f t="shared" si="278"/>
        <v>37.75</v>
      </c>
      <c r="G2691" s="1400">
        <f t="shared" si="278"/>
        <v>18.989999999999998</v>
      </c>
      <c r="H2691" s="1400">
        <f t="shared" si="278"/>
        <v>58.89</v>
      </c>
      <c r="I2691" s="1400">
        <f t="shared" si="278"/>
        <v>26.05</v>
      </c>
      <c r="J2691" s="1419">
        <f t="shared" si="278"/>
        <v>21.044786922658602</v>
      </c>
    </row>
    <row r="2692" spans="1:10" ht="13.5" thickBot="1">
      <c r="A2692" s="564"/>
      <c r="B2692" s="564"/>
      <c r="C2692" s="564"/>
      <c r="D2692" s="564"/>
      <c r="E2692" s="564"/>
      <c r="F2692" s="564"/>
      <c r="G2692" s="564"/>
      <c r="H2692" s="548"/>
      <c r="I2692" s="564"/>
      <c r="J2692" s="564"/>
    </row>
    <row r="2693" spans="1:10" ht="13.5" thickBot="1">
      <c r="A2693" s="1660" t="s">
        <v>1</v>
      </c>
      <c r="B2693" s="1469" t="s">
        <v>139</v>
      </c>
      <c r="C2693" s="1470" t="s">
        <v>140</v>
      </c>
      <c r="D2693" s="1469" t="s">
        <v>5</v>
      </c>
      <c r="E2693" s="1471" t="s">
        <v>6</v>
      </c>
      <c r="F2693" s="1472" t="s">
        <v>57</v>
      </c>
      <c r="G2693" s="1473" t="s">
        <v>154</v>
      </c>
      <c r="H2693" s="1474" t="s">
        <v>149</v>
      </c>
      <c r="I2693" s="1475" t="s">
        <v>155</v>
      </c>
      <c r="J2693" s="1473" t="s">
        <v>61</v>
      </c>
    </row>
    <row r="2694" spans="1:10" ht="13.5" thickBot="1">
      <c r="A2694" s="1661"/>
      <c r="B2694" s="1476" t="s">
        <v>146</v>
      </c>
      <c r="C2694" s="1477" t="s">
        <v>146</v>
      </c>
      <c r="D2694" s="1477" t="s">
        <v>146</v>
      </c>
      <c r="E2694" s="1477" t="s">
        <v>146</v>
      </c>
      <c r="F2694" s="1478" t="s">
        <v>146</v>
      </c>
      <c r="G2694" s="1479" t="s">
        <v>146</v>
      </c>
      <c r="H2694" s="1479" t="s">
        <v>146</v>
      </c>
      <c r="I2694" s="1479" t="s">
        <v>146</v>
      </c>
      <c r="J2694" s="1479" t="s">
        <v>146</v>
      </c>
    </row>
    <row r="2695" spans="1:10">
      <c r="A2695" s="74">
        <v>45294</v>
      </c>
      <c r="B2695" s="1015">
        <v>30.97</v>
      </c>
      <c r="C2695" s="730">
        <v>30.47</v>
      </c>
      <c r="D2695" s="730">
        <v>28.97</v>
      </c>
      <c r="E2695" s="730">
        <v>29.48</v>
      </c>
      <c r="F2695" s="1082">
        <v>37</v>
      </c>
      <c r="G2695" s="1082">
        <v>18.989999999999998</v>
      </c>
      <c r="H2695" s="1082">
        <v>53</v>
      </c>
      <c r="I2695" s="730">
        <v>27.02</v>
      </c>
      <c r="J2695" s="1083">
        <v>19.36</v>
      </c>
    </row>
    <row r="2696" spans="1:10">
      <c r="A2696" s="10">
        <v>45299</v>
      </c>
      <c r="B2696" s="1090">
        <v>30.97</v>
      </c>
      <c r="C2696" s="890">
        <v>30.47</v>
      </c>
      <c r="D2696" s="890">
        <v>28.97</v>
      </c>
      <c r="E2696" s="890">
        <v>29.48</v>
      </c>
      <c r="F2696" s="1082">
        <v>37</v>
      </c>
      <c r="G2696" s="1082">
        <v>18.989999999999998</v>
      </c>
      <c r="H2696" s="1082">
        <v>53</v>
      </c>
      <c r="I2696" s="890">
        <v>25.71</v>
      </c>
      <c r="J2696" s="1083">
        <v>19.36</v>
      </c>
    </row>
    <row r="2697" spans="1:10">
      <c r="A2697" s="1110">
        <v>45306</v>
      </c>
      <c r="B2697" s="1090">
        <v>30.65</v>
      </c>
      <c r="C2697" s="890">
        <v>30.29</v>
      </c>
      <c r="D2697" s="890">
        <v>28.79</v>
      </c>
      <c r="E2697" s="890">
        <v>28.55</v>
      </c>
      <c r="F2697" s="1082">
        <v>37</v>
      </c>
      <c r="G2697" s="1082">
        <v>18.489999999999998</v>
      </c>
      <c r="H2697" s="1082">
        <v>53</v>
      </c>
      <c r="I2697" s="890">
        <v>25.71</v>
      </c>
      <c r="J2697" s="1083">
        <v>19.36</v>
      </c>
    </row>
    <row r="2698" spans="1:10">
      <c r="A2698" s="10">
        <v>45313</v>
      </c>
      <c r="B2698" s="1090">
        <v>31.53</v>
      </c>
      <c r="C2698" s="890">
        <v>30.88</v>
      </c>
      <c r="D2698" s="890">
        <v>29.39</v>
      </c>
      <c r="E2698" s="890">
        <v>29.11</v>
      </c>
      <c r="F2698" s="1082">
        <v>37</v>
      </c>
      <c r="G2698" s="1082">
        <v>17.989999999999998</v>
      </c>
      <c r="H2698" s="1082">
        <v>53</v>
      </c>
      <c r="I2698" s="890">
        <v>25.71</v>
      </c>
      <c r="J2698" s="1083">
        <v>19.36</v>
      </c>
    </row>
    <row r="2699" spans="1:10" ht="13.5" thickBot="1">
      <c r="A2699" s="10">
        <v>45320</v>
      </c>
      <c r="B2699" s="1090">
        <v>31.47</v>
      </c>
      <c r="C2699" s="890">
        <v>30.97</v>
      </c>
      <c r="D2699" s="890">
        <v>29.48</v>
      </c>
      <c r="E2699" s="890">
        <v>29.19</v>
      </c>
      <c r="F2699" s="1082">
        <v>37</v>
      </c>
      <c r="G2699" s="1082">
        <v>17.989999999999998</v>
      </c>
      <c r="H2699" s="1082">
        <v>53</v>
      </c>
      <c r="I2699" s="890" t="s">
        <v>541</v>
      </c>
      <c r="J2699" s="1083">
        <v>19.36</v>
      </c>
    </row>
    <row r="2700" spans="1:10" ht="13.5" thickBot="1">
      <c r="A2700" s="1480" t="s">
        <v>733</v>
      </c>
      <c r="B2700" s="1481">
        <f t="shared" ref="B2700:J2700" si="279">AVERAGE(B2695:B2699)</f>
        <v>31.118000000000002</v>
      </c>
      <c r="C2700" s="1481">
        <f t="shared" si="279"/>
        <v>30.615999999999996</v>
      </c>
      <c r="D2700" s="1481">
        <f t="shared" si="279"/>
        <v>29.119999999999997</v>
      </c>
      <c r="E2700" s="1481">
        <f t="shared" si="279"/>
        <v>29.161999999999999</v>
      </c>
      <c r="F2700" s="1481">
        <f t="shared" si="279"/>
        <v>37</v>
      </c>
      <c r="G2700" s="1481">
        <f t="shared" si="279"/>
        <v>18.489999999999998</v>
      </c>
      <c r="H2700" s="1481">
        <f t="shared" si="279"/>
        <v>53</v>
      </c>
      <c r="I2700" s="1481">
        <f>AVERAGE(I2695:I2698)</f>
        <v>26.037500000000001</v>
      </c>
      <c r="J2700" s="1482">
        <f t="shared" si="279"/>
        <v>19.36</v>
      </c>
    </row>
    <row r="2701" spans="1:10" ht="13.5" thickBot="1">
      <c r="A2701" s="564"/>
      <c r="B2701" s="564"/>
      <c r="C2701" s="564"/>
      <c r="D2701" s="564"/>
      <c r="E2701" s="564"/>
      <c r="F2701" s="564"/>
      <c r="G2701" s="564"/>
      <c r="H2701" s="548"/>
      <c r="I2701" s="564"/>
      <c r="J2701" s="564"/>
    </row>
    <row r="2702" spans="1:10" ht="13.5" thickBot="1">
      <c r="A2702" s="1660" t="s">
        <v>1</v>
      </c>
      <c r="B2702" s="1469" t="s">
        <v>139</v>
      </c>
      <c r="C2702" s="1470" t="s">
        <v>140</v>
      </c>
      <c r="D2702" s="1469" t="s">
        <v>5</v>
      </c>
      <c r="E2702" s="1471" t="s">
        <v>6</v>
      </c>
      <c r="F2702" s="1472" t="s">
        <v>57</v>
      </c>
      <c r="G2702" s="1473" t="s">
        <v>154</v>
      </c>
      <c r="H2702" s="1474" t="s">
        <v>149</v>
      </c>
      <c r="I2702" s="1475" t="s">
        <v>155</v>
      </c>
      <c r="J2702" s="1473" t="s">
        <v>61</v>
      </c>
    </row>
    <row r="2703" spans="1:10" ht="13.5" thickBot="1">
      <c r="A2703" s="1661"/>
      <c r="B2703" s="1476" t="s">
        <v>146</v>
      </c>
      <c r="C2703" s="1477" t="s">
        <v>146</v>
      </c>
      <c r="D2703" s="1477" t="s">
        <v>146</v>
      </c>
      <c r="E2703" s="1477" t="s">
        <v>146</v>
      </c>
      <c r="F2703" s="1478" t="s">
        <v>146</v>
      </c>
      <c r="G2703" s="1479" t="s">
        <v>146</v>
      </c>
      <c r="H2703" s="1479" t="s">
        <v>146</v>
      </c>
      <c r="I2703" s="1479" t="s">
        <v>146</v>
      </c>
      <c r="J2703" s="1479" t="s">
        <v>146</v>
      </c>
    </row>
    <row r="2704" spans="1:10">
      <c r="A2704" s="74">
        <v>45327</v>
      </c>
      <c r="B2704" s="1015">
        <v>31.96</v>
      </c>
      <c r="C2704" s="730">
        <v>31.47</v>
      </c>
      <c r="D2704" s="730">
        <v>29.96</v>
      </c>
      <c r="E2704" s="730">
        <v>30.44</v>
      </c>
      <c r="F2704" s="1082">
        <v>37</v>
      </c>
      <c r="G2704" s="1082">
        <v>17.989999999999998</v>
      </c>
      <c r="H2704" s="1082">
        <v>53.27</v>
      </c>
      <c r="I2704" s="730">
        <f>(3.61*7.81166)</f>
        <v>28.200092599999998</v>
      </c>
      <c r="J2704" s="1083">
        <v>19.36</v>
      </c>
    </row>
    <row r="2705" spans="1:10">
      <c r="A2705" s="1110">
        <v>45334</v>
      </c>
      <c r="B2705" s="1090">
        <v>31.97</v>
      </c>
      <c r="C2705" s="890">
        <v>31.47</v>
      </c>
      <c r="D2705" s="890">
        <v>29.97</v>
      </c>
      <c r="E2705" s="890">
        <v>30.47</v>
      </c>
      <c r="F2705" s="1082">
        <v>37</v>
      </c>
      <c r="G2705" s="1082">
        <v>17.489999999999998</v>
      </c>
      <c r="H2705" s="1082">
        <v>53.27</v>
      </c>
      <c r="I2705" s="890">
        <f>(3.61*7.80661)</f>
        <v>28.1818621</v>
      </c>
      <c r="J2705" s="1083">
        <v>19.36</v>
      </c>
    </row>
    <row r="2706" spans="1:10">
      <c r="A2706" s="10">
        <v>45341</v>
      </c>
      <c r="B2706" s="1090">
        <v>32.479999999999997</v>
      </c>
      <c r="C2706" s="890">
        <v>31.97</v>
      </c>
      <c r="D2706" s="890">
        <v>30.48</v>
      </c>
      <c r="E2706" s="890">
        <v>30.98</v>
      </c>
      <c r="F2706" s="1082">
        <v>37</v>
      </c>
      <c r="G2706" s="1082">
        <v>17.690000000000001</v>
      </c>
      <c r="H2706" s="1082">
        <v>53.27</v>
      </c>
      <c r="I2706" s="890">
        <f>(3.61*7.8033)</f>
        <v>28.169913000000001</v>
      </c>
      <c r="J2706" s="1083">
        <v>19.36</v>
      </c>
    </row>
    <row r="2707" spans="1:10" ht="13.5" thickBot="1">
      <c r="A2707" s="10">
        <v>45348</v>
      </c>
      <c r="B2707" s="1090">
        <v>32.979999999999997</v>
      </c>
      <c r="C2707" s="890">
        <v>32.450000000000003</v>
      </c>
      <c r="D2707" s="890">
        <v>30.95</v>
      </c>
      <c r="E2707" s="890">
        <v>30.97</v>
      </c>
      <c r="F2707" s="1082">
        <v>37</v>
      </c>
      <c r="G2707" s="1082">
        <v>17.89</v>
      </c>
      <c r="H2707" s="1082">
        <v>53.27</v>
      </c>
      <c r="I2707" s="890">
        <v>28.17</v>
      </c>
      <c r="J2707" s="1083">
        <v>19.36</v>
      </c>
    </row>
    <row r="2708" spans="1:10" ht="13.5" thickBot="1">
      <c r="A2708" s="1480" t="s">
        <v>734</v>
      </c>
      <c r="B2708" s="1481">
        <f t="shared" ref="B2708:J2708" si="280">AVERAGE(B2704:B2707)</f>
        <v>32.347499999999997</v>
      </c>
      <c r="C2708" s="1481">
        <f t="shared" si="280"/>
        <v>31.84</v>
      </c>
      <c r="D2708" s="1481">
        <f t="shared" si="280"/>
        <v>30.34</v>
      </c>
      <c r="E2708" s="1481">
        <f t="shared" si="280"/>
        <v>30.715</v>
      </c>
      <c r="F2708" s="1481">
        <f t="shared" si="280"/>
        <v>37</v>
      </c>
      <c r="G2708" s="1481">
        <f t="shared" si="280"/>
        <v>17.765000000000001</v>
      </c>
      <c r="H2708" s="1481">
        <f t="shared" si="280"/>
        <v>53.27</v>
      </c>
      <c r="I2708" s="1481">
        <f t="shared" si="280"/>
        <v>28.180466925000001</v>
      </c>
      <c r="J2708" s="1482">
        <f t="shared" si="280"/>
        <v>19.36</v>
      </c>
    </row>
    <row r="2709" spans="1:10" ht="13.5" thickBot="1">
      <c r="A2709" s="1484"/>
      <c r="B2709" s="1485"/>
      <c r="C2709" s="1485"/>
      <c r="D2709" s="1485"/>
      <c r="E2709" s="1485"/>
      <c r="F2709" s="1485"/>
      <c r="G2709" s="1485"/>
      <c r="H2709" s="1485"/>
      <c r="I2709" s="1485"/>
      <c r="J2709" s="1485"/>
    </row>
    <row r="2710" spans="1:10" ht="13.5" thickBot="1">
      <c r="A2710" s="1660" t="s">
        <v>1</v>
      </c>
      <c r="B2710" s="1469" t="s">
        <v>139</v>
      </c>
      <c r="C2710" s="1470" t="s">
        <v>140</v>
      </c>
      <c r="D2710" s="1469" t="s">
        <v>5</v>
      </c>
      <c r="E2710" s="1471" t="s">
        <v>6</v>
      </c>
      <c r="F2710" s="1472" t="s">
        <v>57</v>
      </c>
      <c r="G2710" s="1473" t="s">
        <v>154</v>
      </c>
      <c r="H2710" s="1474" t="s">
        <v>149</v>
      </c>
      <c r="I2710" s="1475" t="s">
        <v>155</v>
      </c>
      <c r="J2710" s="1473" t="s">
        <v>61</v>
      </c>
    </row>
    <row r="2711" spans="1:10" ht="13.5" thickBot="1">
      <c r="A2711" s="1661"/>
      <c r="B2711" s="1476" t="s">
        <v>146</v>
      </c>
      <c r="C2711" s="1477" t="s">
        <v>146</v>
      </c>
      <c r="D2711" s="1477" t="s">
        <v>146</v>
      </c>
      <c r="E2711" s="1477" t="s">
        <v>146</v>
      </c>
      <c r="F2711" s="1478" t="s">
        <v>146</v>
      </c>
      <c r="G2711" s="1479" t="s">
        <v>146</v>
      </c>
      <c r="H2711" s="1479" t="s">
        <v>146</v>
      </c>
      <c r="I2711" s="1479" t="s">
        <v>146</v>
      </c>
      <c r="J2711" s="1479" t="s">
        <v>146</v>
      </c>
    </row>
    <row r="2712" spans="1:10">
      <c r="A2712" s="74">
        <v>45355</v>
      </c>
      <c r="B2712" s="1015">
        <v>33.42</v>
      </c>
      <c r="C2712" s="730">
        <v>32.89</v>
      </c>
      <c r="D2712" s="730">
        <v>31.4</v>
      </c>
      <c r="E2712" s="730">
        <v>30.7</v>
      </c>
      <c r="F2712" s="1082">
        <v>37</v>
      </c>
      <c r="G2712" s="1082">
        <v>18.09</v>
      </c>
      <c r="H2712" s="1082">
        <v>55.95</v>
      </c>
      <c r="I2712" s="730">
        <v>29.000091999999999</v>
      </c>
      <c r="J2712" s="1083">
        <v>19.36</v>
      </c>
    </row>
    <row r="2713" spans="1:10">
      <c r="A2713" s="1110">
        <v>45362</v>
      </c>
      <c r="B2713" s="1090">
        <v>33.99</v>
      </c>
      <c r="C2713" s="890">
        <v>33.42</v>
      </c>
      <c r="D2713" s="890">
        <v>31.92</v>
      </c>
      <c r="E2713" s="890">
        <v>30.15</v>
      </c>
      <c r="F2713" s="1082">
        <v>37</v>
      </c>
      <c r="G2713" s="1082">
        <v>18.29</v>
      </c>
      <c r="H2713" s="1082">
        <v>55.95</v>
      </c>
      <c r="I2713" s="890">
        <v>28.98</v>
      </c>
      <c r="J2713" s="1083">
        <v>19.36</v>
      </c>
    </row>
    <row r="2714" spans="1:10">
      <c r="A2714" s="10">
        <v>45369</v>
      </c>
      <c r="B2714" s="1090">
        <v>34.979999999999997</v>
      </c>
      <c r="C2714" s="890">
        <v>34.46</v>
      </c>
      <c r="D2714" s="890">
        <v>32.96</v>
      </c>
      <c r="E2714" s="890">
        <v>29.56</v>
      </c>
      <c r="F2714" s="1082">
        <v>37</v>
      </c>
      <c r="G2714" s="1082">
        <v>18.89</v>
      </c>
      <c r="H2714" s="1082">
        <v>55.95</v>
      </c>
      <c r="I2714" s="890">
        <v>28.97</v>
      </c>
      <c r="J2714" s="1083">
        <v>19.36</v>
      </c>
    </row>
    <row r="2715" spans="1:10" ht="13.5" thickBot="1">
      <c r="A2715" s="10">
        <v>45376</v>
      </c>
      <c r="B2715" s="1090">
        <v>35.479999999999997</v>
      </c>
      <c r="C2715" s="890">
        <v>34.950000000000003</v>
      </c>
      <c r="D2715" s="890">
        <v>33.44</v>
      </c>
      <c r="E2715" s="890">
        <v>29.48</v>
      </c>
      <c r="F2715" s="1082">
        <v>37</v>
      </c>
      <c r="G2715" s="1082">
        <v>19.59</v>
      </c>
      <c r="H2715" s="1082">
        <v>55.95</v>
      </c>
      <c r="I2715" s="890">
        <v>28.94</v>
      </c>
      <c r="J2715" s="1083">
        <v>19.36</v>
      </c>
    </row>
    <row r="2716" spans="1:10" ht="13.5" thickBot="1">
      <c r="A2716" s="1480" t="s">
        <v>735</v>
      </c>
      <c r="B2716" s="1481">
        <f>AVERAGE(B2712:B2715)</f>
        <v>34.467499999999994</v>
      </c>
      <c r="C2716" s="1481">
        <f>AVERAGE(C2712:C2715)</f>
        <v>33.930000000000007</v>
      </c>
      <c r="D2716" s="1481">
        <f t="shared" ref="D2716:J2716" si="281">AVERAGE(D2712:D2715)</f>
        <v>32.43</v>
      </c>
      <c r="E2716" s="1481">
        <f t="shared" si="281"/>
        <v>29.9725</v>
      </c>
      <c r="F2716" s="1481">
        <f t="shared" si="281"/>
        <v>37</v>
      </c>
      <c r="G2716" s="1481">
        <f t="shared" si="281"/>
        <v>18.715</v>
      </c>
      <c r="H2716" s="1481">
        <f t="shared" si="281"/>
        <v>55.95</v>
      </c>
      <c r="I2716" s="1481">
        <f t="shared" si="281"/>
        <v>28.972522999999999</v>
      </c>
      <c r="J2716" s="1481">
        <f t="shared" si="281"/>
        <v>19.36</v>
      </c>
    </row>
    <row r="2717" spans="1:10" ht="13.5" thickBot="1"/>
    <row r="2718" spans="1:10" ht="13.5" thickBot="1">
      <c r="A2718" s="1660" t="s">
        <v>1</v>
      </c>
      <c r="B2718" s="1469" t="s">
        <v>139</v>
      </c>
      <c r="C2718" s="1470" t="s">
        <v>140</v>
      </c>
      <c r="D2718" s="1469" t="s">
        <v>5</v>
      </c>
      <c r="E2718" s="1471" t="s">
        <v>6</v>
      </c>
      <c r="F2718" s="1472" t="s">
        <v>57</v>
      </c>
      <c r="G2718" s="1473" t="s">
        <v>154</v>
      </c>
      <c r="H2718" s="1474" t="s">
        <v>149</v>
      </c>
      <c r="I2718" s="1475" t="s">
        <v>155</v>
      </c>
      <c r="J2718" s="1473" t="s">
        <v>61</v>
      </c>
    </row>
    <row r="2719" spans="1:10" ht="13.5" thickBot="1">
      <c r="A2719" s="1661"/>
      <c r="B2719" s="1476" t="s">
        <v>146</v>
      </c>
      <c r="C2719" s="1477" t="s">
        <v>146</v>
      </c>
      <c r="D2719" s="1477" t="s">
        <v>146</v>
      </c>
      <c r="E2719" s="1477" t="s">
        <v>146</v>
      </c>
      <c r="F2719" s="1478" t="s">
        <v>146</v>
      </c>
      <c r="G2719" s="1479" t="s">
        <v>146</v>
      </c>
      <c r="H2719" s="1479" t="s">
        <v>146</v>
      </c>
      <c r="I2719" s="1479" t="s">
        <v>146</v>
      </c>
      <c r="J2719" s="1479" t="s">
        <v>146</v>
      </c>
    </row>
    <row r="2720" spans="1:10">
      <c r="A2720" s="74">
        <v>45383</v>
      </c>
      <c r="B2720" s="1015">
        <v>35.479999999999997</v>
      </c>
      <c r="C2720" s="730">
        <v>34.979999999999997</v>
      </c>
      <c r="D2720" s="730">
        <v>33.479999999999997</v>
      </c>
      <c r="E2720" s="730">
        <v>29.48</v>
      </c>
      <c r="F2720" s="1082">
        <v>37</v>
      </c>
      <c r="G2720" s="1082">
        <v>17.89</v>
      </c>
      <c r="H2720" s="1082">
        <v>57</v>
      </c>
      <c r="I2720" s="730">
        <v>28.3</v>
      </c>
      <c r="J2720" s="1083">
        <v>19.36</v>
      </c>
    </row>
    <row r="2721" spans="1:10">
      <c r="A2721" s="1110">
        <v>45390</v>
      </c>
      <c r="B2721" s="1090">
        <v>36.18</v>
      </c>
      <c r="C2721" s="890">
        <v>35.64</v>
      </c>
      <c r="D2721" s="890">
        <v>34.14</v>
      </c>
      <c r="E2721" s="890">
        <v>30.21</v>
      </c>
      <c r="F2721" s="1082">
        <v>37</v>
      </c>
      <c r="G2721" s="1082">
        <v>19.59</v>
      </c>
      <c r="H2721" s="1082">
        <v>57</v>
      </c>
      <c r="I2721" s="890">
        <v>28.27</v>
      </c>
      <c r="J2721" s="1083">
        <v>19.36</v>
      </c>
    </row>
    <row r="2722" spans="1:10">
      <c r="A2722" s="10">
        <v>45397</v>
      </c>
      <c r="B2722" s="1090">
        <v>36.18</v>
      </c>
      <c r="C2722" s="890">
        <v>35.68</v>
      </c>
      <c r="D2722" s="890">
        <v>34.18</v>
      </c>
      <c r="E2722" s="890">
        <v>30.17</v>
      </c>
      <c r="F2722" s="1082">
        <v>37</v>
      </c>
      <c r="G2722" s="1082">
        <v>19.29</v>
      </c>
      <c r="H2722" s="1082">
        <v>57</v>
      </c>
      <c r="I2722" s="890">
        <v>28.22</v>
      </c>
      <c r="J2722" s="1083">
        <v>19.36</v>
      </c>
    </row>
    <row r="2723" spans="1:10">
      <c r="A2723" s="10">
        <v>45404</v>
      </c>
      <c r="B2723" s="1090">
        <v>35.520000000000003</v>
      </c>
      <c r="C2723" s="890">
        <v>35.17</v>
      </c>
      <c r="D2723" s="890">
        <v>33.67</v>
      </c>
      <c r="E2723" s="890">
        <v>29.81</v>
      </c>
      <c r="F2723" s="1082">
        <v>37</v>
      </c>
      <c r="G2723" s="1082">
        <v>19.89</v>
      </c>
      <c r="H2723" s="1082">
        <v>57</v>
      </c>
      <c r="I2723" s="890">
        <v>28.22</v>
      </c>
      <c r="J2723" s="1083">
        <v>19.36</v>
      </c>
    </row>
    <row r="2724" spans="1:10" ht="13.5" thickBot="1">
      <c r="A2724" s="10">
        <v>45411</v>
      </c>
      <c r="B2724" s="1090">
        <v>35.04</v>
      </c>
      <c r="C2724" s="890">
        <v>34.51</v>
      </c>
      <c r="D2724" s="890">
        <v>33.06</v>
      </c>
      <c r="E2724" s="890">
        <v>29.24</v>
      </c>
      <c r="F2724" s="1082">
        <v>37</v>
      </c>
      <c r="G2724" s="1082">
        <v>20.190000000000001</v>
      </c>
      <c r="H2724" s="1082">
        <v>57</v>
      </c>
      <c r="I2724" s="890">
        <v>28.22</v>
      </c>
      <c r="J2724" s="1083">
        <v>19.36</v>
      </c>
    </row>
    <row r="2725" spans="1:10" ht="13.5" thickBot="1">
      <c r="A2725" s="1480" t="s">
        <v>736</v>
      </c>
      <c r="B2725" s="1481">
        <f>AVERAGE(B2720:B2724)</f>
        <v>35.68</v>
      </c>
      <c r="C2725" s="1481">
        <f t="shared" ref="C2725:J2725" si="282">AVERAGE(C2720:C2724)</f>
        <v>35.196000000000005</v>
      </c>
      <c r="D2725" s="1481">
        <f t="shared" si="282"/>
        <v>33.706000000000003</v>
      </c>
      <c r="E2725" s="1481">
        <f t="shared" si="282"/>
        <v>29.782</v>
      </c>
      <c r="F2725" s="1481">
        <f t="shared" si="282"/>
        <v>37</v>
      </c>
      <c r="G2725" s="1481">
        <f t="shared" si="282"/>
        <v>19.369999999999997</v>
      </c>
      <c r="H2725" s="1481">
        <f t="shared" si="282"/>
        <v>57</v>
      </c>
      <c r="I2725" s="1481">
        <f t="shared" si="282"/>
        <v>28.245999999999999</v>
      </c>
      <c r="J2725" s="1481">
        <f t="shared" si="282"/>
        <v>19.36</v>
      </c>
    </row>
    <row r="2726" spans="1:10" ht="13.5" thickBot="1"/>
    <row r="2727" spans="1:10" ht="13.5" thickBot="1">
      <c r="A2727" s="1660" t="s">
        <v>1</v>
      </c>
      <c r="B2727" s="1469" t="s">
        <v>139</v>
      </c>
      <c r="C2727" s="1470" t="s">
        <v>140</v>
      </c>
      <c r="D2727" s="1469" t="s">
        <v>5</v>
      </c>
      <c r="E2727" s="1471" t="s">
        <v>6</v>
      </c>
      <c r="F2727" s="1472" t="s">
        <v>57</v>
      </c>
      <c r="G2727" s="1473" t="s">
        <v>154</v>
      </c>
      <c r="H2727" s="1474" t="s">
        <v>149</v>
      </c>
      <c r="I2727" s="1475" t="s">
        <v>155</v>
      </c>
      <c r="J2727" s="1473" t="s">
        <v>61</v>
      </c>
    </row>
    <row r="2728" spans="1:10" ht="13.5" thickBot="1">
      <c r="A2728" s="1661"/>
      <c r="B2728" s="1476" t="s">
        <v>146</v>
      </c>
      <c r="C2728" s="1477" t="s">
        <v>146</v>
      </c>
      <c r="D2728" s="1477" t="s">
        <v>146</v>
      </c>
      <c r="E2728" s="1477" t="s">
        <v>146</v>
      </c>
      <c r="F2728" s="1478" t="s">
        <v>146</v>
      </c>
      <c r="G2728" s="1479" t="s">
        <v>146</v>
      </c>
      <c r="H2728" s="1479" t="s">
        <v>146</v>
      </c>
      <c r="I2728" s="1479" t="s">
        <v>146</v>
      </c>
      <c r="J2728" s="1479" t="s">
        <v>146</v>
      </c>
    </row>
    <row r="2729" spans="1:10">
      <c r="A2729" s="74">
        <v>45418</v>
      </c>
      <c r="B2729" s="1015">
        <v>34.51</v>
      </c>
      <c r="C2729" s="730">
        <v>34.17</v>
      </c>
      <c r="D2729" s="730">
        <v>32.67</v>
      </c>
      <c r="E2729" s="730">
        <v>28.86</v>
      </c>
      <c r="F2729" s="1082">
        <v>37</v>
      </c>
      <c r="G2729" s="1082">
        <v>21.69</v>
      </c>
      <c r="H2729" s="1082">
        <v>58.03</v>
      </c>
      <c r="I2729" s="730">
        <v>28.25</v>
      </c>
      <c r="J2729" s="1083">
        <v>19.36</v>
      </c>
    </row>
    <row r="2730" spans="1:10">
      <c r="A2730" s="1110">
        <v>45425</v>
      </c>
      <c r="B2730" s="1090">
        <v>34.01</v>
      </c>
      <c r="C2730" s="890">
        <v>33.61</v>
      </c>
      <c r="D2730" s="890">
        <v>32.11</v>
      </c>
      <c r="E2730" s="890">
        <v>28.3</v>
      </c>
      <c r="F2730" s="1082">
        <v>37</v>
      </c>
      <c r="G2730" s="1082">
        <v>21.69</v>
      </c>
      <c r="H2730" s="1082">
        <v>58.03</v>
      </c>
      <c r="I2730" s="890">
        <v>28.24</v>
      </c>
      <c r="J2730" s="1083">
        <v>19.36</v>
      </c>
    </row>
    <row r="2731" spans="1:10">
      <c r="A2731" s="10">
        <v>45432</v>
      </c>
      <c r="B2731" s="1090">
        <v>33.4</v>
      </c>
      <c r="C2731" s="890">
        <v>33.01</v>
      </c>
      <c r="D2731" s="890">
        <v>31.51</v>
      </c>
      <c r="E2731" s="890">
        <v>27.88</v>
      </c>
      <c r="F2731" s="1082">
        <v>37</v>
      </c>
      <c r="G2731" s="1082">
        <v>21.69</v>
      </c>
      <c r="H2731" s="1082">
        <v>58.03</v>
      </c>
      <c r="I2731" s="890">
        <v>28.23</v>
      </c>
      <c r="J2731" s="1083">
        <v>19.36</v>
      </c>
    </row>
    <row r="2732" spans="1:10" ht="13.5" thickBot="1">
      <c r="A2732" s="10">
        <v>45439</v>
      </c>
      <c r="B2732" s="1090">
        <v>33.380000000000003</v>
      </c>
      <c r="C2732" s="890">
        <v>32.880000000000003</v>
      </c>
      <c r="D2732" s="890">
        <v>31.37</v>
      </c>
      <c r="E2732" s="890">
        <v>27.63</v>
      </c>
      <c r="F2732" s="1082">
        <v>37</v>
      </c>
      <c r="G2732" s="1082">
        <v>21.69</v>
      </c>
      <c r="H2732" s="1082">
        <v>58.03</v>
      </c>
      <c r="I2732" s="890">
        <v>28.25</v>
      </c>
      <c r="J2732" s="1083">
        <v>18.52</v>
      </c>
    </row>
    <row r="2733" spans="1:10" ht="13.5" thickBot="1">
      <c r="A2733" s="1480" t="s">
        <v>737</v>
      </c>
      <c r="B2733" s="1481">
        <f t="shared" ref="B2733:J2733" si="283">AVERAGE(B2729:B2732)</f>
        <v>33.824999999999996</v>
      </c>
      <c r="C2733" s="1481">
        <f t="shared" si="283"/>
        <v>33.417499999999997</v>
      </c>
      <c r="D2733" s="1481">
        <f t="shared" si="283"/>
        <v>31.915000000000003</v>
      </c>
      <c r="E2733" s="1481">
        <f t="shared" si="283"/>
        <v>28.167499999999997</v>
      </c>
      <c r="F2733" s="1481">
        <f t="shared" si="283"/>
        <v>37</v>
      </c>
      <c r="G2733" s="1481">
        <f t="shared" si="283"/>
        <v>21.69</v>
      </c>
      <c r="H2733" s="1481">
        <f t="shared" si="283"/>
        <v>58.03</v>
      </c>
      <c r="I2733" s="1481">
        <f t="shared" si="283"/>
        <v>28.2425</v>
      </c>
      <c r="J2733" s="1481">
        <f t="shared" si="283"/>
        <v>19.149999999999999</v>
      </c>
    </row>
    <row r="2735" spans="1:10" ht="13.5" thickBot="1"/>
    <row r="2736" spans="1:10" ht="13.5" thickBot="1">
      <c r="A2736" s="1660" t="s">
        <v>1</v>
      </c>
      <c r="B2736" s="1469" t="s">
        <v>139</v>
      </c>
      <c r="C2736" s="1470" t="s">
        <v>140</v>
      </c>
      <c r="D2736" s="1469" t="s">
        <v>5</v>
      </c>
      <c r="E2736" s="1471" t="s">
        <v>6</v>
      </c>
      <c r="F2736" s="1472" t="s">
        <v>57</v>
      </c>
      <c r="G2736" s="1473" t="s">
        <v>154</v>
      </c>
      <c r="H2736" s="1474" t="s">
        <v>149</v>
      </c>
      <c r="I2736" s="1475" t="s">
        <v>155</v>
      </c>
      <c r="J2736" s="1473" t="s">
        <v>61</v>
      </c>
    </row>
    <row r="2737" spans="1:10" ht="13.5" thickBot="1">
      <c r="A2737" s="1661"/>
      <c r="B2737" s="1476" t="s">
        <v>146</v>
      </c>
      <c r="C2737" s="1477" t="s">
        <v>146</v>
      </c>
      <c r="D2737" s="1477" t="s">
        <v>146</v>
      </c>
      <c r="E2737" s="1477" t="s">
        <v>146</v>
      </c>
      <c r="F2737" s="1478" t="s">
        <v>146</v>
      </c>
      <c r="G2737" s="1479" t="s">
        <v>146</v>
      </c>
      <c r="H2737" s="1479" t="s">
        <v>146</v>
      </c>
      <c r="I2737" s="1479" t="s">
        <v>146</v>
      </c>
      <c r="J2737" s="1479" t="s">
        <v>146</v>
      </c>
    </row>
    <row r="2738" spans="1:10">
      <c r="A2738" s="74">
        <v>45446</v>
      </c>
      <c r="B2738" s="1015">
        <v>32.950000000000003</v>
      </c>
      <c r="C2738" s="730">
        <v>32.51</v>
      </c>
      <c r="D2738" s="730">
        <v>31.01</v>
      </c>
      <c r="E2738" s="730">
        <v>27.31</v>
      </c>
      <c r="F2738" s="1082">
        <v>37</v>
      </c>
      <c r="G2738" s="1082">
        <v>21.69</v>
      </c>
      <c r="H2738" s="1082">
        <v>58.03</v>
      </c>
      <c r="I2738" s="730">
        <v>26.49</v>
      </c>
      <c r="J2738" s="1083">
        <v>18.52</v>
      </c>
    </row>
    <row r="2739" spans="1:10">
      <c r="A2739" s="1110">
        <v>45453</v>
      </c>
      <c r="B2739" s="1090">
        <v>32.880000000000003</v>
      </c>
      <c r="C2739" s="890">
        <v>32.380000000000003</v>
      </c>
      <c r="D2739" s="890">
        <v>30.88</v>
      </c>
      <c r="E2739" s="890">
        <v>27.18</v>
      </c>
      <c r="F2739" s="1082">
        <v>37</v>
      </c>
      <c r="G2739" s="1082">
        <v>21.19</v>
      </c>
      <c r="H2739" s="1082">
        <v>58.03</v>
      </c>
      <c r="I2739" s="890">
        <v>26.65</v>
      </c>
      <c r="J2739" s="1083">
        <v>18.52</v>
      </c>
    </row>
    <row r="2740" spans="1:10">
      <c r="A2740" s="10">
        <v>45460</v>
      </c>
      <c r="B2740" s="1090">
        <v>32.880000000000003</v>
      </c>
      <c r="C2740" s="890">
        <v>32.380000000000003</v>
      </c>
      <c r="D2740" s="890">
        <v>30.88</v>
      </c>
      <c r="E2740" s="890">
        <v>27.56</v>
      </c>
      <c r="F2740" s="1082">
        <v>37</v>
      </c>
      <c r="G2740" s="1082">
        <v>20.190000000000001</v>
      </c>
      <c r="H2740" s="1082">
        <v>58.03</v>
      </c>
      <c r="I2740" s="890">
        <v>26.47</v>
      </c>
      <c r="J2740" s="1083">
        <v>18.52</v>
      </c>
    </row>
    <row r="2741" spans="1:10" ht="13.5" thickBot="1">
      <c r="A2741" s="10">
        <v>45467</v>
      </c>
      <c r="B2741" s="1090">
        <v>32.9</v>
      </c>
      <c r="C2741" s="890">
        <v>32.4</v>
      </c>
      <c r="D2741" s="890">
        <v>30.91</v>
      </c>
      <c r="E2741" s="890">
        <v>27.68</v>
      </c>
      <c r="F2741" s="1082">
        <v>37</v>
      </c>
      <c r="G2741" s="1082">
        <v>19.190000000000001</v>
      </c>
      <c r="H2741" s="1082">
        <v>58.03</v>
      </c>
      <c r="I2741" s="890">
        <v>26.47</v>
      </c>
      <c r="J2741" s="1083">
        <v>18.52</v>
      </c>
    </row>
    <row r="2742" spans="1:10" ht="13.5" thickBot="1">
      <c r="A2742" s="1480" t="s">
        <v>738</v>
      </c>
      <c r="B2742" s="1481">
        <f t="shared" ref="B2742:J2742" si="284">AVERAGE(B2738:B2741)</f>
        <v>32.902500000000003</v>
      </c>
      <c r="C2742" s="1481">
        <f t="shared" si="284"/>
        <v>32.417500000000004</v>
      </c>
      <c r="D2742" s="1481">
        <f t="shared" si="284"/>
        <v>30.919999999999998</v>
      </c>
      <c r="E2742" s="1481">
        <f t="shared" si="284"/>
        <v>27.432499999999997</v>
      </c>
      <c r="F2742" s="1481">
        <f t="shared" si="284"/>
        <v>37</v>
      </c>
      <c r="G2742" s="1481">
        <f t="shared" si="284"/>
        <v>20.565000000000001</v>
      </c>
      <c r="H2742" s="1481">
        <f t="shared" si="284"/>
        <v>58.03</v>
      </c>
      <c r="I2742" s="1481">
        <f t="shared" si="284"/>
        <v>26.52</v>
      </c>
      <c r="J2742" s="1481">
        <f t="shared" si="284"/>
        <v>18.52</v>
      </c>
    </row>
    <row r="2744" spans="1:10" ht="13.5" thickBot="1"/>
    <row r="2745" spans="1:10" ht="13.5" thickBot="1">
      <c r="A2745" s="1660" t="s">
        <v>1</v>
      </c>
      <c r="B2745" s="1469" t="s">
        <v>139</v>
      </c>
      <c r="C2745" s="1470" t="s">
        <v>140</v>
      </c>
      <c r="D2745" s="1469" t="s">
        <v>5</v>
      </c>
      <c r="E2745" s="1471" t="s">
        <v>6</v>
      </c>
      <c r="F2745" s="1472" t="s">
        <v>57</v>
      </c>
      <c r="G2745" s="1473" t="s">
        <v>154</v>
      </c>
      <c r="H2745" s="1474" t="s">
        <v>149</v>
      </c>
      <c r="I2745" s="1475" t="s">
        <v>155</v>
      </c>
      <c r="J2745" s="1473" t="s">
        <v>61</v>
      </c>
    </row>
    <row r="2746" spans="1:10" ht="13.5" thickBot="1">
      <c r="A2746" s="1661"/>
      <c r="B2746" s="1476" t="s">
        <v>146</v>
      </c>
      <c r="C2746" s="1477" t="s">
        <v>146</v>
      </c>
      <c r="D2746" s="1477" t="s">
        <v>146</v>
      </c>
      <c r="E2746" s="1477" t="s">
        <v>146</v>
      </c>
      <c r="F2746" s="1478" t="s">
        <v>146</v>
      </c>
      <c r="G2746" s="1479" t="s">
        <v>146</v>
      </c>
      <c r="H2746" s="1479" t="s">
        <v>146</v>
      </c>
      <c r="I2746" s="1479" t="s">
        <v>146</v>
      </c>
      <c r="J2746" s="1479" t="s">
        <v>146</v>
      </c>
    </row>
    <row r="2747" spans="1:10">
      <c r="A2747" s="74">
        <v>45476</v>
      </c>
      <c r="B2747" s="1015">
        <v>33.18</v>
      </c>
      <c r="C2747" s="730">
        <v>32.67</v>
      </c>
      <c r="D2747" s="730">
        <v>31.17</v>
      </c>
      <c r="E2747" s="730">
        <v>28.53</v>
      </c>
      <c r="F2747" s="1082">
        <v>37</v>
      </c>
      <c r="G2747" s="1082">
        <v>19.190000000000001</v>
      </c>
      <c r="H2747" s="1082">
        <v>56.96</v>
      </c>
      <c r="I2747" s="730">
        <v>26.65</v>
      </c>
      <c r="J2747" s="1083">
        <v>18.52</v>
      </c>
    </row>
    <row r="2748" spans="1:10">
      <c r="A2748" s="10">
        <v>45481</v>
      </c>
      <c r="B2748" s="1090">
        <v>33.17</v>
      </c>
      <c r="C2748" s="890">
        <v>32.68</v>
      </c>
      <c r="D2748" s="890">
        <v>31.17</v>
      </c>
      <c r="E2748" s="890">
        <v>28.16</v>
      </c>
      <c r="F2748" s="1082">
        <v>37</v>
      </c>
      <c r="G2748" s="1082">
        <v>19.190000000000001</v>
      </c>
      <c r="H2748" s="1082">
        <v>56.96</v>
      </c>
      <c r="I2748" s="890">
        <v>26.63</v>
      </c>
      <c r="J2748" s="1083">
        <v>18.52</v>
      </c>
    </row>
    <row r="2749" spans="1:10">
      <c r="A2749" s="1110">
        <v>45488</v>
      </c>
      <c r="B2749" s="1090">
        <v>33.78</v>
      </c>
      <c r="C2749" s="890">
        <v>33.229999999999997</v>
      </c>
      <c r="D2749" s="890">
        <v>31.73</v>
      </c>
      <c r="E2749" s="890">
        <v>28.55</v>
      </c>
      <c r="F2749" s="1082">
        <v>37</v>
      </c>
      <c r="G2749" s="1082">
        <v>19.190000000000001</v>
      </c>
      <c r="H2749" s="1082">
        <v>56.96</v>
      </c>
      <c r="I2749" s="890">
        <v>26.61</v>
      </c>
      <c r="J2749" s="1083">
        <v>18.52</v>
      </c>
    </row>
    <row r="2750" spans="1:10">
      <c r="A2750" s="10">
        <v>45495</v>
      </c>
      <c r="B2750" s="1090">
        <v>33.25</v>
      </c>
      <c r="C2750" s="890">
        <v>32.79</v>
      </c>
      <c r="D2750" s="890">
        <v>31.29</v>
      </c>
      <c r="E2750" s="890">
        <v>28.09</v>
      </c>
      <c r="F2750" s="1082">
        <v>37</v>
      </c>
      <c r="G2750" s="1082">
        <v>19.190000000000001</v>
      </c>
      <c r="H2750" s="1082">
        <v>56.96</v>
      </c>
      <c r="I2750" s="890">
        <v>26.6</v>
      </c>
      <c r="J2750" s="1083">
        <v>18.52</v>
      </c>
    </row>
    <row r="2751" spans="1:10" ht="13.5" thickBot="1">
      <c r="A2751" s="10">
        <v>45502</v>
      </c>
      <c r="B2751" s="1090">
        <v>33.1</v>
      </c>
      <c r="C2751" s="890">
        <v>32.630000000000003</v>
      </c>
      <c r="D2751" s="890">
        <v>31.13</v>
      </c>
      <c r="E2751" s="890">
        <v>27.93</v>
      </c>
      <c r="F2751" s="1082">
        <v>37</v>
      </c>
      <c r="G2751" s="1082">
        <v>19.190000000000001</v>
      </c>
      <c r="H2751" s="1082">
        <v>56.96</v>
      </c>
      <c r="I2751" s="890">
        <v>26.6</v>
      </c>
      <c r="J2751" s="1083">
        <v>18.52</v>
      </c>
    </row>
    <row r="2752" spans="1:10" ht="13.5" thickBot="1">
      <c r="A2752" s="1480" t="s">
        <v>739</v>
      </c>
      <c r="B2752" s="1481">
        <f t="shared" ref="B2752:J2752" si="285">AVERAGE(B2747:B2751)</f>
        <v>33.295999999999999</v>
      </c>
      <c r="C2752" s="1481">
        <f t="shared" si="285"/>
        <v>32.799999999999997</v>
      </c>
      <c r="D2752" s="1481">
        <f t="shared" si="285"/>
        <v>31.298000000000002</v>
      </c>
      <c r="E2752" s="1481">
        <f t="shared" si="285"/>
        <v>28.251999999999999</v>
      </c>
      <c r="F2752" s="1481">
        <f t="shared" si="285"/>
        <v>37</v>
      </c>
      <c r="G2752" s="1481">
        <f t="shared" si="285"/>
        <v>19.190000000000001</v>
      </c>
      <c r="H2752" s="1481">
        <f t="shared" si="285"/>
        <v>56.96</v>
      </c>
      <c r="I2752" s="1481">
        <f t="shared" si="285"/>
        <v>26.618000000000002</v>
      </c>
      <c r="J2752" s="1481">
        <f t="shared" si="285"/>
        <v>18.52</v>
      </c>
    </row>
    <row r="2753" spans="1:10" ht="13.5" thickBot="1"/>
    <row r="2754" spans="1:10" ht="13.5" thickBot="1">
      <c r="A2754" s="1660" t="s">
        <v>1</v>
      </c>
      <c r="B2754" s="1469" t="s">
        <v>139</v>
      </c>
      <c r="C2754" s="1470" t="s">
        <v>140</v>
      </c>
      <c r="D2754" s="1469" t="s">
        <v>5</v>
      </c>
      <c r="E2754" s="1471" t="s">
        <v>6</v>
      </c>
      <c r="F2754" s="1472" t="s">
        <v>57</v>
      </c>
      <c r="G2754" s="1473" t="s">
        <v>154</v>
      </c>
      <c r="H2754" s="1474" t="s">
        <v>149</v>
      </c>
      <c r="I2754" s="1475" t="s">
        <v>155</v>
      </c>
      <c r="J2754" s="1473" t="s">
        <v>61</v>
      </c>
    </row>
    <row r="2755" spans="1:10" ht="13.5" thickBot="1">
      <c r="A2755" s="1661"/>
      <c r="B2755" s="1476" t="s">
        <v>146</v>
      </c>
      <c r="C2755" s="1477" t="s">
        <v>146</v>
      </c>
      <c r="D2755" s="1477" t="s">
        <v>146</v>
      </c>
      <c r="E2755" s="1477" t="s">
        <v>146</v>
      </c>
      <c r="F2755" s="1478" t="s">
        <v>146</v>
      </c>
      <c r="G2755" s="1479" t="s">
        <v>146</v>
      </c>
      <c r="H2755" s="1479" t="s">
        <v>146</v>
      </c>
      <c r="I2755" s="1479" t="s">
        <v>146</v>
      </c>
      <c r="J2755" s="1479" t="s">
        <v>146</v>
      </c>
    </row>
    <row r="2756" spans="1:10">
      <c r="A2756" s="74">
        <v>45509</v>
      </c>
      <c r="B2756" s="1015">
        <v>33.01</v>
      </c>
      <c r="C2756" s="730">
        <v>32.65</v>
      </c>
      <c r="D2756" s="730">
        <v>31.14</v>
      </c>
      <c r="E2756" s="730">
        <v>27.8</v>
      </c>
      <c r="F2756" s="1082">
        <v>37</v>
      </c>
      <c r="G2756" s="1082">
        <v>19.190000000000001</v>
      </c>
      <c r="H2756" s="1082">
        <v>56.94</v>
      </c>
      <c r="I2756" s="730">
        <v>26.73</v>
      </c>
      <c r="J2756" s="1083">
        <v>18.52</v>
      </c>
    </row>
    <row r="2757" spans="1:10">
      <c r="A2757" s="1110">
        <v>45516</v>
      </c>
      <c r="B2757" s="1090">
        <v>33.49</v>
      </c>
      <c r="C2757" s="890">
        <v>32.9</v>
      </c>
      <c r="D2757" s="890">
        <v>31.41</v>
      </c>
      <c r="E2757" s="890">
        <v>27.34</v>
      </c>
      <c r="F2757" s="1082">
        <v>37</v>
      </c>
      <c r="G2757" s="1082">
        <v>18.690000000000001</v>
      </c>
      <c r="H2757" s="1082">
        <v>56.94</v>
      </c>
      <c r="I2757" s="890">
        <v>26.71</v>
      </c>
      <c r="J2757" s="1083">
        <v>18.52</v>
      </c>
    </row>
    <row r="2758" spans="1:10">
      <c r="A2758" s="10">
        <v>45523</v>
      </c>
      <c r="B2758" s="1090">
        <v>33.450000000000003</v>
      </c>
      <c r="C2758" s="890">
        <v>32.96</v>
      </c>
      <c r="D2758" s="890">
        <v>31.46</v>
      </c>
      <c r="E2758" s="890">
        <v>27.31</v>
      </c>
      <c r="F2758" s="1082">
        <v>37</v>
      </c>
      <c r="G2758" s="1082">
        <v>18.690000000000001</v>
      </c>
      <c r="H2758" s="1082">
        <v>56.94</v>
      </c>
      <c r="I2758" s="890">
        <v>26.7</v>
      </c>
      <c r="J2758" s="1083">
        <v>18.52</v>
      </c>
    </row>
    <row r="2759" spans="1:10" ht="13.5" thickBot="1">
      <c r="A2759" s="10">
        <v>45530</v>
      </c>
      <c r="B2759" s="1090">
        <v>32.74</v>
      </c>
      <c r="C2759" s="890">
        <v>32.28</v>
      </c>
      <c r="D2759" s="890">
        <v>30.78</v>
      </c>
      <c r="E2759" s="890">
        <v>27.24</v>
      </c>
      <c r="F2759" s="1082">
        <v>37</v>
      </c>
      <c r="G2759" s="1082">
        <v>18.190000000000001</v>
      </c>
      <c r="H2759" s="1082">
        <v>56.94</v>
      </c>
      <c r="I2759" s="890">
        <v>26.69</v>
      </c>
      <c r="J2759" s="1083">
        <v>18.52</v>
      </c>
    </row>
    <row r="2760" spans="1:10" ht="13.5" thickBot="1">
      <c r="A2760" s="1480" t="s">
        <v>738</v>
      </c>
      <c r="B2760" s="1481">
        <f t="shared" ref="B2760:J2760" si="286">AVERAGE(B2756:B2759)</f>
        <v>33.172499999999999</v>
      </c>
      <c r="C2760" s="1481">
        <f t="shared" si="286"/>
        <v>32.697499999999998</v>
      </c>
      <c r="D2760" s="1481">
        <f t="shared" si="286"/>
        <v>31.197499999999998</v>
      </c>
      <c r="E2760" s="1481">
        <f t="shared" si="286"/>
        <v>27.422499999999999</v>
      </c>
      <c r="F2760" s="1481">
        <f t="shared" si="286"/>
        <v>37</v>
      </c>
      <c r="G2760" s="1481">
        <f t="shared" si="286"/>
        <v>18.690000000000001</v>
      </c>
      <c r="H2760" s="1481">
        <f t="shared" si="286"/>
        <v>56.94</v>
      </c>
      <c r="I2760" s="1481">
        <f t="shared" si="286"/>
        <v>26.7075</v>
      </c>
      <c r="J2760" s="1481">
        <f t="shared" si="286"/>
        <v>18.52</v>
      </c>
    </row>
    <row r="2762" spans="1:10" ht="13.5" thickBot="1"/>
    <row r="2763" spans="1:10" ht="13.5" thickBot="1">
      <c r="A2763" s="1660" t="s">
        <v>1</v>
      </c>
      <c r="B2763" s="1469" t="s">
        <v>139</v>
      </c>
      <c r="C2763" s="1470" t="s">
        <v>140</v>
      </c>
      <c r="D2763" s="1469" t="s">
        <v>5</v>
      </c>
      <c r="E2763" s="1471" t="s">
        <v>6</v>
      </c>
      <c r="F2763" s="1472" t="s">
        <v>57</v>
      </c>
      <c r="G2763" s="1473" t="s">
        <v>154</v>
      </c>
      <c r="H2763" s="1474" t="s">
        <v>149</v>
      </c>
      <c r="I2763" s="1475" t="s">
        <v>155</v>
      </c>
      <c r="J2763" s="1473" t="s">
        <v>61</v>
      </c>
    </row>
    <row r="2764" spans="1:10" ht="13.5" thickBot="1">
      <c r="A2764" s="1661"/>
      <c r="B2764" s="1476" t="s">
        <v>146</v>
      </c>
      <c r="C2764" s="1477" t="s">
        <v>146</v>
      </c>
      <c r="D2764" s="1477" t="s">
        <v>146</v>
      </c>
      <c r="E2764" s="1477" t="s">
        <v>146</v>
      </c>
      <c r="F2764" s="1478" t="s">
        <v>146</v>
      </c>
      <c r="G2764" s="1479" t="s">
        <v>146</v>
      </c>
      <c r="H2764" s="1479" t="s">
        <v>146</v>
      </c>
      <c r="I2764" s="1479" t="s">
        <v>146</v>
      </c>
      <c r="J2764" s="1479" t="s">
        <v>146</v>
      </c>
    </row>
    <row r="2765" spans="1:10">
      <c r="A2765" s="74">
        <v>45537</v>
      </c>
      <c r="B2765" s="1015"/>
      <c r="C2765" s="730"/>
      <c r="D2765" s="730"/>
      <c r="E2765" s="730"/>
      <c r="F2765" s="1082">
        <v>37</v>
      </c>
      <c r="G2765" s="1082"/>
      <c r="H2765" s="1082"/>
      <c r="I2765" s="730"/>
      <c r="J2765" s="1083">
        <v>18.52</v>
      </c>
    </row>
    <row r="2766" spans="1:10">
      <c r="A2766" s="1110">
        <v>45544</v>
      </c>
      <c r="B2766" s="1090"/>
      <c r="C2766" s="890"/>
      <c r="D2766" s="890"/>
      <c r="E2766" s="890"/>
      <c r="F2766" s="1082">
        <v>37</v>
      </c>
      <c r="G2766" s="1082"/>
      <c r="H2766" s="1082"/>
      <c r="I2766" s="890"/>
      <c r="J2766" s="1083">
        <v>18.52</v>
      </c>
    </row>
    <row r="2767" spans="1:10">
      <c r="A2767" s="10">
        <v>45551</v>
      </c>
      <c r="B2767" s="1090"/>
      <c r="C2767" s="890"/>
      <c r="D2767" s="890"/>
      <c r="E2767" s="890"/>
      <c r="F2767" s="1082">
        <v>37</v>
      </c>
      <c r="G2767" s="1082"/>
      <c r="H2767" s="1082"/>
      <c r="I2767" s="890"/>
      <c r="J2767" s="1083">
        <v>18.52</v>
      </c>
    </row>
    <row r="2768" spans="1:10">
      <c r="A2768" s="10">
        <v>45558</v>
      </c>
      <c r="B2768" s="1090"/>
      <c r="C2768" s="890"/>
      <c r="D2768" s="890"/>
      <c r="E2768" s="890"/>
      <c r="F2768" s="1082">
        <v>37</v>
      </c>
      <c r="G2768" s="1082"/>
      <c r="H2768" s="1082"/>
      <c r="I2768" s="890"/>
      <c r="J2768" s="1083">
        <v>18.52</v>
      </c>
    </row>
    <row r="2769" spans="1:33" ht="13.5" thickBot="1">
      <c r="A2769" s="103">
        <v>45565</v>
      </c>
      <c r="B2769" s="1084"/>
      <c r="C2769" s="721"/>
      <c r="D2769" s="721"/>
      <c r="E2769" s="721"/>
      <c r="F2769" s="1085">
        <v>37</v>
      </c>
      <c r="G2769" s="1085">
        <v>17.690000000000001</v>
      </c>
      <c r="H2769" s="1085"/>
      <c r="I2769" s="721"/>
      <c r="J2769" s="1487">
        <v>18.52</v>
      </c>
    </row>
    <row r="2770" spans="1:33" ht="13.5" thickBot="1">
      <c r="A2770" s="1480" t="s">
        <v>738</v>
      </c>
      <c r="B2770" s="1481" t="e">
        <f t="shared" ref="B2770:F2770" si="287">AVERAGE(B2765:B2769)</f>
        <v>#DIV/0!</v>
      </c>
      <c r="C2770" s="1481" t="e">
        <f t="shared" si="287"/>
        <v>#DIV/0!</v>
      </c>
      <c r="D2770" s="1481" t="e">
        <f t="shared" si="287"/>
        <v>#DIV/0!</v>
      </c>
      <c r="E2770" s="1481" t="e">
        <f t="shared" si="287"/>
        <v>#DIV/0!</v>
      </c>
      <c r="F2770" s="1481">
        <f t="shared" si="287"/>
        <v>37</v>
      </c>
      <c r="G2770" s="1481">
        <f>AVERAGE(G2765:G2769)</f>
        <v>17.690000000000001</v>
      </c>
      <c r="H2770" s="1481" t="e">
        <f t="shared" ref="H2770:J2770" si="288">AVERAGE(H2765:H2769)</f>
        <v>#DIV/0!</v>
      </c>
      <c r="I2770" s="1481" t="e">
        <f t="shared" si="288"/>
        <v>#DIV/0!</v>
      </c>
      <c r="J2770" s="1481">
        <f t="shared" si="288"/>
        <v>18.52</v>
      </c>
    </row>
    <row r="2771" spans="1:33" ht="13.5" thickBot="1"/>
    <row r="2772" spans="1:33" ht="13.5" thickBot="1">
      <c r="A2772" s="1660" t="s">
        <v>1</v>
      </c>
      <c r="B2772" s="1469" t="s">
        <v>139</v>
      </c>
      <c r="C2772" s="1470" t="s">
        <v>140</v>
      </c>
      <c r="D2772" s="1469" t="s">
        <v>5</v>
      </c>
      <c r="E2772" s="1471" t="s">
        <v>6</v>
      </c>
      <c r="F2772" s="1472" t="s">
        <v>57</v>
      </c>
      <c r="G2772" s="1473" t="s">
        <v>154</v>
      </c>
      <c r="H2772" s="1474" t="s">
        <v>149</v>
      </c>
      <c r="I2772" s="1475" t="s">
        <v>155</v>
      </c>
      <c r="J2772" s="1473" t="s">
        <v>61</v>
      </c>
      <c r="O2772" s="564">
        <v>3.0171000000000001</v>
      </c>
      <c r="P2772" s="564">
        <v>7.7264600000000003</v>
      </c>
    </row>
    <row r="2773" spans="1:33" ht="13.5" thickBot="1">
      <c r="A2773" s="1661"/>
      <c r="B2773" s="1476" t="s">
        <v>146</v>
      </c>
      <c r="C2773" s="1477" t="s">
        <v>146</v>
      </c>
      <c r="D2773" s="1477" t="s">
        <v>146</v>
      </c>
      <c r="E2773" s="1477" t="s">
        <v>146</v>
      </c>
      <c r="F2773" s="1478" t="s">
        <v>146</v>
      </c>
      <c r="G2773" s="1479" t="s">
        <v>146</v>
      </c>
      <c r="H2773" s="1479" t="s">
        <v>146</v>
      </c>
      <c r="I2773" s="1479" t="s">
        <v>146</v>
      </c>
      <c r="J2773" s="1479" t="s">
        <v>146</v>
      </c>
      <c r="O2773" s="564">
        <v>3.0171000000000001</v>
      </c>
      <c r="P2773" s="564">
        <v>7.7253299999999996</v>
      </c>
    </row>
    <row r="2774" spans="1:33" ht="13.5" thickBot="1">
      <c r="A2774" s="74">
        <v>45572</v>
      </c>
      <c r="B2774" s="1015"/>
      <c r="C2774" s="730"/>
      <c r="D2774" s="730"/>
      <c r="E2774" s="730"/>
      <c r="F2774" s="1082">
        <v>37</v>
      </c>
      <c r="G2774" s="1082">
        <v>18.690000000000001</v>
      </c>
      <c r="H2774" s="1082"/>
      <c r="I2774" s="730">
        <f>(O2772*P2772)</f>
        <v>23.311502466</v>
      </c>
      <c r="J2774" s="1083">
        <v>18.52</v>
      </c>
      <c r="O2774" s="564">
        <v>3.0171000000000001</v>
      </c>
      <c r="P2774" s="564">
        <v>7.7253600000000002</v>
      </c>
    </row>
    <row r="2775" spans="1:33" ht="13.5" thickBot="1">
      <c r="A2775" s="1110">
        <v>45579</v>
      </c>
      <c r="B2775" s="1090"/>
      <c r="C2775" s="890"/>
      <c r="D2775" s="890"/>
      <c r="E2775" s="890"/>
      <c r="F2775" s="1082">
        <v>37</v>
      </c>
      <c r="G2775" s="1082">
        <v>19.690000000000001</v>
      </c>
      <c r="H2775" s="1082"/>
      <c r="I2775" s="730">
        <f t="shared" ref="I2775:I2777" si="289">(O2773*P2773)</f>
        <v>23.308093143000001</v>
      </c>
      <c r="J2775" s="1083">
        <v>18.52</v>
      </c>
      <c r="O2775" s="564">
        <v>3.0171000000000001</v>
      </c>
      <c r="P2775" s="564">
        <v>7.7241400000000002</v>
      </c>
    </row>
    <row r="2776" spans="1:33" ht="13.5" thickBot="1">
      <c r="A2776" s="10">
        <v>45586</v>
      </c>
      <c r="B2776" s="1090"/>
      <c r="C2776" s="890"/>
      <c r="D2776" s="890"/>
      <c r="E2776" s="890"/>
      <c r="F2776" s="1082">
        <v>37</v>
      </c>
      <c r="G2776" s="1082">
        <v>18.690000000000001</v>
      </c>
      <c r="H2776" s="1082">
        <v>57.13</v>
      </c>
      <c r="I2776" s="730">
        <f t="shared" si="289"/>
        <v>23.308183656000001</v>
      </c>
      <c r="J2776" s="1083">
        <v>18.52</v>
      </c>
    </row>
    <row r="2777" spans="1:33" ht="13.5" thickBot="1">
      <c r="A2777" s="10">
        <v>45593</v>
      </c>
      <c r="B2777" s="1090"/>
      <c r="C2777" s="890"/>
      <c r="D2777" s="890"/>
      <c r="E2777" s="890"/>
      <c r="F2777" s="1082">
        <v>37</v>
      </c>
      <c r="G2777" s="1082">
        <v>18.989999999999998</v>
      </c>
      <c r="H2777" s="1082"/>
      <c r="I2777" s="730">
        <f t="shared" si="289"/>
        <v>23.304502794000001</v>
      </c>
      <c r="J2777" s="1083">
        <v>18.52</v>
      </c>
    </row>
    <row r="2778" spans="1:33" customFormat="1" ht="13.5" thickBot="1">
      <c r="A2778" s="1480" t="s">
        <v>738</v>
      </c>
      <c r="B2778" s="1481" t="e">
        <f>AVERAGE(B2774:B2777)</f>
        <v>#DIV/0!</v>
      </c>
      <c r="C2778" s="1481" t="e">
        <f>AVERAGE(C2774:C2777)</f>
        <v>#DIV/0!</v>
      </c>
      <c r="D2778" s="1481" t="e">
        <f>AVERAGE(D2774:D2777)</f>
        <v>#DIV/0!</v>
      </c>
      <c r="E2778" s="1481" t="e">
        <f>AVERAGE(E2774:E2777)</f>
        <v>#DIV/0!</v>
      </c>
      <c r="F2778" s="1481">
        <f>AVERAGE(F2774:F2777)</f>
        <v>37</v>
      </c>
      <c r="G2778" s="1481">
        <f>AVERAGE(G2774:G2777)</f>
        <v>19.015000000000001</v>
      </c>
      <c r="H2778" s="1481">
        <f>AVERAGE(H2774:H2777)</f>
        <v>57.13</v>
      </c>
      <c r="I2778" s="1481">
        <f>AVERAGE(I2774:I2777)</f>
        <v>23.30807051475</v>
      </c>
      <c r="J2778" s="1481">
        <f>AVERAGE(J2774:J2777)</f>
        <v>18.52</v>
      </c>
      <c r="K2778" s="564"/>
      <c r="N2778" s="564"/>
      <c r="O2778" s="564"/>
      <c r="P2778" s="564"/>
      <c r="Q2778" s="564"/>
      <c r="R2778" s="564"/>
      <c r="S2778" s="564"/>
      <c r="T2778" s="564"/>
      <c r="U2778" s="564"/>
      <c r="V2778" s="564"/>
      <c r="W2778" s="564"/>
      <c r="X2778" s="564"/>
      <c r="Y2778" s="564"/>
      <c r="Z2778" s="564"/>
      <c r="AA2778" s="564"/>
      <c r="AB2778" s="564"/>
      <c r="AC2778" s="564"/>
      <c r="AD2778" s="564"/>
      <c r="AE2778" s="564"/>
      <c r="AF2778" s="564"/>
      <c r="AG2778" s="564"/>
    </row>
    <row r="2779" spans="1:33" customFormat="1">
      <c r="H2779" s="75"/>
      <c r="K2779" s="564"/>
      <c r="N2779" s="564"/>
      <c r="O2779" s="564"/>
      <c r="P2779" s="564"/>
      <c r="Q2779" s="564"/>
      <c r="R2779" s="564"/>
      <c r="S2779" s="564"/>
      <c r="T2779" s="564"/>
      <c r="U2779" s="564"/>
      <c r="V2779" s="564"/>
      <c r="W2779" s="564"/>
      <c r="X2779" s="564"/>
      <c r="Y2779" s="564"/>
      <c r="Z2779" s="564"/>
      <c r="AA2779" s="564"/>
      <c r="AB2779" s="564"/>
      <c r="AC2779" s="564"/>
      <c r="AD2779" s="564"/>
      <c r="AE2779" s="564"/>
      <c r="AF2779" s="564"/>
      <c r="AG2779" s="564"/>
    </row>
  </sheetData>
  <mergeCells count="255">
    <mergeCell ref="A2772:A2773"/>
    <mergeCell ref="A2763:A2764"/>
    <mergeCell ref="A2238:A2239"/>
    <mergeCell ref="A2120:A2121"/>
    <mergeCell ref="A1776:A1777"/>
    <mergeCell ref="A2221:A2222"/>
    <mergeCell ref="A2212:A2213"/>
    <mergeCell ref="A2203:A2204"/>
    <mergeCell ref="A2195:A2196"/>
    <mergeCell ref="A2170:A2171"/>
    <mergeCell ref="A2162:A2163"/>
    <mergeCell ref="A2136:A2137"/>
    <mergeCell ref="A1953:A1954"/>
    <mergeCell ref="A2112:A2113"/>
    <mergeCell ref="A2103:A2104"/>
    <mergeCell ref="A2078:A2079"/>
    <mergeCell ref="A2062:A2063"/>
    <mergeCell ref="A2070:A2071"/>
    <mergeCell ref="A2028:A2029"/>
    <mergeCell ref="A2012:A2013"/>
    <mergeCell ref="A1995:A1996"/>
    <mergeCell ref="A1987:A1988"/>
    <mergeCell ref="A2095:A2096"/>
    <mergeCell ref="A2087:A2088"/>
    <mergeCell ref="A2053:A2054"/>
    <mergeCell ref="A2045:A2046"/>
    <mergeCell ref="A2036:A2037"/>
    <mergeCell ref="A2020:A2021"/>
    <mergeCell ref="A1676:A1677"/>
    <mergeCell ref="A2128:A2129"/>
    <mergeCell ref="A2145:A2146"/>
    <mergeCell ref="A2153:A2154"/>
    <mergeCell ref="A1759:A1760"/>
    <mergeCell ref="A1895:A1896"/>
    <mergeCell ref="A2003:A2004"/>
    <mergeCell ref="A1886:A1887"/>
    <mergeCell ref="A1878:A1879"/>
    <mergeCell ref="A1870:A1871"/>
    <mergeCell ref="A1920:A1921"/>
    <mergeCell ref="A1928:A1929"/>
    <mergeCell ref="A1936:A1937"/>
    <mergeCell ref="A1970:A1971"/>
    <mergeCell ref="A1961:A1962"/>
    <mergeCell ref="A1831:A1832"/>
    <mergeCell ref="A1840:A1841"/>
    <mergeCell ref="A1803:A1804"/>
    <mergeCell ref="A1860:A1861"/>
    <mergeCell ref="A1850:A1851"/>
    <mergeCell ref="A1784:A1785"/>
    <mergeCell ref="A1978:A1979"/>
    <mergeCell ref="A1945:A1946"/>
    <mergeCell ref="A1903:A1904"/>
    <mergeCell ref="A1911:A1912"/>
    <mergeCell ref="A1526:A1527"/>
    <mergeCell ref="A1551:A1552"/>
    <mergeCell ref="A1567:A1568"/>
    <mergeCell ref="A1634:A1635"/>
    <mergeCell ref="A1617:A1618"/>
    <mergeCell ref="A1626:A1627"/>
    <mergeCell ref="A1751:A1752"/>
    <mergeCell ref="A1642:A1643"/>
    <mergeCell ref="A1659:A1660"/>
    <mergeCell ref="A1651:A1652"/>
    <mergeCell ref="A1734:A1735"/>
    <mergeCell ref="A1742:A1743"/>
    <mergeCell ref="A1726:A1727"/>
    <mergeCell ref="A1701:A1702"/>
    <mergeCell ref="A1718:A1719"/>
    <mergeCell ref="A1822:A1823"/>
    <mergeCell ref="A1794:A1795"/>
    <mergeCell ref="A1768:A1769"/>
    <mergeCell ref="A1684:A1685"/>
    <mergeCell ref="A1812:A1813"/>
    <mergeCell ref="A743:A744"/>
    <mergeCell ref="A810:A811"/>
    <mergeCell ref="A760:A761"/>
    <mergeCell ref="A1709:A1710"/>
    <mergeCell ref="A1693:A1694"/>
    <mergeCell ref="A1601:A1602"/>
    <mergeCell ref="A1584:A1585"/>
    <mergeCell ref="A1576:A1577"/>
    <mergeCell ref="A1559:A1560"/>
    <mergeCell ref="A1609:A1610"/>
    <mergeCell ref="A1375:A1376"/>
    <mergeCell ref="A1409:A1410"/>
    <mergeCell ref="A1668:A1669"/>
    <mergeCell ref="A1450:A1451"/>
    <mergeCell ref="A1592:A1593"/>
    <mergeCell ref="A1542:A1543"/>
    <mergeCell ref="A1384:A1385"/>
    <mergeCell ref="A1401:A1402"/>
    <mergeCell ref="A751:A752"/>
    <mergeCell ref="A1166:A1167"/>
    <mergeCell ref="A1132:A1133"/>
    <mergeCell ref="A1140:A1141"/>
    <mergeCell ref="A835:A836"/>
    <mergeCell ref="A768:A769"/>
    <mergeCell ref="A289:F289"/>
    <mergeCell ref="A290:F290"/>
    <mergeCell ref="A291:F291"/>
    <mergeCell ref="A372:F372"/>
    <mergeCell ref="A374:F374"/>
    <mergeCell ref="A735:A736"/>
    <mergeCell ref="A709:A710"/>
    <mergeCell ref="A726:A727"/>
    <mergeCell ref="A693:A694"/>
    <mergeCell ref="A701:A702"/>
    <mergeCell ref="A373:F373"/>
    <mergeCell ref="A682:A683"/>
    <mergeCell ref="A718:A719"/>
    <mergeCell ref="A1299:A1300"/>
    <mergeCell ref="A860:A861"/>
    <mergeCell ref="A776:A777"/>
    <mergeCell ref="A793:A794"/>
    <mergeCell ref="A802:A803"/>
    <mergeCell ref="A818:A819"/>
    <mergeCell ref="A1018:A1019"/>
    <mergeCell ref="A968:A969"/>
    <mergeCell ref="A977:A978"/>
    <mergeCell ref="A868:A869"/>
    <mergeCell ref="A877:A878"/>
    <mergeCell ref="A893:A894"/>
    <mergeCell ref="A902:A903"/>
    <mergeCell ref="A960:A961"/>
    <mergeCell ref="A910:A911"/>
    <mergeCell ref="A943:A944"/>
    <mergeCell ref="A952:A953"/>
    <mergeCell ref="A935:A936"/>
    <mergeCell ref="A918:A919"/>
    <mergeCell ref="A926:A927"/>
    <mergeCell ref="A851:A852"/>
    <mergeCell ref="A785:A786"/>
    <mergeCell ref="A826:A827"/>
    <mergeCell ref="A885:A886"/>
    <mergeCell ref="A1026:A1027"/>
    <mergeCell ref="A1107:A1108"/>
    <mergeCell ref="A1085:A1086"/>
    <mergeCell ref="A1101:A1102"/>
    <mergeCell ref="A1093:A1094"/>
    <mergeCell ref="A1216:A1217"/>
    <mergeCell ref="A1224:A1225"/>
    <mergeCell ref="A1232:A1233"/>
    <mergeCell ref="A1266:A1267"/>
    <mergeCell ref="A1258:A1259"/>
    <mergeCell ref="A1249:A1250"/>
    <mergeCell ref="A1060:A1061"/>
    <mergeCell ref="A1240:A1241"/>
    <mergeCell ref="A843:A844"/>
    <mergeCell ref="A1467:A1468"/>
    <mergeCell ref="A1484:A1485"/>
    <mergeCell ref="A1517:A1518"/>
    <mergeCell ref="A1509:A1510"/>
    <mergeCell ref="A1534:A1535"/>
    <mergeCell ref="A1501:A1502"/>
    <mergeCell ref="A1476:A1477"/>
    <mergeCell ref="A1492:A1493"/>
    <mergeCell ref="A1434:A1435"/>
    <mergeCell ref="A1425:A1426"/>
    <mergeCell ref="A1349:A1350"/>
    <mergeCell ref="A1392:A1393"/>
    <mergeCell ref="A1366:A1367"/>
    <mergeCell ref="A1358:A1359"/>
    <mergeCell ref="A1341:A1342"/>
    <mergeCell ref="A1333:A1334"/>
    <mergeCell ref="A1324:A1325"/>
    <mergeCell ref="A1417:A1418"/>
    <mergeCell ref="A1316:A1317"/>
    <mergeCell ref="A1068:A1069"/>
    <mergeCell ref="A1191:A1192"/>
    <mergeCell ref="A1307:A1308"/>
    <mergeCell ref="A1283:A1284"/>
    <mergeCell ref="A2246:A2247"/>
    <mergeCell ref="A985:A986"/>
    <mergeCell ref="A1010:A1011"/>
    <mergeCell ref="A1002:A1003"/>
    <mergeCell ref="A1077:A1078"/>
    <mergeCell ref="A1043:A1044"/>
    <mergeCell ref="A1116:A1117"/>
    <mergeCell ref="A1124:A1125"/>
    <mergeCell ref="A1174:A1175"/>
    <mergeCell ref="A1207:A1208"/>
    <mergeCell ref="A1182:A1183"/>
    <mergeCell ref="A1199:A1200"/>
    <mergeCell ref="A1035:A1036"/>
    <mergeCell ref="A993:A994"/>
    <mergeCell ref="A1157:A1158"/>
    <mergeCell ref="A1149:A1150"/>
    <mergeCell ref="A1051:A1052"/>
    <mergeCell ref="A2229:A2230"/>
    <mergeCell ref="A2187:A2188"/>
    <mergeCell ref="A2178:A2179"/>
    <mergeCell ref="A1459:A1460"/>
    <mergeCell ref="A1442:A1443"/>
    <mergeCell ref="A1274:A1275"/>
    <mergeCell ref="A1291:A1292"/>
    <mergeCell ref="A2280:A2281"/>
    <mergeCell ref="A2480:A2481"/>
    <mergeCell ref="A2609:A2610"/>
    <mergeCell ref="A2430:A2431"/>
    <mergeCell ref="A2405:A2406"/>
    <mergeCell ref="A2397:A2398"/>
    <mergeCell ref="A2388:A2389"/>
    <mergeCell ref="A2254:A2255"/>
    <mergeCell ref="A2271:A2272"/>
    <mergeCell ref="A2263:A2264"/>
    <mergeCell ref="A2288:A2289"/>
    <mergeCell ref="A2305:A2306"/>
    <mergeCell ref="A2313:A2314"/>
    <mergeCell ref="A2321:A2322"/>
    <mergeCell ref="A2330:A2331"/>
    <mergeCell ref="A2296:A2297"/>
    <mergeCell ref="A2472:A2473"/>
    <mergeCell ref="A2463:A2464"/>
    <mergeCell ref="A2413:A2414"/>
    <mergeCell ref="A2380:A2381"/>
    <mergeCell ref="A2455:A2456"/>
    <mergeCell ref="A2438:A2439"/>
    <mergeCell ref="A2558:A2559"/>
    <mergeCell ref="A2549:A2550"/>
    <mergeCell ref="A2532:A2533"/>
    <mergeCell ref="A2540:A2541"/>
    <mergeCell ref="A2447:A2448"/>
    <mergeCell ref="A2338:A2339"/>
    <mergeCell ref="A2346:A2347"/>
    <mergeCell ref="A2355:A2356"/>
    <mergeCell ref="A2372:A2373"/>
    <mergeCell ref="A2363:A2364"/>
    <mergeCell ref="A2421:A2422"/>
    <mergeCell ref="A2497:A2498"/>
    <mergeCell ref="A2488:A2489"/>
    <mergeCell ref="A2523:A2524"/>
    <mergeCell ref="A2514:A2515"/>
    <mergeCell ref="A2505:A2506"/>
    <mergeCell ref="A2736:A2737"/>
    <mergeCell ref="A2745:A2746"/>
    <mergeCell ref="A2754:A2755"/>
    <mergeCell ref="A2618:A2619"/>
    <mergeCell ref="A2591:A2592"/>
    <mergeCell ref="A2583:A2584"/>
    <mergeCell ref="A2566:A2567"/>
    <mergeCell ref="A2574:A2575"/>
    <mergeCell ref="A2600:A2601"/>
    <mergeCell ref="A2693:A2694"/>
    <mergeCell ref="A2702:A2703"/>
    <mergeCell ref="A2710:A2711"/>
    <mergeCell ref="A2727:A2728"/>
    <mergeCell ref="A2718:A2719"/>
    <mergeCell ref="A2685:A2686"/>
    <mergeCell ref="A2635:A2636"/>
    <mergeCell ref="A2626:A2627"/>
    <mergeCell ref="A2668:A2669"/>
    <mergeCell ref="A2660:A2661"/>
    <mergeCell ref="A2643:A2644"/>
    <mergeCell ref="A2652:A2653"/>
    <mergeCell ref="A2677:A2678"/>
  </mergeCells>
  <phoneticPr fontId="5" type="noConversion"/>
  <printOptions horizontalCentered="1" verticalCentered="1"/>
  <pageMargins left="0.39370078740157483" right="0.39370078740157483" top="0.39370078740157483" bottom="0.39370078740157483" header="0.27559055118110237" footer="0"/>
  <pageSetup scale="10" orientation="portrait" horizontalDpi="300" verticalDpi="300" r:id="rId1"/>
  <headerFooter alignWithMargins="0"/>
  <rowBreaks count="3" manualBreakCount="3">
    <brk id="1926" max="16383" man="1"/>
    <brk id="2312" max="16383" man="1"/>
    <brk id="2328" max="16383" man="1"/>
  </rowBreaks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4"/>
  <dimension ref="A1:P467"/>
  <sheetViews>
    <sheetView tabSelected="1" view="pageBreakPreview" zoomScale="160" zoomScaleSheetLayoutView="160" workbookViewId="0">
      <selection activeCell="G19" sqref="G19"/>
    </sheetView>
  </sheetViews>
  <sheetFormatPr baseColWidth="10" defaultColWidth="11.42578125" defaultRowHeight="12.75"/>
  <cols>
    <col min="1" max="1" width="17.42578125" customWidth="1"/>
    <col min="2" max="2" width="16" customWidth="1"/>
    <col min="3" max="3" width="12.28515625" bestFit="1" customWidth="1"/>
    <col min="4" max="4" width="10.28515625" bestFit="1" customWidth="1"/>
    <col min="5" max="7" width="9.7109375" bestFit="1" customWidth="1"/>
  </cols>
  <sheetData>
    <row r="1" spans="2:7" ht="15">
      <c r="B1" s="1149" t="s">
        <v>53</v>
      </c>
      <c r="C1" s="1150"/>
      <c r="D1" s="1150"/>
      <c r="E1" s="1150"/>
      <c r="F1" s="1150"/>
      <c r="G1" s="1150"/>
    </row>
    <row r="2" spans="2:7" ht="15">
      <c r="B2" s="1149" t="s">
        <v>54</v>
      </c>
      <c r="C2" s="1150"/>
      <c r="D2" s="1150"/>
      <c r="E2" s="1150"/>
      <c r="F2" s="1150"/>
      <c r="G2" s="1150"/>
    </row>
    <row r="3" spans="2:7" ht="15">
      <c r="B3" s="1149" t="s">
        <v>55</v>
      </c>
      <c r="C3" s="1150"/>
      <c r="D3" s="1150"/>
      <c r="E3" s="1150"/>
      <c r="F3" s="1150"/>
      <c r="G3" s="1150"/>
    </row>
    <row r="4" spans="2:7" ht="15">
      <c r="B4" s="1150"/>
      <c r="C4" s="1150"/>
      <c r="D4" s="1150"/>
      <c r="E4" s="1150"/>
      <c r="F4" s="1150"/>
      <c r="G4" s="1150"/>
    </row>
    <row r="5" spans="2:7" ht="15">
      <c r="B5" s="1704" t="s">
        <v>39</v>
      </c>
      <c r="C5" s="1704"/>
      <c r="D5" s="1704"/>
      <c r="E5" s="1704"/>
      <c r="F5" s="1704"/>
      <c r="G5" s="1704"/>
    </row>
    <row r="6" spans="2:7" ht="15">
      <c r="B6" s="1704" t="s">
        <v>40</v>
      </c>
      <c r="C6" s="1704"/>
      <c r="D6" s="1704"/>
      <c r="E6" s="1704"/>
      <c r="F6" s="1704"/>
      <c r="G6" s="1704"/>
    </row>
    <row r="7" spans="2:7" ht="13.5">
      <c r="B7" s="1703" t="s">
        <v>731</v>
      </c>
      <c r="C7" s="1159" t="s">
        <v>57</v>
      </c>
      <c r="D7" s="1159" t="s">
        <v>58</v>
      </c>
      <c r="E7" s="1159" t="s">
        <v>59</v>
      </c>
      <c r="F7" s="1159" t="s">
        <v>60</v>
      </c>
      <c r="G7" s="1159" t="s">
        <v>61</v>
      </c>
    </row>
    <row r="8" spans="2:7" ht="13.5">
      <c r="B8" s="1703"/>
      <c r="C8" s="1159" t="s">
        <v>62</v>
      </c>
      <c r="D8" s="1159" t="s">
        <v>62</v>
      </c>
      <c r="E8" s="1159" t="s">
        <v>62</v>
      </c>
      <c r="F8" s="1159" t="s">
        <v>62</v>
      </c>
      <c r="G8" s="1159" t="s">
        <v>62</v>
      </c>
    </row>
    <row r="9" spans="2:7" ht="15">
      <c r="B9" s="1167" t="s">
        <v>41</v>
      </c>
      <c r="C9" s="1151">
        <v>37</v>
      </c>
      <c r="D9" s="1151">
        <v>18.489999999999998</v>
      </c>
      <c r="E9" s="1151">
        <v>53</v>
      </c>
      <c r="F9" s="1151">
        <v>26.037500000000001</v>
      </c>
      <c r="G9" s="1151">
        <v>19.36</v>
      </c>
    </row>
    <row r="10" spans="2:7" ht="15">
      <c r="B10" s="1168" t="s">
        <v>42</v>
      </c>
      <c r="C10" s="1166">
        <v>37</v>
      </c>
      <c r="D10" s="1166">
        <v>17.765000000000001</v>
      </c>
      <c r="E10" s="1166">
        <v>53.27</v>
      </c>
      <c r="F10" s="1166">
        <v>28.180466925000001</v>
      </c>
      <c r="G10" s="1166">
        <v>19.36</v>
      </c>
    </row>
    <row r="11" spans="2:7" ht="15">
      <c r="B11" s="1169" t="s">
        <v>43</v>
      </c>
      <c r="C11" s="1151">
        <v>37</v>
      </c>
      <c r="D11" s="1151">
        <v>18.715</v>
      </c>
      <c r="E11" s="1151">
        <v>55.95</v>
      </c>
      <c r="F11" s="1151">
        <v>28.972522999999999</v>
      </c>
      <c r="G11" s="1151">
        <v>19.36</v>
      </c>
    </row>
    <row r="12" spans="2:7" ht="15">
      <c r="B12" s="1168" t="s">
        <v>44</v>
      </c>
      <c r="C12" s="1166">
        <v>37</v>
      </c>
      <c r="D12" s="1166">
        <v>19.369999999999997</v>
      </c>
      <c r="E12" s="1166">
        <v>57</v>
      </c>
      <c r="F12" s="1166">
        <v>28.245999999999999</v>
      </c>
      <c r="G12" s="1166">
        <v>19.36</v>
      </c>
    </row>
    <row r="13" spans="2:7" ht="15">
      <c r="B13" s="1169" t="s">
        <v>45</v>
      </c>
      <c r="C13" s="1151">
        <v>37</v>
      </c>
      <c r="D13" s="1151">
        <v>21.69</v>
      </c>
      <c r="E13" s="1151">
        <v>58.03</v>
      </c>
      <c r="F13" s="1151">
        <v>28.2425</v>
      </c>
      <c r="G13" s="1151">
        <v>19.36</v>
      </c>
    </row>
    <row r="14" spans="2:7" ht="15">
      <c r="B14" s="1168" t="s">
        <v>46</v>
      </c>
      <c r="C14" s="1166">
        <v>37</v>
      </c>
      <c r="D14" s="1166">
        <v>20.565000000000001</v>
      </c>
      <c r="E14" s="1166">
        <v>58.03</v>
      </c>
      <c r="F14" s="1166">
        <v>26.52</v>
      </c>
      <c r="G14" s="1166">
        <v>18.52</v>
      </c>
    </row>
    <row r="15" spans="2:7" ht="15">
      <c r="B15" s="1169" t="s">
        <v>47</v>
      </c>
      <c r="C15" s="1151">
        <v>37</v>
      </c>
      <c r="D15" s="1151">
        <v>19.190000000000001</v>
      </c>
      <c r="E15" s="1151">
        <v>56.96</v>
      </c>
      <c r="F15" s="1151">
        <v>26.618000000000002</v>
      </c>
      <c r="G15" s="1151">
        <v>18.52</v>
      </c>
    </row>
    <row r="16" spans="2:7" ht="15">
      <c r="B16" s="1168" t="s">
        <v>48</v>
      </c>
      <c r="C16" s="1166">
        <v>37</v>
      </c>
      <c r="D16" s="1166">
        <v>18.690000000000001</v>
      </c>
      <c r="E16" s="1166">
        <v>56.94</v>
      </c>
      <c r="F16" s="1166">
        <v>26.71</v>
      </c>
      <c r="G16" s="1166">
        <v>18.52</v>
      </c>
    </row>
    <row r="17" spans="2:10" ht="15">
      <c r="B17" s="1169" t="s">
        <v>49</v>
      </c>
      <c r="C17" s="1151">
        <v>37</v>
      </c>
      <c r="D17" s="1151">
        <v>17.39</v>
      </c>
      <c r="E17" s="1151">
        <v>55.99</v>
      </c>
      <c r="F17" s="1151">
        <v>24.74</v>
      </c>
      <c r="G17" s="1151">
        <v>18.52</v>
      </c>
    </row>
    <row r="18" spans="2:10" ht="15">
      <c r="B18" s="1168" t="s">
        <v>50</v>
      </c>
      <c r="C18" s="1166">
        <v>37</v>
      </c>
      <c r="D18" s="1166">
        <v>19.02</v>
      </c>
      <c r="E18" s="1166">
        <v>57.13</v>
      </c>
      <c r="F18" s="1166">
        <v>23.31</v>
      </c>
      <c r="G18" s="1166">
        <v>18.52</v>
      </c>
      <c r="J18">
        <v>3.0171000000000001</v>
      </c>
    </row>
    <row r="19" spans="2:10" ht="15">
      <c r="B19" s="1169" t="s">
        <v>51</v>
      </c>
      <c r="C19" s="1151"/>
      <c r="D19" s="1151"/>
      <c r="E19" s="1151"/>
      <c r="F19" s="1151"/>
      <c r="G19" s="1151"/>
    </row>
    <row r="20" spans="2:10" ht="15">
      <c r="B20" s="1168" t="s">
        <v>52</v>
      </c>
      <c r="C20" s="1166"/>
      <c r="D20" s="1166"/>
      <c r="E20" s="1166"/>
      <c r="F20" s="1166"/>
      <c r="G20" s="1166"/>
    </row>
    <row r="21" spans="2:10" ht="18">
      <c r="B21" s="1152" t="s">
        <v>7</v>
      </c>
      <c r="C21" s="1160">
        <f>AVERAGE(C9:C20)</f>
        <v>37</v>
      </c>
      <c r="D21" s="1160">
        <f>AVERAGE(D9:D20)</f>
        <v>19.088500000000003</v>
      </c>
      <c r="E21" s="1160">
        <f>AVERAGE(E9:E20)</f>
        <v>56.23</v>
      </c>
      <c r="F21" s="1160">
        <f>AVERAGE(F9:F20)</f>
        <v>26.757698992500003</v>
      </c>
      <c r="G21" s="1160">
        <f>AVERAGE(G9:G20)</f>
        <v>18.940000000000005</v>
      </c>
    </row>
    <row r="22" spans="2:10" ht="15">
      <c r="B22" s="1153" t="s">
        <v>666</v>
      </c>
      <c r="C22" s="1154"/>
      <c r="D22" s="1155"/>
      <c r="E22" s="1155"/>
      <c r="F22" s="1155"/>
      <c r="G22" s="1155"/>
    </row>
    <row r="23" spans="2:10" ht="15">
      <c r="B23" s="1153" t="s">
        <v>620</v>
      </c>
      <c r="C23" s="1156"/>
      <c r="D23" s="1157"/>
      <c r="E23" s="1157"/>
      <c r="F23" s="1157"/>
      <c r="G23" s="1157"/>
    </row>
    <row r="24" spans="2:10" ht="15">
      <c r="B24" s="1158" t="s">
        <v>542</v>
      </c>
      <c r="C24" s="1156"/>
      <c r="D24" s="1157"/>
      <c r="E24" s="1157"/>
      <c r="F24" s="1157"/>
      <c r="G24" s="1157"/>
    </row>
    <row r="25" spans="2:10" ht="15">
      <c r="B25" s="1149" t="s">
        <v>53</v>
      </c>
      <c r="C25" s="1150"/>
      <c r="D25" s="1150"/>
      <c r="E25" s="1150"/>
      <c r="F25" s="1150"/>
      <c r="G25" s="1150"/>
    </row>
    <row r="26" spans="2:10" ht="15">
      <c r="B26" s="1149" t="s">
        <v>54</v>
      </c>
      <c r="C26" s="1150"/>
      <c r="D26" s="1150"/>
      <c r="E26" s="1150"/>
      <c r="F26" s="1150"/>
      <c r="G26" s="1150"/>
    </row>
    <row r="27" spans="2:10" ht="15">
      <c r="B27" s="1149" t="s">
        <v>55</v>
      </c>
      <c r="C27" s="1150"/>
      <c r="D27" s="1150"/>
      <c r="E27" s="1150"/>
      <c r="F27" s="1150"/>
      <c r="G27" s="1150"/>
    </row>
    <row r="28" spans="2:10" ht="15">
      <c r="B28" s="1150"/>
      <c r="C28" s="1150"/>
      <c r="D28" s="1150"/>
      <c r="E28" s="1150"/>
      <c r="F28" s="1150"/>
      <c r="G28" s="1150"/>
    </row>
    <row r="29" spans="2:10" ht="15">
      <c r="B29" s="1704" t="s">
        <v>39</v>
      </c>
      <c r="C29" s="1704"/>
      <c r="D29" s="1704"/>
      <c r="E29" s="1704"/>
      <c r="F29" s="1704"/>
      <c r="G29" s="1704"/>
    </row>
    <row r="30" spans="2:10" ht="15">
      <c r="B30" s="1704" t="s">
        <v>40</v>
      </c>
      <c r="C30" s="1704"/>
      <c r="D30" s="1704"/>
      <c r="E30" s="1704"/>
      <c r="F30" s="1704"/>
      <c r="G30" s="1704"/>
    </row>
    <row r="31" spans="2:10" ht="13.5">
      <c r="B31" s="1703" t="s">
        <v>713</v>
      </c>
      <c r="C31" s="1159" t="s">
        <v>57</v>
      </c>
      <c r="D31" s="1159" t="s">
        <v>58</v>
      </c>
      <c r="E31" s="1159" t="s">
        <v>59</v>
      </c>
      <c r="F31" s="1159" t="s">
        <v>60</v>
      </c>
      <c r="G31" s="1159" t="s">
        <v>61</v>
      </c>
    </row>
    <row r="32" spans="2:10" ht="13.5">
      <c r="B32" s="1703"/>
      <c r="C32" s="1159" t="s">
        <v>62</v>
      </c>
      <c r="D32" s="1159" t="s">
        <v>62</v>
      </c>
      <c r="E32" s="1159" t="s">
        <v>62</v>
      </c>
      <c r="F32" s="1159" t="s">
        <v>62</v>
      </c>
      <c r="G32" s="1159" t="s">
        <v>62</v>
      </c>
    </row>
    <row r="33" spans="2:7" ht="15">
      <c r="B33" s="1167" t="s">
        <v>41</v>
      </c>
      <c r="C33" s="1151">
        <v>38.4</v>
      </c>
      <c r="D33" s="1151">
        <v>16.277999999999999</v>
      </c>
      <c r="E33" s="1151">
        <v>60</v>
      </c>
      <c r="F33" s="1151">
        <v>34.578000000000003</v>
      </c>
      <c r="G33" s="1151">
        <v>20.54</v>
      </c>
    </row>
    <row r="34" spans="2:7" ht="15">
      <c r="B34" s="1168" t="s">
        <v>42</v>
      </c>
      <c r="C34" s="1166">
        <v>40.75</v>
      </c>
      <c r="D34" s="1166">
        <v>15.8825</v>
      </c>
      <c r="E34" s="1166">
        <v>52.24</v>
      </c>
      <c r="F34" s="1166">
        <v>31.347500000000004</v>
      </c>
      <c r="G34" s="1166">
        <v>22.73</v>
      </c>
    </row>
    <row r="35" spans="2:7" ht="15">
      <c r="B35" s="1169" t="s">
        <v>43</v>
      </c>
      <c r="C35" s="1151">
        <v>38</v>
      </c>
      <c r="D35" s="1151">
        <v>16.335000000000001</v>
      </c>
      <c r="E35" s="1151">
        <v>52.33</v>
      </c>
      <c r="F35" s="1151">
        <v>29.427499999999998</v>
      </c>
      <c r="G35" s="1151">
        <v>21.044999999999998</v>
      </c>
    </row>
    <row r="36" spans="2:7" ht="15">
      <c r="B36" s="1168" t="s">
        <v>44</v>
      </c>
      <c r="C36" s="1166">
        <v>37.5</v>
      </c>
      <c r="D36" s="1166">
        <v>18.557500000000001</v>
      </c>
      <c r="E36" s="1166">
        <v>52.33</v>
      </c>
      <c r="F36" s="1166">
        <v>26.684999999999999</v>
      </c>
      <c r="G36" s="1166">
        <v>19.36</v>
      </c>
    </row>
    <row r="37" spans="2:7" ht="15">
      <c r="B37" s="1169" t="s">
        <v>45</v>
      </c>
      <c r="C37" s="1151">
        <v>36</v>
      </c>
      <c r="D37" s="1151">
        <v>16.990000000000002</v>
      </c>
      <c r="E37" s="1151">
        <v>54.72</v>
      </c>
      <c r="F37" s="1151">
        <v>24.479999999999997</v>
      </c>
      <c r="G37" s="1151">
        <v>19.36</v>
      </c>
    </row>
    <row r="38" spans="2:7" ht="15">
      <c r="B38" s="1168" t="s">
        <v>46</v>
      </c>
      <c r="C38" s="1166">
        <v>36</v>
      </c>
      <c r="D38" s="1166">
        <v>17.9575</v>
      </c>
      <c r="E38" s="1166">
        <v>58.08</v>
      </c>
      <c r="F38" s="1166">
        <v>24.8325</v>
      </c>
      <c r="G38" s="1166">
        <v>21.05</v>
      </c>
    </row>
    <row r="39" spans="2:7" ht="15">
      <c r="B39" s="1169" t="s">
        <v>47</v>
      </c>
      <c r="C39" s="1151">
        <v>36</v>
      </c>
      <c r="D39" s="1151">
        <v>19.665999999999997</v>
      </c>
      <c r="E39" s="1151">
        <v>58.090000000000011</v>
      </c>
      <c r="F39" s="1151">
        <v>26.52</v>
      </c>
      <c r="G39" s="1151">
        <v>22.729147690634413</v>
      </c>
    </row>
    <row r="40" spans="2:7" ht="15">
      <c r="B40" s="1168" t="s">
        <v>48</v>
      </c>
      <c r="C40" s="1166">
        <v>37</v>
      </c>
      <c r="D40" s="1166">
        <v>20.0975</v>
      </c>
      <c r="E40" s="1166">
        <v>58.14</v>
      </c>
      <c r="F40" s="1166">
        <v>31.482500000000002</v>
      </c>
      <c r="G40" s="1166">
        <v>22.729147690634413</v>
      </c>
    </row>
    <row r="41" spans="2:7" ht="15">
      <c r="B41" s="1169" t="s">
        <v>49</v>
      </c>
      <c r="C41" s="1151">
        <v>39</v>
      </c>
      <c r="D41" s="1151">
        <v>21.17</v>
      </c>
      <c r="E41" s="1151">
        <v>58.23</v>
      </c>
      <c r="F41" s="1151">
        <v>33.03</v>
      </c>
      <c r="G41" s="1151">
        <v>22.729147690634413</v>
      </c>
    </row>
    <row r="42" spans="2:7" ht="15">
      <c r="B42" s="1168" t="s">
        <v>50</v>
      </c>
      <c r="C42" s="1166">
        <v>39.200000000000003</v>
      </c>
      <c r="D42" s="1166">
        <v>21.089999999999996</v>
      </c>
      <c r="E42" s="1166">
        <v>58.5</v>
      </c>
      <c r="F42" s="1166">
        <v>31.576000000000001</v>
      </c>
      <c r="G42" s="1166">
        <v>22.729318152507535</v>
      </c>
    </row>
    <row r="43" spans="2:7" ht="15">
      <c r="B43" s="1169" t="s">
        <v>51</v>
      </c>
      <c r="C43" s="1151">
        <v>38</v>
      </c>
      <c r="D43" s="1151">
        <v>18.989999999999998</v>
      </c>
      <c r="E43" s="1151">
        <v>59.02</v>
      </c>
      <c r="F43" s="1151">
        <v>29.747499999999999</v>
      </c>
      <c r="G43" s="1151">
        <v>22.729360767975813</v>
      </c>
    </row>
    <row r="44" spans="2:7" ht="15">
      <c r="B44" s="1168" t="s">
        <v>52</v>
      </c>
      <c r="C44" s="1166">
        <v>37.75</v>
      </c>
      <c r="D44" s="1166">
        <v>18.989999999999998</v>
      </c>
      <c r="E44" s="1166">
        <v>58.89</v>
      </c>
      <c r="F44" s="1166">
        <v>26.05</v>
      </c>
      <c r="G44" s="1166">
        <v>21.044786922658602</v>
      </c>
    </row>
    <row r="45" spans="2:7" ht="18">
      <c r="B45" s="1152" t="s">
        <v>7</v>
      </c>
      <c r="C45" s="1160">
        <f>AVERAGE(C33:C44)</f>
        <v>37.799999999999997</v>
      </c>
      <c r="D45" s="1160">
        <f>AVERAGE(D33:D44)</f>
        <v>18.500333333333337</v>
      </c>
      <c r="E45" s="1160">
        <f>AVERAGE(E33:E44)</f>
        <v>56.714166666666671</v>
      </c>
      <c r="F45" s="1160">
        <f>AVERAGE(F33:F44)</f>
        <v>29.146375000000006</v>
      </c>
      <c r="G45" s="1160">
        <f>AVERAGE(G33:G44)</f>
        <v>21.564659076253765</v>
      </c>
    </row>
    <row r="46" spans="2:7" ht="15">
      <c r="B46" s="1153" t="s">
        <v>666</v>
      </c>
      <c r="C46" s="1154"/>
      <c r="D46" s="1155"/>
      <c r="E46" s="1155"/>
      <c r="F46" s="1155"/>
      <c r="G46" s="1155"/>
    </row>
    <row r="47" spans="2:7" ht="15">
      <c r="B47" s="1153" t="s">
        <v>620</v>
      </c>
      <c r="C47" s="1156"/>
      <c r="D47" s="1157"/>
      <c r="E47" s="1157"/>
      <c r="F47" s="1157"/>
      <c r="G47" s="1157"/>
    </row>
    <row r="48" spans="2:7" ht="15">
      <c r="B48" s="1158" t="s">
        <v>542</v>
      </c>
      <c r="C48" s="1156"/>
      <c r="D48" s="1157"/>
      <c r="E48" s="1157"/>
      <c r="F48" s="1157"/>
      <c r="G48" s="1157"/>
    </row>
    <row r="49" spans="2:7" ht="15">
      <c r="B49" s="1149" t="s">
        <v>53</v>
      </c>
      <c r="C49" s="1150"/>
      <c r="D49" s="1150"/>
      <c r="E49" s="1150"/>
      <c r="F49" s="1150"/>
      <c r="G49" s="1150"/>
    </row>
    <row r="50" spans="2:7" ht="15">
      <c r="B50" s="1149" t="s">
        <v>54</v>
      </c>
      <c r="C50" s="1150"/>
      <c r="D50" s="1150"/>
      <c r="E50" s="1150"/>
      <c r="F50" s="1150"/>
      <c r="G50" s="1150"/>
    </row>
    <row r="51" spans="2:7" ht="15">
      <c r="B51" s="1149" t="s">
        <v>55</v>
      </c>
      <c r="C51" s="1150"/>
      <c r="D51" s="1150"/>
      <c r="E51" s="1150"/>
      <c r="F51" s="1150"/>
      <c r="G51" s="1150"/>
    </row>
    <row r="52" spans="2:7" ht="15">
      <c r="B52" s="1150"/>
      <c r="C52" s="1150"/>
      <c r="D52" s="1150"/>
      <c r="E52" s="1150"/>
      <c r="F52" s="1150"/>
      <c r="G52" s="1150"/>
    </row>
    <row r="53" spans="2:7" ht="15">
      <c r="B53" s="1704" t="s">
        <v>39</v>
      </c>
      <c r="C53" s="1704"/>
      <c r="D53" s="1704"/>
      <c r="E53" s="1704"/>
      <c r="F53" s="1704"/>
      <c r="G53" s="1704"/>
    </row>
    <row r="54" spans="2:7" ht="15">
      <c r="B54" s="1704" t="s">
        <v>40</v>
      </c>
      <c r="C54" s="1704"/>
      <c r="D54" s="1704"/>
      <c r="E54" s="1704"/>
      <c r="F54" s="1704"/>
      <c r="G54" s="1704"/>
    </row>
    <row r="55" spans="2:7" ht="13.5">
      <c r="B55" s="1703" t="s">
        <v>665</v>
      </c>
      <c r="C55" s="1159" t="s">
        <v>57</v>
      </c>
      <c r="D55" s="1159" t="s">
        <v>58</v>
      </c>
      <c r="E55" s="1159" t="s">
        <v>59</v>
      </c>
      <c r="F55" s="1159" t="s">
        <v>60</v>
      </c>
      <c r="G55" s="1159" t="s">
        <v>61</v>
      </c>
    </row>
    <row r="56" spans="2:7" ht="13.5">
      <c r="B56" s="1703"/>
      <c r="C56" s="1159" t="s">
        <v>62</v>
      </c>
      <c r="D56" s="1159" t="s">
        <v>62</v>
      </c>
      <c r="E56" s="1159" t="s">
        <v>62</v>
      </c>
      <c r="F56" s="1159" t="s">
        <v>62</v>
      </c>
      <c r="G56" s="1159" t="s">
        <v>62</v>
      </c>
    </row>
    <row r="57" spans="2:7" ht="15">
      <c r="B57" s="1167" t="s">
        <v>41</v>
      </c>
      <c r="C57" s="1151">
        <v>30</v>
      </c>
      <c r="D57" s="1151">
        <v>18.967000000000002</v>
      </c>
      <c r="E57" s="1151">
        <v>50.36</v>
      </c>
      <c r="F57" s="1151">
        <v>23.186</v>
      </c>
      <c r="G57" s="1151">
        <v>20.54033196004384</v>
      </c>
    </row>
    <row r="58" spans="2:7" ht="15">
      <c r="B58" s="1168" t="s">
        <v>42</v>
      </c>
      <c r="C58" s="1166">
        <v>30</v>
      </c>
      <c r="D58" s="1166">
        <v>20.25</v>
      </c>
      <c r="E58" s="1166">
        <v>50.7</v>
      </c>
      <c r="F58" s="1166">
        <v>25.7925</v>
      </c>
      <c r="G58" s="1166">
        <v>20.540311212541102</v>
      </c>
    </row>
    <row r="59" spans="2:7" ht="15">
      <c r="B59" s="1169" t="s">
        <v>43</v>
      </c>
      <c r="C59" s="1151">
        <v>34</v>
      </c>
      <c r="D59" s="1151">
        <v>22.88</v>
      </c>
      <c r="E59" s="1151">
        <v>55.53</v>
      </c>
      <c r="F59" s="1151">
        <v>31.95</v>
      </c>
      <c r="G59" s="1151">
        <v>24.71</v>
      </c>
    </row>
    <row r="60" spans="2:7" ht="15">
      <c r="B60" s="1168" t="s">
        <v>44</v>
      </c>
      <c r="C60" s="1166">
        <v>39</v>
      </c>
      <c r="D60" s="1166">
        <v>23.24</v>
      </c>
      <c r="E60" s="1166">
        <v>55.64</v>
      </c>
      <c r="F60" s="1166">
        <v>34.81</v>
      </c>
      <c r="G60" s="1166">
        <v>20.54</v>
      </c>
    </row>
    <row r="61" spans="2:7" ht="15">
      <c r="B61" s="1169" t="s">
        <v>45</v>
      </c>
      <c r="C61" s="1151">
        <v>42.2</v>
      </c>
      <c r="D61" s="1151">
        <v>23.76</v>
      </c>
      <c r="E61" s="1151">
        <v>55.35</v>
      </c>
      <c r="F61" s="1151">
        <v>36.89</v>
      </c>
      <c r="G61" s="1151">
        <v>20.54</v>
      </c>
    </row>
    <row r="62" spans="2:7" ht="15">
      <c r="B62" s="1168" t="s">
        <v>46</v>
      </c>
      <c r="C62" s="1166">
        <v>42.001075</v>
      </c>
      <c r="D62" s="1166">
        <v>24.044999999999998</v>
      </c>
      <c r="E62" s="1166">
        <v>59</v>
      </c>
      <c r="F62" s="1166">
        <v>38.722499999999997</v>
      </c>
      <c r="G62" s="1166">
        <v>20.540311212541102</v>
      </c>
    </row>
    <row r="63" spans="2:7" ht="15">
      <c r="B63" s="1169" t="s">
        <v>47</v>
      </c>
      <c r="C63" s="1151">
        <v>44.25</v>
      </c>
      <c r="D63" s="1151">
        <v>21.544999999999998</v>
      </c>
      <c r="E63" s="1151">
        <v>61</v>
      </c>
      <c r="F63" s="1151">
        <v>36.630000000000003</v>
      </c>
      <c r="G63" s="1151">
        <v>20.540311212541102</v>
      </c>
    </row>
    <row r="64" spans="2:7" ht="15">
      <c r="B64" s="1168" t="s">
        <v>48</v>
      </c>
      <c r="C64" s="1166">
        <v>40.200000000000003</v>
      </c>
      <c r="D64" s="1166">
        <v>20.893999999999998</v>
      </c>
      <c r="E64" s="1166">
        <v>61.22</v>
      </c>
      <c r="F64" s="1166">
        <v>32.666000000000004</v>
      </c>
      <c r="G64" s="1166">
        <v>20.54</v>
      </c>
    </row>
    <row r="65" spans="2:7" ht="15">
      <c r="B65" s="1169" t="s">
        <v>49</v>
      </c>
      <c r="C65" s="1151">
        <v>39</v>
      </c>
      <c r="D65" s="1151">
        <v>18.3475</v>
      </c>
      <c r="E65" s="1151">
        <v>61.09</v>
      </c>
      <c r="F65" s="1151">
        <v>32.877499999999998</v>
      </c>
      <c r="G65" s="1151">
        <v>23.91</v>
      </c>
    </row>
    <row r="66" spans="2:7" ht="15">
      <c r="B66" s="1168" t="s">
        <v>50</v>
      </c>
      <c r="C66" s="1166">
        <v>40.5</v>
      </c>
      <c r="D66" s="1166">
        <v>15.895</v>
      </c>
      <c r="E66" s="1166">
        <v>61.09</v>
      </c>
      <c r="F66" s="1166">
        <v>34.614999999999995</v>
      </c>
      <c r="G66" s="1166">
        <v>20.54</v>
      </c>
    </row>
    <row r="67" spans="2:7" ht="15">
      <c r="B67" s="1169" t="s">
        <v>51</v>
      </c>
      <c r="C67" s="1151">
        <v>41.097499999999997</v>
      </c>
      <c r="D67" s="1151">
        <v>17.445</v>
      </c>
      <c r="E67" s="1151">
        <v>61.21</v>
      </c>
      <c r="F67" s="1151">
        <v>32.865000000000002</v>
      </c>
      <c r="G67" s="1151">
        <v>20.54</v>
      </c>
    </row>
    <row r="68" spans="2:7" ht="15">
      <c r="B68" s="1168" t="s">
        <v>52</v>
      </c>
      <c r="C68" s="1166">
        <v>38.5</v>
      </c>
      <c r="D68" s="1166">
        <v>15.755000000000001</v>
      </c>
      <c r="E68" s="1166">
        <v>61.56</v>
      </c>
      <c r="F68" s="1166">
        <v>30.217500000000001</v>
      </c>
      <c r="G68" s="1166">
        <v>20.54</v>
      </c>
    </row>
    <row r="69" spans="2:7" ht="18">
      <c r="B69" s="1152" t="s">
        <v>7</v>
      </c>
      <c r="C69" s="1160">
        <f>AVERAGE(C57:C68)</f>
        <v>38.39571458333333</v>
      </c>
      <c r="D69" s="1160">
        <f>AVERAGE(D57:D68)</f>
        <v>20.251958333333331</v>
      </c>
      <c r="E69" s="1160">
        <f>AVERAGE(E57:E68)</f>
        <v>57.812500000000021</v>
      </c>
      <c r="F69" s="1160">
        <f>AVERAGE(F57:F68)</f>
        <v>32.601833333333332</v>
      </c>
      <c r="G69" s="1160">
        <f>AVERAGE(G57:G68)</f>
        <v>21.168438799805589</v>
      </c>
    </row>
    <row r="70" spans="2:7" ht="15">
      <c r="B70" s="1153" t="s">
        <v>666</v>
      </c>
      <c r="C70" s="1154"/>
      <c r="D70" s="1155"/>
      <c r="E70" s="1155"/>
      <c r="F70" s="1155"/>
      <c r="G70" s="1155"/>
    </row>
    <row r="71" spans="2:7" ht="15">
      <c r="B71" s="1153" t="s">
        <v>620</v>
      </c>
      <c r="C71" s="1156"/>
      <c r="D71" s="1157"/>
      <c r="E71" s="1157"/>
      <c r="F71" s="1157"/>
      <c r="G71" s="1157"/>
    </row>
    <row r="72" spans="2:7" ht="15">
      <c r="B72" s="1158" t="s">
        <v>542</v>
      </c>
      <c r="C72" s="1156"/>
      <c r="D72" s="1157"/>
      <c r="E72" s="1157"/>
      <c r="F72" s="1157"/>
      <c r="G72" s="1157"/>
    </row>
    <row r="73" spans="2:7" ht="15">
      <c r="B73" s="1149" t="s">
        <v>53</v>
      </c>
      <c r="C73" s="1150"/>
      <c r="D73" s="1150"/>
      <c r="E73" s="1150"/>
      <c r="F73" s="1150"/>
      <c r="G73" s="1150"/>
    </row>
    <row r="74" spans="2:7" ht="15">
      <c r="B74" s="1149" t="s">
        <v>54</v>
      </c>
      <c r="C74" s="1150"/>
      <c r="D74" s="1150"/>
      <c r="E74" s="1150"/>
      <c r="F74" s="1150"/>
      <c r="G74" s="1150"/>
    </row>
    <row r="75" spans="2:7" ht="15">
      <c r="B75" s="1149" t="s">
        <v>55</v>
      </c>
      <c r="C75" s="1150"/>
      <c r="D75" s="1150"/>
      <c r="E75" s="1150"/>
      <c r="F75" s="1150"/>
      <c r="G75" s="1150"/>
    </row>
    <row r="76" spans="2:7" ht="15">
      <c r="B76" s="1150"/>
      <c r="C76" s="1150"/>
      <c r="D76" s="1150"/>
      <c r="E76" s="1150"/>
      <c r="F76" s="1150"/>
      <c r="G76" s="1150"/>
    </row>
    <row r="77" spans="2:7" ht="15">
      <c r="B77" s="1704" t="s">
        <v>39</v>
      </c>
      <c r="C77" s="1704"/>
      <c r="D77" s="1704"/>
      <c r="E77" s="1704"/>
      <c r="F77" s="1704"/>
      <c r="G77" s="1704"/>
    </row>
    <row r="78" spans="2:7" ht="15">
      <c r="B78" s="1704" t="s">
        <v>40</v>
      </c>
      <c r="C78" s="1704"/>
      <c r="D78" s="1704"/>
      <c r="E78" s="1704"/>
      <c r="F78" s="1704"/>
      <c r="G78" s="1704"/>
    </row>
    <row r="79" spans="2:7" ht="12.75" customHeight="1">
      <c r="B79" s="1703" t="s">
        <v>656</v>
      </c>
      <c r="C79" s="1159" t="s">
        <v>57</v>
      </c>
      <c r="D79" s="1159" t="s">
        <v>58</v>
      </c>
      <c r="E79" s="1159" t="s">
        <v>59</v>
      </c>
      <c r="F79" s="1159" t="s">
        <v>60</v>
      </c>
      <c r="G79" s="1159" t="s">
        <v>61</v>
      </c>
    </row>
    <row r="80" spans="2:7" ht="13.5" customHeight="1">
      <c r="B80" s="1703"/>
      <c r="C80" s="1159" t="s">
        <v>62</v>
      </c>
      <c r="D80" s="1159" t="s">
        <v>62</v>
      </c>
      <c r="E80" s="1159" t="s">
        <v>62</v>
      </c>
      <c r="F80" s="1159" t="s">
        <v>62</v>
      </c>
      <c r="G80" s="1159" t="s">
        <v>62</v>
      </c>
    </row>
    <row r="81" spans="2:10" ht="15">
      <c r="B81" s="1167" t="s">
        <v>41</v>
      </c>
      <c r="C81" s="1151">
        <v>30</v>
      </c>
      <c r="D81" s="1151">
        <v>13.45</v>
      </c>
      <c r="E81" s="1151">
        <v>45.9</v>
      </c>
      <c r="F81" s="1151">
        <v>15.36</v>
      </c>
      <c r="G81" s="1151">
        <f>+'X-SEMANA-SC'!J2411</f>
        <v>17.832768683780312</v>
      </c>
    </row>
    <row r="82" spans="2:10" ht="15">
      <c r="B82" s="1168" t="s">
        <v>42</v>
      </c>
      <c r="C82" s="1166">
        <v>30</v>
      </c>
      <c r="D82" s="1166">
        <v>14.5</v>
      </c>
      <c r="E82" s="1166">
        <v>45.63</v>
      </c>
      <c r="F82" s="1166">
        <v>16.149999999999999</v>
      </c>
      <c r="G82" s="1166">
        <v>19.53</v>
      </c>
    </row>
    <row r="83" spans="2:10" ht="15">
      <c r="B83" s="1169" t="s">
        <v>43</v>
      </c>
      <c r="C83" s="1151">
        <v>30</v>
      </c>
      <c r="D83" s="1151">
        <v>15.3</v>
      </c>
      <c r="E83" s="1151">
        <v>48.33</v>
      </c>
      <c r="F83" s="1151">
        <v>19.934000000000001</v>
      </c>
      <c r="G83" s="1151">
        <v>19.53</v>
      </c>
    </row>
    <row r="84" spans="2:10" ht="15">
      <c r="B84" s="1168" t="s">
        <v>44</v>
      </c>
      <c r="C84" s="1166">
        <v>30</v>
      </c>
      <c r="D84" s="1166">
        <v>15.324999999999999</v>
      </c>
      <c r="E84" s="1166">
        <f>AVERAGE(E80:E83)</f>
        <v>46.620000000000005</v>
      </c>
      <c r="F84" s="1166">
        <v>17.830000000000002</v>
      </c>
      <c r="G84" s="1166">
        <v>20.2</v>
      </c>
    </row>
    <row r="85" spans="2:10" ht="15">
      <c r="B85" s="1169" t="s">
        <v>45</v>
      </c>
      <c r="C85" s="1151">
        <v>30</v>
      </c>
      <c r="D85" s="1151">
        <f>+'X-SEMANA-SC'!G2445</f>
        <v>16.347999999999999</v>
      </c>
      <c r="E85" s="1151">
        <v>48.4</v>
      </c>
      <c r="F85" s="1151">
        <f>+'X-SEMANA-SC'!I2445</f>
        <v>17.940000000000001</v>
      </c>
      <c r="G85" s="1151">
        <v>20.2</v>
      </c>
    </row>
    <row r="86" spans="2:10" ht="15">
      <c r="B86" s="1168" t="s">
        <v>46</v>
      </c>
      <c r="C86" s="1166">
        <v>30</v>
      </c>
      <c r="D86" s="1166">
        <f>+'X-SEMANA-SC'!G2453</f>
        <v>16.697499999999998</v>
      </c>
      <c r="E86" s="1166">
        <v>48.45</v>
      </c>
      <c r="F86" s="1166">
        <f>+'X-SEMANA-SC'!I2453</f>
        <v>18.774999999999999</v>
      </c>
      <c r="G86" s="1166">
        <v>20.2</v>
      </c>
    </row>
    <row r="87" spans="2:10" ht="15">
      <c r="B87" s="1169" t="s">
        <v>47</v>
      </c>
      <c r="C87" s="1151">
        <v>30</v>
      </c>
      <c r="D87" s="1151">
        <v>16.967500000000001</v>
      </c>
      <c r="E87" s="1151">
        <v>48.44</v>
      </c>
      <c r="F87" s="1151">
        <v>19.265000000000001</v>
      </c>
      <c r="G87" s="1151">
        <v>20.2</v>
      </c>
    </row>
    <row r="88" spans="2:10" ht="15">
      <c r="B88" s="1168" t="s">
        <v>48</v>
      </c>
      <c r="C88" s="1166">
        <v>30</v>
      </c>
      <c r="D88" s="1166">
        <v>17.074000000000002</v>
      </c>
      <c r="E88" s="1166">
        <v>48.31</v>
      </c>
      <c r="F88" s="1166">
        <v>18.846</v>
      </c>
      <c r="G88" s="1166">
        <v>20.2</v>
      </c>
    </row>
    <row r="89" spans="2:10" ht="15">
      <c r="B89" s="1169" t="s">
        <v>49</v>
      </c>
      <c r="C89" s="1151">
        <v>30</v>
      </c>
      <c r="D89" s="1151">
        <v>17.212499999999999</v>
      </c>
      <c r="E89" s="1151">
        <f>+'X-SEMANA-SC'!H2478</f>
        <v>50.5</v>
      </c>
      <c r="F89" s="1151">
        <v>18.032500000000002</v>
      </c>
      <c r="G89" s="1151">
        <v>20.64</v>
      </c>
    </row>
    <row r="90" spans="2:10" ht="15">
      <c r="B90" s="1168" t="s">
        <v>50</v>
      </c>
      <c r="C90" s="1166">
        <f>+'X-SEMANA-SC'!F2486</f>
        <v>30</v>
      </c>
      <c r="D90" s="1166">
        <v>18.578749999999999</v>
      </c>
      <c r="E90" s="1166">
        <v>50.37</v>
      </c>
      <c r="F90" s="1166">
        <f>+'X-SEMANA-SC'!I2486</f>
        <v>20.884999999999998</v>
      </c>
      <c r="G90" s="1166">
        <f>+'X-SEMANA-SC'!J2486</f>
        <v>22.224055519731426</v>
      </c>
    </row>
    <row r="91" spans="2:10" ht="15">
      <c r="B91" s="1169" t="s">
        <v>51</v>
      </c>
      <c r="C91" s="1151">
        <v>30</v>
      </c>
      <c r="D91" s="1151">
        <v>18.182000000000002</v>
      </c>
      <c r="E91" s="1151">
        <v>49.84</v>
      </c>
      <c r="F91" s="1151">
        <v>22.426000000000002</v>
      </c>
      <c r="G91" s="1151">
        <v>22.224055519731426</v>
      </c>
    </row>
    <row r="92" spans="2:10" ht="15">
      <c r="B92" s="1168" t="s">
        <v>52</v>
      </c>
      <c r="C92" s="1166">
        <v>30</v>
      </c>
      <c r="D92" s="1166">
        <v>16.9025</v>
      </c>
      <c r="E92" s="1166">
        <v>50.19</v>
      </c>
      <c r="F92" s="1166">
        <v>21.477499999999999</v>
      </c>
      <c r="G92" s="1166">
        <v>20.540414950054803</v>
      </c>
    </row>
    <row r="93" spans="2:10" ht="18">
      <c r="B93" s="1152" t="s">
        <v>7</v>
      </c>
      <c r="C93" s="1160">
        <f>AVERAGE(C81:C92)</f>
        <v>30</v>
      </c>
      <c r="D93" s="1160">
        <f>AVERAGE(D81:D92)</f>
        <v>16.378145833333331</v>
      </c>
      <c r="E93" s="1160">
        <f>AVERAGE(E81:E92)</f>
        <v>48.414999999999999</v>
      </c>
      <c r="F93" s="1160">
        <f>AVERAGE(F81:F92)</f>
        <v>18.910083333333329</v>
      </c>
      <c r="G93" s="1160">
        <f>AVERAGE(G81:G92)</f>
        <v>20.293441222774831</v>
      </c>
      <c r="J93" t="s">
        <v>148</v>
      </c>
    </row>
    <row r="94" spans="2:10" ht="15">
      <c r="B94" s="1153" t="s">
        <v>666</v>
      </c>
      <c r="C94" s="1154"/>
      <c r="D94" s="1155"/>
      <c r="E94" s="1155"/>
      <c r="F94" s="1155"/>
      <c r="G94" s="1155"/>
    </row>
    <row r="95" spans="2:10" ht="15">
      <c r="B95" s="1153" t="s">
        <v>620</v>
      </c>
      <c r="C95" s="1156"/>
      <c r="D95" s="1157"/>
      <c r="E95" s="1157"/>
      <c r="F95" s="1157"/>
      <c r="G95" s="1157"/>
    </row>
    <row r="96" spans="2:10" ht="15">
      <c r="B96" s="1158" t="s">
        <v>542</v>
      </c>
      <c r="C96" s="1156"/>
      <c r="D96" s="1157"/>
      <c r="E96" s="1157"/>
      <c r="F96" s="1157"/>
      <c r="G96" s="1157"/>
    </row>
    <row r="97" spans="2:7" ht="15">
      <c r="B97" s="1149" t="s">
        <v>53</v>
      </c>
      <c r="C97" s="1150"/>
      <c r="D97" s="1150"/>
      <c r="E97" s="1150"/>
      <c r="F97" s="1150"/>
      <c r="G97" s="1150"/>
    </row>
    <row r="98" spans="2:7" ht="15">
      <c r="B98" s="1149" t="s">
        <v>54</v>
      </c>
      <c r="C98" s="1150"/>
      <c r="D98" s="1150"/>
      <c r="E98" s="1150"/>
      <c r="F98" s="1150"/>
      <c r="G98" s="1150"/>
    </row>
    <row r="99" spans="2:7" ht="15">
      <c r="B99" s="1149" t="s">
        <v>55</v>
      </c>
      <c r="C99" s="1150"/>
      <c r="D99" s="1150"/>
      <c r="E99" s="1150"/>
      <c r="F99" s="1150"/>
      <c r="G99" s="1150"/>
    </row>
    <row r="100" spans="2:7" ht="15">
      <c r="B100" s="1150"/>
      <c r="C100" s="1150"/>
      <c r="D100" s="1150"/>
      <c r="E100" s="1150"/>
      <c r="F100" s="1150"/>
      <c r="G100" s="1150"/>
    </row>
    <row r="101" spans="2:7" ht="15">
      <c r="B101" s="1704" t="s">
        <v>39</v>
      </c>
      <c r="C101" s="1704"/>
      <c r="D101" s="1704"/>
      <c r="E101" s="1704"/>
      <c r="F101" s="1704"/>
      <c r="G101" s="1704"/>
    </row>
    <row r="102" spans="2:7" ht="15">
      <c r="B102" s="1704" t="s">
        <v>40</v>
      </c>
      <c r="C102" s="1704"/>
      <c r="D102" s="1704"/>
      <c r="E102" s="1704"/>
      <c r="F102" s="1704"/>
      <c r="G102" s="1704"/>
    </row>
    <row r="103" spans="2:7" ht="13.5">
      <c r="B103" s="1703" t="s">
        <v>639</v>
      </c>
      <c r="C103" s="1159" t="s">
        <v>57</v>
      </c>
      <c r="D103" s="1159" t="s">
        <v>58</v>
      </c>
      <c r="E103" s="1159" t="s">
        <v>59</v>
      </c>
      <c r="F103" s="1159" t="s">
        <v>60</v>
      </c>
      <c r="G103" s="1159" t="s">
        <v>61</v>
      </c>
    </row>
    <row r="104" spans="2:7" ht="13.5">
      <c r="B104" s="1703"/>
      <c r="C104" s="1159" t="s">
        <v>62</v>
      </c>
      <c r="D104" s="1159" t="s">
        <v>62</v>
      </c>
      <c r="E104" s="1159" t="s">
        <v>62</v>
      </c>
      <c r="F104" s="1159" t="s">
        <v>62</v>
      </c>
      <c r="G104" s="1159" t="s">
        <v>62</v>
      </c>
    </row>
    <row r="105" spans="2:7" ht="15">
      <c r="B105" s="1161" t="s">
        <v>41</v>
      </c>
      <c r="C105" s="1162">
        <v>30</v>
      </c>
      <c r="D105" s="1162">
        <v>12.282500000000001</v>
      </c>
      <c r="E105" s="1162">
        <v>48.96</v>
      </c>
      <c r="F105" s="1162">
        <v>21.202500000000001</v>
      </c>
      <c r="G105" s="1162">
        <f>+'X-SEMANA-SC'!J2311</f>
        <v>18.520040000000002</v>
      </c>
    </row>
    <row r="106" spans="2:7" ht="15">
      <c r="B106" s="1163" t="s">
        <v>42</v>
      </c>
      <c r="C106" s="1164">
        <v>30</v>
      </c>
      <c r="D106" s="1164">
        <v>12.5625</v>
      </c>
      <c r="E106" s="1164">
        <v>49.11</v>
      </c>
      <c r="F106" s="1164">
        <v>20.8</v>
      </c>
      <c r="G106" s="1164">
        <f>+'X-SEMANA-SC'!J2319</f>
        <v>18.284330400000002</v>
      </c>
    </row>
    <row r="107" spans="2:7" ht="15">
      <c r="B107" s="1165" t="s">
        <v>43</v>
      </c>
      <c r="C107" s="1162">
        <v>30</v>
      </c>
      <c r="D107" s="1162">
        <v>11.692</v>
      </c>
      <c r="E107" s="1162">
        <v>47.41</v>
      </c>
      <c r="F107" s="1162">
        <v>20.8</v>
      </c>
      <c r="G107" s="1162">
        <f>+'X-SEMANA-SC'!J2328</f>
        <v>17.67822</v>
      </c>
    </row>
    <row r="108" spans="2:7" ht="15">
      <c r="B108" s="1163" t="s">
        <v>44</v>
      </c>
      <c r="C108" s="1164">
        <v>30</v>
      </c>
      <c r="D108" s="1164">
        <v>10.515000000000001</v>
      </c>
      <c r="E108" s="1164">
        <v>44.64</v>
      </c>
      <c r="F108" s="1164">
        <v>9.6050000000000004</v>
      </c>
      <c r="G108" s="1164">
        <f>+'X-SEMANA-SC'!J2336</f>
        <v>17.173127999999998</v>
      </c>
    </row>
    <row r="109" spans="2:7" ht="15">
      <c r="B109" s="1165" t="s">
        <v>45</v>
      </c>
      <c r="C109" s="1162">
        <v>30</v>
      </c>
      <c r="D109" s="1162">
        <v>9.7424999999999997</v>
      </c>
      <c r="E109" s="1162">
        <v>45.24</v>
      </c>
      <c r="F109" s="1162">
        <v>8.66</v>
      </c>
      <c r="G109" s="1162">
        <f>+'X-SEMANA-SC'!J2344</f>
        <v>16.668036000000001</v>
      </c>
    </row>
    <row r="110" spans="2:7" ht="15">
      <c r="B110" s="1163" t="s">
        <v>46</v>
      </c>
      <c r="C110" s="1164">
        <v>30</v>
      </c>
      <c r="D110" s="1164">
        <v>10.565999999999999</v>
      </c>
      <c r="E110" s="1164">
        <v>45.06</v>
      </c>
      <c r="F110" s="1164">
        <v>11.278</v>
      </c>
      <c r="G110" s="1164">
        <v>16.668036000000001</v>
      </c>
    </row>
    <row r="111" spans="2:7" ht="15">
      <c r="B111" s="1165" t="s">
        <v>47</v>
      </c>
      <c r="C111" s="1162">
        <v>30</v>
      </c>
      <c r="D111" s="1162">
        <v>11.13</v>
      </c>
      <c r="E111" s="1162">
        <v>45.16</v>
      </c>
      <c r="F111" s="1162">
        <f>+'X-SEMANA-SC'!I2361</f>
        <v>12.48</v>
      </c>
      <c r="G111" s="1162">
        <v>16.668036000000001</v>
      </c>
    </row>
    <row r="112" spans="2:7" ht="15">
      <c r="B112" s="1163" t="s">
        <v>48</v>
      </c>
      <c r="C112" s="1164">
        <v>30</v>
      </c>
      <c r="D112" s="1164">
        <v>11.39</v>
      </c>
      <c r="E112" s="1164">
        <v>45.16</v>
      </c>
      <c r="F112" s="1164">
        <v>12.798</v>
      </c>
      <c r="G112" s="1164">
        <v>16.668428800000001</v>
      </c>
    </row>
    <row r="113" spans="2:12" ht="15">
      <c r="B113" s="1165" t="s">
        <v>49</v>
      </c>
      <c r="C113" s="1162">
        <v>30</v>
      </c>
      <c r="D113" s="1162">
        <v>11.42</v>
      </c>
      <c r="E113" s="1162">
        <v>45.37</v>
      </c>
      <c r="F113" s="1162">
        <v>12.33</v>
      </c>
      <c r="G113" s="1162">
        <v>16.668527000000001</v>
      </c>
    </row>
    <row r="114" spans="2:12" ht="15">
      <c r="B114" s="1163" t="s">
        <v>50</v>
      </c>
      <c r="C114" s="1164">
        <v>30</v>
      </c>
      <c r="D114" s="1164">
        <v>11.379999999999999</v>
      </c>
      <c r="E114" s="1164">
        <v>45.37</v>
      </c>
      <c r="F114" s="1164">
        <v>11.297499999999999</v>
      </c>
      <c r="G114" s="1164">
        <v>16.668527000000001</v>
      </c>
    </row>
    <row r="115" spans="2:12" ht="15">
      <c r="B115" s="1165" t="s">
        <v>51</v>
      </c>
      <c r="C115" s="1162">
        <v>30</v>
      </c>
      <c r="D115" s="1162">
        <v>12.209999999999999</v>
      </c>
      <c r="E115" s="1162">
        <v>42.36</v>
      </c>
      <c r="F115" s="1162">
        <v>12.63</v>
      </c>
      <c r="G115" s="1162">
        <v>16.668821600000001</v>
      </c>
      <c r="L115" t="s">
        <v>642</v>
      </c>
    </row>
    <row r="116" spans="2:12" ht="15">
      <c r="B116" s="1163" t="s">
        <v>52</v>
      </c>
      <c r="C116" s="1164">
        <v>30</v>
      </c>
      <c r="D116" s="1164">
        <v>13.1875</v>
      </c>
      <c r="E116" s="1164">
        <v>45.71</v>
      </c>
      <c r="F116" s="1164">
        <v>14.267499999999998</v>
      </c>
      <c r="G116" s="1164">
        <v>16.669018000000001</v>
      </c>
    </row>
    <row r="117" spans="2:12" ht="18">
      <c r="B117" s="1152" t="s">
        <v>7</v>
      </c>
      <c r="C117" s="1160">
        <f>AVERAGE(C105:C116)</f>
        <v>30</v>
      </c>
      <c r="D117" s="1160">
        <f>AVERAGE(D105:D116)</f>
        <v>11.506499999999997</v>
      </c>
      <c r="E117" s="1160">
        <f>AVERAGE(E105:E116)</f>
        <v>45.795833333333341</v>
      </c>
      <c r="F117" s="1160">
        <f>AVERAGE(F105:F116)</f>
        <v>14.012375</v>
      </c>
      <c r="G117" s="1160">
        <f>AVERAGE(G105:G116)</f>
        <v>17.083595733333336</v>
      </c>
    </row>
    <row r="118" spans="2:12" ht="15">
      <c r="B118" s="1153" t="s">
        <v>666</v>
      </c>
      <c r="C118" s="1154"/>
      <c r="D118" s="1155"/>
      <c r="E118" s="1155"/>
      <c r="F118" s="1155"/>
      <c r="G118" s="1155"/>
    </row>
    <row r="119" spans="2:12" ht="15">
      <c r="B119" s="1153" t="s">
        <v>620</v>
      </c>
      <c r="C119" s="1156"/>
      <c r="D119" s="1157"/>
      <c r="E119" s="1157"/>
      <c r="F119" s="1157"/>
      <c r="G119" s="1157"/>
    </row>
    <row r="120" spans="2:12" ht="15">
      <c r="B120" s="1158" t="s">
        <v>542</v>
      </c>
      <c r="C120" s="1156"/>
      <c r="D120" s="1157"/>
      <c r="E120" s="1157"/>
      <c r="F120" s="1157"/>
      <c r="G120" s="1157"/>
    </row>
    <row r="121" spans="2:12" ht="15">
      <c r="B121" s="1149" t="s">
        <v>53</v>
      </c>
      <c r="C121" s="1150"/>
      <c r="D121" s="1150"/>
      <c r="E121" s="1150"/>
      <c r="F121" s="1150"/>
      <c r="G121" s="1150"/>
    </row>
    <row r="122" spans="2:12" ht="15">
      <c r="B122" s="1149" t="s">
        <v>54</v>
      </c>
      <c r="C122" s="1150"/>
      <c r="D122" s="1150"/>
      <c r="E122" s="1150"/>
      <c r="F122" s="1150"/>
      <c r="G122" s="1150"/>
    </row>
    <row r="123" spans="2:12" ht="15">
      <c r="B123" s="1149" t="s">
        <v>55</v>
      </c>
      <c r="C123" s="1150"/>
      <c r="D123" s="1150"/>
      <c r="E123" s="1150"/>
      <c r="F123" s="1150"/>
      <c r="G123" s="1150"/>
    </row>
    <row r="124" spans="2:12" ht="15">
      <c r="B124" s="1150"/>
      <c r="C124" s="1150"/>
      <c r="D124" s="1150"/>
      <c r="E124" s="1150"/>
      <c r="F124" s="1150"/>
      <c r="G124" s="1150"/>
    </row>
    <row r="125" spans="2:12" ht="15">
      <c r="B125" s="1704" t="s">
        <v>39</v>
      </c>
      <c r="C125" s="1704"/>
      <c r="D125" s="1704"/>
      <c r="E125" s="1704"/>
      <c r="F125" s="1704"/>
      <c r="G125" s="1704"/>
    </row>
    <row r="126" spans="2:12" ht="15">
      <c r="B126" s="1704" t="s">
        <v>40</v>
      </c>
      <c r="C126" s="1704"/>
      <c r="D126" s="1704"/>
      <c r="E126" s="1704"/>
      <c r="F126" s="1704"/>
      <c r="G126" s="1704"/>
    </row>
    <row r="127" spans="2:12" ht="13.5">
      <c r="B127" s="1703" t="s">
        <v>619</v>
      </c>
      <c r="C127" s="1159" t="s">
        <v>57</v>
      </c>
      <c r="D127" s="1159" t="s">
        <v>58</v>
      </c>
      <c r="E127" s="1159" t="s">
        <v>59</v>
      </c>
      <c r="F127" s="1159" t="s">
        <v>60</v>
      </c>
      <c r="G127" s="1159" t="s">
        <v>61</v>
      </c>
    </row>
    <row r="128" spans="2:12" ht="13.5">
      <c r="B128" s="1703"/>
      <c r="C128" s="1159" t="s">
        <v>62</v>
      </c>
      <c r="D128" s="1159" t="s">
        <v>62</v>
      </c>
      <c r="E128" s="1159" t="s">
        <v>62</v>
      </c>
      <c r="F128" s="1159" t="s">
        <v>62</v>
      </c>
      <c r="G128" s="1159" t="s">
        <v>62</v>
      </c>
    </row>
    <row r="129" spans="2:7" ht="15">
      <c r="B129" s="1161" t="s">
        <v>41</v>
      </c>
      <c r="C129" s="1162">
        <v>31.5</v>
      </c>
      <c r="D129" s="1162">
        <v>14.2</v>
      </c>
      <c r="E129" s="1162">
        <v>51</v>
      </c>
      <c r="F129" s="1162">
        <v>21.353999999999996</v>
      </c>
      <c r="G129" s="1162">
        <f>+'X-SEMANA-SC'!J2210</f>
        <v>19.95</v>
      </c>
    </row>
    <row r="130" spans="2:7" ht="15">
      <c r="B130" s="1163" t="s">
        <v>42</v>
      </c>
      <c r="C130" s="1164">
        <v>30</v>
      </c>
      <c r="D130" s="1164">
        <v>14.52</v>
      </c>
      <c r="E130" s="1164">
        <v>51</v>
      </c>
      <c r="F130" s="1164">
        <v>21.35</v>
      </c>
      <c r="G130" s="1164">
        <f>+'X-SEMANA-SC'!J2218</f>
        <v>19.36186</v>
      </c>
    </row>
    <row r="131" spans="2:7" ht="15">
      <c r="B131" s="1165" t="s">
        <v>43</v>
      </c>
      <c r="C131" s="1162">
        <v>30</v>
      </c>
      <c r="D131" s="1162">
        <v>15.3</v>
      </c>
      <c r="E131" s="1162">
        <v>48.5</v>
      </c>
      <c r="F131" s="1162">
        <v>22.02</v>
      </c>
      <c r="G131" s="1162">
        <v>19.28</v>
      </c>
    </row>
    <row r="132" spans="2:7" ht="15">
      <c r="B132" s="1163" t="s">
        <v>44</v>
      </c>
      <c r="C132" s="1164">
        <v>30</v>
      </c>
      <c r="D132" s="1164">
        <v>15.3</v>
      </c>
      <c r="E132" s="1164">
        <v>48.5</v>
      </c>
      <c r="F132" s="1164">
        <v>21.66</v>
      </c>
      <c r="G132" s="1164">
        <v>19.28</v>
      </c>
    </row>
    <row r="133" spans="2:7" ht="15">
      <c r="B133" s="1165" t="s">
        <v>45</v>
      </c>
      <c r="C133" s="1162">
        <v>30</v>
      </c>
      <c r="D133" s="1162">
        <v>15.3</v>
      </c>
      <c r="E133" s="1162">
        <v>48.5</v>
      </c>
      <c r="F133" s="1162">
        <v>21.66</v>
      </c>
      <c r="G133" s="1162">
        <v>19.28</v>
      </c>
    </row>
    <row r="134" spans="2:7" ht="15">
      <c r="B134" s="1163" t="s">
        <v>46</v>
      </c>
      <c r="C134" s="1164">
        <v>30</v>
      </c>
      <c r="D134" s="1164">
        <v>14.360000000000001</v>
      </c>
      <c r="E134" s="1164">
        <v>48.5</v>
      </c>
      <c r="F134" s="1164">
        <v>21.84</v>
      </c>
      <c r="G134" s="1164">
        <v>19.151405</v>
      </c>
    </row>
    <row r="135" spans="2:7" ht="15">
      <c r="B135" s="1165" t="s">
        <v>47</v>
      </c>
      <c r="C135" s="1162">
        <v>30</v>
      </c>
      <c r="D135" s="1162">
        <v>14.120000000000001</v>
      </c>
      <c r="E135" s="1162">
        <v>48.9</v>
      </c>
      <c r="F135" s="1162">
        <v>21.774000000000001</v>
      </c>
      <c r="G135" s="1162">
        <v>18.520040000000002</v>
      </c>
    </row>
    <row r="136" spans="2:7" ht="15">
      <c r="B136" s="1163" t="s">
        <v>48</v>
      </c>
      <c r="C136" s="1164">
        <v>30</v>
      </c>
      <c r="D136" s="1164">
        <f>AVERAGE(D132:D135)</f>
        <v>14.77</v>
      </c>
      <c r="E136" s="1164">
        <v>48.93</v>
      </c>
      <c r="F136" s="1164">
        <f>AVERAGE(F132:F135)</f>
        <v>21.733499999999999</v>
      </c>
      <c r="G136" s="1164">
        <v>18.52</v>
      </c>
    </row>
    <row r="137" spans="2:7" ht="15">
      <c r="B137" s="1165" t="s">
        <v>49</v>
      </c>
      <c r="C137" s="1162">
        <v>30</v>
      </c>
      <c r="D137" s="1162">
        <v>14.04</v>
      </c>
      <c r="E137" s="1162">
        <v>49.17</v>
      </c>
      <c r="F137" s="1162">
        <v>21.37</v>
      </c>
      <c r="G137" s="1162">
        <v>18.52</v>
      </c>
    </row>
    <row r="138" spans="2:7" ht="15">
      <c r="B138" s="1163" t="s">
        <v>50</v>
      </c>
      <c r="C138" s="1164">
        <v>30</v>
      </c>
      <c r="D138" s="1164">
        <v>14.14</v>
      </c>
      <c r="E138" s="1164">
        <v>49.17</v>
      </c>
      <c r="F138" s="1164">
        <v>21.15</v>
      </c>
      <c r="G138" s="1164">
        <v>16.836400000000001</v>
      </c>
    </row>
    <row r="139" spans="2:7" ht="15">
      <c r="B139" s="1165" t="s">
        <v>51</v>
      </c>
      <c r="C139" s="1162">
        <v>30</v>
      </c>
      <c r="D139" s="1162">
        <v>12.00825</v>
      </c>
      <c r="E139" s="1162">
        <v>49.17</v>
      </c>
      <c r="F139" s="1162">
        <v>21.8</v>
      </c>
      <c r="G139" s="1162">
        <f>(103/5.9666)</f>
        <v>17.262762712432544</v>
      </c>
    </row>
    <row r="140" spans="2:7" ht="15">
      <c r="B140" s="1163" t="s">
        <v>52</v>
      </c>
      <c r="C140" s="1164">
        <v>30</v>
      </c>
      <c r="D140" s="1164">
        <v>12.38</v>
      </c>
      <c r="E140" s="1164">
        <v>49.96</v>
      </c>
      <c r="F140" s="1164">
        <v>21.8</v>
      </c>
      <c r="G140" s="1164">
        <f>+'X-SEMANA-SC'!J2303</f>
        <v>18.520040000000002</v>
      </c>
    </row>
    <row r="141" spans="2:7" ht="18">
      <c r="B141" s="1152" t="s">
        <v>7</v>
      </c>
      <c r="C141" s="1160">
        <f>AVERAGE(C129:C140)</f>
        <v>30.125</v>
      </c>
      <c r="D141" s="1160">
        <f>AVERAGE(D129:D140)</f>
        <v>14.2031875</v>
      </c>
      <c r="E141" s="1160">
        <f>AVERAGE(E129:E140)</f>
        <v>49.275000000000006</v>
      </c>
      <c r="F141" s="1160">
        <f>AVERAGE(F129:F140)</f>
        <v>21.625958333333333</v>
      </c>
      <c r="G141" s="1160">
        <f>AVERAGE(G129:G140)</f>
        <v>18.706875642702713</v>
      </c>
    </row>
    <row r="142" spans="2:7" ht="15">
      <c r="B142" s="1153" t="s">
        <v>666</v>
      </c>
      <c r="C142" s="1154"/>
      <c r="D142" s="1155"/>
      <c r="E142" s="1155"/>
      <c r="F142" s="1155"/>
      <c r="G142" s="1155"/>
    </row>
    <row r="143" spans="2:7" ht="15">
      <c r="B143" s="1153" t="s">
        <v>620</v>
      </c>
      <c r="C143" s="1156"/>
      <c r="D143" s="1157"/>
      <c r="E143" s="1157"/>
      <c r="F143" s="1157"/>
      <c r="G143" s="1157"/>
    </row>
    <row r="144" spans="2:7" ht="15">
      <c r="B144" s="1158" t="s">
        <v>542</v>
      </c>
      <c r="C144" s="1156"/>
      <c r="D144" s="1157"/>
      <c r="E144" s="1157"/>
      <c r="F144" s="1157"/>
      <c r="G144" s="1157"/>
    </row>
    <row r="145" spans="2:7" ht="13.5">
      <c r="B145" s="1703" t="s">
        <v>621</v>
      </c>
      <c r="C145" s="1159" t="s">
        <v>57</v>
      </c>
      <c r="D145" s="1159" t="s">
        <v>58</v>
      </c>
      <c r="E145" s="1159" t="s">
        <v>59</v>
      </c>
      <c r="F145" s="1159" t="s">
        <v>60</v>
      </c>
      <c r="G145" s="1159" t="s">
        <v>61</v>
      </c>
    </row>
    <row r="146" spans="2:7" ht="13.5">
      <c r="B146" s="1703"/>
      <c r="C146" s="1159" t="s">
        <v>62</v>
      </c>
      <c r="D146" s="1159" t="s">
        <v>62</v>
      </c>
      <c r="E146" s="1159" t="s">
        <v>62</v>
      </c>
      <c r="F146" s="1159" t="s">
        <v>62</v>
      </c>
      <c r="G146" s="1159" t="s">
        <v>62</v>
      </c>
    </row>
    <row r="147" spans="2:7" ht="15">
      <c r="B147" s="1161" t="s">
        <v>41</v>
      </c>
      <c r="C147" s="1162">
        <v>27</v>
      </c>
      <c r="D147" s="1162">
        <v>13.168749999999999</v>
      </c>
      <c r="E147" s="1162">
        <v>42.18</v>
      </c>
      <c r="F147" s="1162">
        <v>17.25</v>
      </c>
      <c r="G147" s="1162">
        <v>20.11</v>
      </c>
    </row>
    <row r="148" spans="2:7" ht="15">
      <c r="B148" s="1163" t="s">
        <v>42</v>
      </c>
      <c r="C148" s="1164">
        <v>28.5</v>
      </c>
      <c r="D148" s="1164">
        <v>15.25</v>
      </c>
      <c r="E148" s="1164">
        <v>41.75</v>
      </c>
      <c r="F148" s="1164">
        <v>19.5</v>
      </c>
      <c r="G148" s="1164">
        <v>20.11</v>
      </c>
    </row>
    <row r="149" spans="2:7" ht="15">
      <c r="B149" s="1165" t="s">
        <v>43</v>
      </c>
      <c r="C149" s="1162">
        <v>28.5</v>
      </c>
      <c r="D149" s="1162">
        <v>15.1</v>
      </c>
      <c r="E149" s="1162">
        <v>44.43</v>
      </c>
      <c r="F149" s="1162">
        <v>19.5</v>
      </c>
      <c r="G149" s="1162">
        <v>20.11</v>
      </c>
    </row>
    <row r="150" spans="2:7" ht="15">
      <c r="B150" s="1163" t="s">
        <v>44</v>
      </c>
      <c r="C150" s="1164">
        <v>30</v>
      </c>
      <c r="D150" s="1164">
        <v>15.924999999999999</v>
      </c>
      <c r="E150" s="1164">
        <v>47</v>
      </c>
      <c r="F150" s="1164">
        <v>19.5</v>
      </c>
      <c r="G150" s="1164">
        <v>20.11</v>
      </c>
    </row>
    <row r="151" spans="2:7" ht="15">
      <c r="B151" s="1165" t="s">
        <v>45</v>
      </c>
      <c r="C151" s="1162">
        <v>30</v>
      </c>
      <c r="D151" s="1162">
        <v>15.2</v>
      </c>
      <c r="E151" s="1162">
        <v>47</v>
      </c>
      <c r="F151" s="1162">
        <v>19.5</v>
      </c>
      <c r="G151" s="1162">
        <v>20.11</v>
      </c>
    </row>
    <row r="152" spans="2:7" ht="15">
      <c r="B152" s="1163" t="s">
        <v>46</v>
      </c>
      <c r="C152" s="1164">
        <v>30</v>
      </c>
      <c r="D152" s="1164">
        <v>15.4</v>
      </c>
      <c r="E152" s="1164">
        <v>48.75</v>
      </c>
      <c r="F152" s="1164">
        <v>21.76</v>
      </c>
      <c r="G152" s="1164">
        <v>20.11</v>
      </c>
    </row>
    <row r="153" spans="2:7" ht="15">
      <c r="B153" s="1165" t="s">
        <v>47</v>
      </c>
      <c r="C153" s="1162">
        <v>29.4</v>
      </c>
      <c r="D153" s="1162">
        <v>15.33</v>
      </c>
      <c r="E153" s="1162">
        <v>47</v>
      </c>
      <c r="F153" s="1162">
        <v>19.5</v>
      </c>
      <c r="G153" s="1162">
        <v>20.11</v>
      </c>
    </row>
    <row r="154" spans="2:7" ht="15">
      <c r="B154" s="1163" t="s">
        <v>48</v>
      </c>
      <c r="C154" s="1164">
        <v>30</v>
      </c>
      <c r="D154" s="1164">
        <v>15.45</v>
      </c>
      <c r="E154" s="1164">
        <v>47</v>
      </c>
      <c r="F154" s="1164">
        <v>19.5</v>
      </c>
      <c r="G154" s="1164">
        <v>20.11</v>
      </c>
    </row>
    <row r="155" spans="2:7" ht="15">
      <c r="B155" s="1165" t="s">
        <v>49</v>
      </c>
      <c r="C155" s="1162">
        <v>30</v>
      </c>
      <c r="D155" s="1162">
        <v>15.4</v>
      </c>
      <c r="E155" s="1162">
        <v>51</v>
      </c>
      <c r="F155" s="1162">
        <v>21.675000000000001</v>
      </c>
      <c r="G155" s="1162">
        <v>20.11</v>
      </c>
    </row>
    <row r="156" spans="2:7" ht="15">
      <c r="B156" s="1163" t="s">
        <v>50</v>
      </c>
      <c r="C156" s="1164">
        <v>30</v>
      </c>
      <c r="D156" s="1164">
        <v>15.98</v>
      </c>
      <c r="E156" s="1164">
        <v>48.75</v>
      </c>
      <c r="F156" s="1164">
        <v>23.059999999999995</v>
      </c>
      <c r="G156" s="1164">
        <v>21.454911163258465</v>
      </c>
    </row>
    <row r="157" spans="2:7" ht="15">
      <c r="B157" s="1165" t="s">
        <v>51</v>
      </c>
      <c r="C157" s="1162">
        <v>32.5</v>
      </c>
      <c r="D157" s="1162">
        <v>16.182499999999997</v>
      </c>
      <c r="E157" s="1162">
        <v>50</v>
      </c>
      <c r="F157" s="1162">
        <v>23.344999999999999</v>
      </c>
      <c r="G157" s="1162">
        <v>21.454911163258465</v>
      </c>
    </row>
    <row r="158" spans="2:7" ht="15">
      <c r="B158" s="1163" t="s">
        <v>52</v>
      </c>
      <c r="C158" s="1164">
        <v>32</v>
      </c>
      <c r="D158" s="1164">
        <v>15.9375</v>
      </c>
      <c r="E158" s="1164">
        <v>51</v>
      </c>
      <c r="F158" s="1164">
        <v>22.957500000000003</v>
      </c>
      <c r="G158" s="1164">
        <v>20.616828695943681</v>
      </c>
    </row>
    <row r="159" spans="2:7" ht="18">
      <c r="B159" s="1152" t="s">
        <v>7</v>
      </c>
      <c r="C159" s="1160">
        <f>AVERAGE(C147:C158)</f>
        <v>29.824999999999999</v>
      </c>
      <c r="D159" s="1160">
        <f>AVERAGE(D147:D158)</f>
        <v>15.360312499999999</v>
      </c>
      <c r="E159" s="1160">
        <f>AVERAGE(E147:E158)</f>
        <v>47.155000000000001</v>
      </c>
      <c r="F159" s="1160">
        <f>AVERAGE(F147:F158)</f>
        <v>20.587291666666669</v>
      </c>
      <c r="G159" s="1160">
        <f>AVERAGE(G147:G158)</f>
        <v>20.376387585205052</v>
      </c>
    </row>
    <row r="160" spans="2:7" ht="15">
      <c r="B160" s="1153" t="s">
        <v>666</v>
      </c>
      <c r="C160" s="1154"/>
      <c r="D160" s="1155"/>
      <c r="E160" s="1155"/>
      <c r="F160" s="1155"/>
      <c r="G160" s="1155"/>
    </row>
    <row r="161" spans="2:9" ht="15">
      <c r="B161" s="1153" t="s">
        <v>620</v>
      </c>
      <c r="C161" s="1156"/>
      <c r="D161" s="1157"/>
      <c r="E161" s="1157"/>
      <c r="F161" s="1157"/>
      <c r="G161" s="1157"/>
    </row>
    <row r="162" spans="2:9" ht="15">
      <c r="B162" s="1158" t="s">
        <v>542</v>
      </c>
      <c r="C162" s="1156"/>
      <c r="D162" s="1157"/>
      <c r="E162" s="1157"/>
      <c r="F162" s="1157"/>
      <c r="G162" s="1157"/>
    </row>
    <row r="163" spans="2:9" ht="13.5">
      <c r="B163" s="1703" t="s">
        <v>575</v>
      </c>
      <c r="C163" s="1159" t="s">
        <v>57</v>
      </c>
      <c r="D163" s="1159" t="s">
        <v>58</v>
      </c>
      <c r="E163" s="1159" t="s">
        <v>59</v>
      </c>
      <c r="F163" s="1159" t="s">
        <v>60</v>
      </c>
      <c r="G163" s="1159" t="s">
        <v>61</v>
      </c>
    </row>
    <row r="164" spans="2:9" ht="13.5">
      <c r="B164" s="1703"/>
      <c r="C164" s="1159" t="s">
        <v>62</v>
      </c>
      <c r="D164" s="1159" t="s">
        <v>62</v>
      </c>
      <c r="E164" s="1159" t="s">
        <v>62</v>
      </c>
      <c r="F164" s="1159" t="s">
        <v>62</v>
      </c>
      <c r="G164" s="1159" t="s">
        <v>62</v>
      </c>
    </row>
    <row r="165" spans="2:9" ht="15">
      <c r="B165" s="1161" t="s">
        <v>41</v>
      </c>
      <c r="C165" s="1162">
        <f>+'X-SEMANA-SC'!F2010</f>
        <v>24</v>
      </c>
      <c r="D165" s="1162">
        <f>+'X-SEMANA-SC'!G2010</f>
        <v>11.378</v>
      </c>
      <c r="E165" s="1162">
        <f>+'X-SEMANA-SC'!H2010</f>
        <v>45.65</v>
      </c>
      <c r="F165" s="1162">
        <f>+'X-SEMANA-SC'!I2010</f>
        <v>16</v>
      </c>
      <c r="G165" s="1162">
        <f>+'X-SEMANA-SC'!J2010</f>
        <v>17.487763995977204</v>
      </c>
    </row>
    <row r="166" spans="2:9" ht="15">
      <c r="B166" s="1163" t="s">
        <v>42</v>
      </c>
      <c r="C166" s="1164">
        <v>24</v>
      </c>
      <c r="D166" s="1164">
        <v>11.53</v>
      </c>
      <c r="E166" s="1164">
        <v>43.65</v>
      </c>
      <c r="F166" s="1164">
        <v>16</v>
      </c>
      <c r="G166" s="1164">
        <v>17.599731813610457</v>
      </c>
    </row>
    <row r="167" spans="2:9" ht="15">
      <c r="B167" s="1165" t="s">
        <v>43</v>
      </c>
      <c r="C167" s="1162">
        <v>24</v>
      </c>
      <c r="D167" s="1162">
        <f>+'X-SEMANA-SC'!G2026</f>
        <v>11.4375</v>
      </c>
      <c r="E167" s="1162">
        <v>43.65</v>
      </c>
      <c r="F167" s="1162">
        <v>16</v>
      </c>
      <c r="G167" s="1162">
        <v>17.599731813610457</v>
      </c>
    </row>
    <row r="168" spans="2:9" ht="15">
      <c r="B168" s="1163" t="s">
        <v>44</v>
      </c>
      <c r="C168" s="1164">
        <v>24</v>
      </c>
      <c r="D168" s="1164">
        <f>+'X-SEMANA-SC'!G2034</f>
        <v>11.266071428571427</v>
      </c>
      <c r="E168" s="1164">
        <v>43.65</v>
      </c>
      <c r="F168" s="1164">
        <v>16</v>
      </c>
      <c r="G168" s="1164">
        <v>17.599731813610457</v>
      </c>
    </row>
    <row r="169" spans="2:9" ht="15">
      <c r="B169" s="1165" t="s">
        <v>45</v>
      </c>
      <c r="C169" s="1162">
        <v>24</v>
      </c>
      <c r="D169" s="1162">
        <v>11.124000000000001</v>
      </c>
      <c r="E169" s="1162">
        <v>43.65</v>
      </c>
      <c r="F169" s="1162">
        <v>16</v>
      </c>
      <c r="G169" s="1162">
        <v>17.599785450888369</v>
      </c>
    </row>
    <row r="170" spans="2:9" ht="15">
      <c r="B170" s="1163" t="s">
        <v>46</v>
      </c>
      <c r="C170" s="1164">
        <v>24</v>
      </c>
      <c r="D170" s="1164">
        <v>10.852499999999999</v>
      </c>
      <c r="E170" s="1164">
        <v>44.4</v>
      </c>
      <c r="F170" s="1164">
        <v>16</v>
      </c>
      <c r="G170" s="1164">
        <v>17.599731813610457</v>
      </c>
    </row>
    <row r="171" spans="2:9" ht="15">
      <c r="B171" s="1165" t="s">
        <v>47</v>
      </c>
      <c r="C171" s="1162">
        <v>24</v>
      </c>
      <c r="D171" s="1162">
        <v>10.920000000000002</v>
      </c>
      <c r="E171" s="1162">
        <v>43.65</v>
      </c>
      <c r="F171" s="1162">
        <v>16</v>
      </c>
      <c r="G171" s="1162">
        <v>17.599785450888369</v>
      </c>
    </row>
    <row r="172" spans="2:9" ht="15">
      <c r="B172" s="1163" t="s">
        <v>48</v>
      </c>
      <c r="C172" s="1164">
        <v>24</v>
      </c>
      <c r="D172" s="1164">
        <v>11.15</v>
      </c>
      <c r="E172" s="1164">
        <v>43.65</v>
      </c>
      <c r="F172" s="1164">
        <v>16</v>
      </c>
      <c r="G172" s="1164">
        <v>17.600000000000001</v>
      </c>
    </row>
    <row r="173" spans="2:9" ht="15">
      <c r="B173" s="1165" t="s">
        <v>49</v>
      </c>
      <c r="C173" s="1162">
        <f>AVERAGE('X-SEMANA-SC'!F2072:F2075)</f>
        <v>24</v>
      </c>
      <c r="D173" s="1162">
        <f>AVERAGE('X-SEMANA-SC'!G2072:G2075)</f>
        <v>11.357500000000002</v>
      </c>
      <c r="E173" s="1162">
        <f>AVERAGE('X-SEMANA-SC'!H2072:H2075)</f>
        <v>43.65</v>
      </c>
      <c r="F173" s="1162">
        <f>AVERAGE('X-SEMANA-SC'!I2072:I2075)</f>
        <v>16</v>
      </c>
      <c r="G173" s="1162">
        <f>AVERAGE('X-SEMANA-SC'!J2072:J2075)</f>
        <v>17.599798860207844</v>
      </c>
    </row>
    <row r="174" spans="2:9" ht="15">
      <c r="B174" s="1163" t="s">
        <v>50</v>
      </c>
      <c r="C174" s="1164">
        <v>24</v>
      </c>
      <c r="D174" s="1164">
        <v>11.45</v>
      </c>
      <c r="E174" s="1164">
        <f>+'X-SEMANA-SC'!H2085</f>
        <v>41.65</v>
      </c>
      <c r="F174" s="1164">
        <v>16</v>
      </c>
      <c r="G174" s="1164">
        <v>17.600000000000001</v>
      </c>
    </row>
    <row r="175" spans="2:9" ht="15">
      <c r="B175" s="1165" t="s">
        <v>51</v>
      </c>
      <c r="C175" s="1162">
        <f>+'X-SEMANA-SC'!F2093</f>
        <v>24.5</v>
      </c>
      <c r="D175" s="1162">
        <f>+'X-SEMANA-SC'!G2093</f>
        <v>12.715</v>
      </c>
      <c r="E175" s="1162">
        <f>+'X-SEMANA-SC'!H2093</f>
        <v>41.65</v>
      </c>
      <c r="F175" s="1162">
        <f>+'X-SEMANA-SC'!I2093</f>
        <v>16.75</v>
      </c>
      <c r="G175" s="1162">
        <f>AVERAGE('X-SEMANA-SC'!J2089:J2092)</f>
        <v>18.855860710693932</v>
      </c>
    </row>
    <row r="176" spans="2:9" ht="15">
      <c r="B176" s="1163" t="s">
        <v>52</v>
      </c>
      <c r="C176" s="1164">
        <v>25.5</v>
      </c>
      <c r="D176" s="1164">
        <v>12.81</v>
      </c>
      <c r="E176" s="1164">
        <v>42.7</v>
      </c>
      <c r="F176" s="1164">
        <v>16.375</v>
      </c>
      <c r="G176" s="1164">
        <f>AVERAGE('X-SEMANA-SC'!J2097:J2100)</f>
        <v>20.111989607777403</v>
      </c>
      <c r="I176" s="708"/>
    </row>
    <row r="177" spans="2:7" ht="18">
      <c r="B177" s="1152" t="s">
        <v>7</v>
      </c>
      <c r="C177" s="1160">
        <f>AVERAGE(C165:C176)</f>
        <v>24.166666666666668</v>
      </c>
      <c r="D177" s="1160">
        <f>AVERAGE(D165:D176)</f>
        <v>11.499214285714286</v>
      </c>
      <c r="E177" s="1160">
        <f>AVERAGE(E165:E176)</f>
        <v>43.466666666666661</v>
      </c>
      <c r="F177" s="1160">
        <f>AVERAGE(F165:F176)</f>
        <v>16.09375</v>
      </c>
      <c r="G177" s="1160">
        <f>AVERAGE(G165:G176)</f>
        <v>17.904492610906246</v>
      </c>
    </row>
    <row r="178" spans="2:7" ht="15">
      <c r="B178" s="1153" t="s">
        <v>666</v>
      </c>
      <c r="C178" s="1154"/>
      <c r="D178" s="1155"/>
      <c r="E178" s="1155"/>
      <c r="F178" s="1155"/>
      <c r="G178" s="1155"/>
    </row>
    <row r="179" spans="2:7" ht="15">
      <c r="B179" s="1153" t="s">
        <v>620</v>
      </c>
      <c r="C179" s="1156"/>
      <c r="D179" s="1157"/>
      <c r="E179" s="1157"/>
      <c r="F179" s="1157"/>
      <c r="G179" s="1157"/>
    </row>
    <row r="180" spans="2:7" ht="15">
      <c r="B180" s="1158" t="s">
        <v>542</v>
      </c>
      <c r="C180" s="1156"/>
      <c r="D180" s="1157"/>
      <c r="E180" s="1157"/>
      <c r="F180" s="1157"/>
      <c r="G180" s="1157"/>
    </row>
    <row r="181" spans="2:7">
      <c r="B181" s="548"/>
      <c r="C181" s="548"/>
      <c r="D181" s="548"/>
      <c r="E181" s="548"/>
      <c r="F181" s="548"/>
      <c r="G181" s="548"/>
    </row>
    <row r="182" spans="2:7" ht="13.5">
      <c r="B182" s="1703" t="s">
        <v>535</v>
      </c>
      <c r="C182" s="1159" t="s">
        <v>57</v>
      </c>
      <c r="D182" s="1159" t="s">
        <v>58</v>
      </c>
      <c r="E182" s="1159" t="s">
        <v>59</v>
      </c>
      <c r="F182" s="1159" t="s">
        <v>60</v>
      </c>
      <c r="G182" s="1159" t="s">
        <v>61</v>
      </c>
    </row>
    <row r="183" spans="2:7" ht="13.5">
      <c r="B183" s="1703"/>
      <c r="C183" s="1159" t="s">
        <v>62</v>
      </c>
      <c r="D183" s="1159" t="s">
        <v>62</v>
      </c>
      <c r="E183" s="1159" t="s">
        <v>62</v>
      </c>
      <c r="F183" s="1159" t="s">
        <v>62</v>
      </c>
      <c r="G183" s="1159" t="s">
        <v>62</v>
      </c>
    </row>
    <row r="184" spans="2:7" ht="15">
      <c r="B184" s="1161" t="s">
        <v>41</v>
      </c>
      <c r="C184" s="1162">
        <f>+'X-SEMANA-SC'!F1909</f>
        <v>28.49</v>
      </c>
      <c r="D184" s="1162">
        <f>+'X-SEMANA-SC'!G1909</f>
        <v>9.2949999999999999</v>
      </c>
      <c r="E184" s="1162">
        <f>+'X-SEMANA-SC'!H1909:H1909</f>
        <v>39.799999999999997</v>
      </c>
      <c r="F184" s="1162">
        <f>+'X-SEMANA-SC'!I1909</f>
        <v>17.75</v>
      </c>
      <c r="G184" s="1162">
        <v>15.09</v>
      </c>
    </row>
    <row r="185" spans="2:7" ht="15">
      <c r="B185" s="1163" t="s">
        <v>42</v>
      </c>
      <c r="C185" s="1164">
        <f>+'X-SEMANA-SC'!F1918</f>
        <v>27.094000000000001</v>
      </c>
      <c r="D185" s="1164">
        <f>+'X-SEMANA-SC'!G1918</f>
        <v>8.7119999999999997</v>
      </c>
      <c r="E185" s="1164">
        <f>+'X-SEMANA-SC'!H1918</f>
        <v>39.799999999999997</v>
      </c>
      <c r="F185" s="1164">
        <f>+'X-SEMANA-SC'!I1918</f>
        <v>17</v>
      </c>
      <c r="G185" s="1164">
        <f>+'X-SEMANA-SC'!J1918</f>
        <v>15.085484411666107</v>
      </c>
    </row>
    <row r="186" spans="2:7" ht="15">
      <c r="B186" s="1165" t="s">
        <v>43</v>
      </c>
      <c r="C186" s="1162">
        <f>+'X-SEMANA-SC'!F1926</f>
        <v>24.25</v>
      </c>
      <c r="D186" s="1162">
        <f>+'X-SEMANA-SC'!G1926</f>
        <v>8.8975000000000009</v>
      </c>
      <c r="E186" s="1162">
        <f>+'X-SEMANA-SC'!H1926</f>
        <v>39.799999999999997</v>
      </c>
      <c r="F186" s="1162">
        <f>+'X-SEMANA-SC'!I1926</f>
        <v>17</v>
      </c>
      <c r="G186" s="1162">
        <f>+'X-SEMANA-SC'!J1926</f>
        <v>15.085484411666107</v>
      </c>
    </row>
    <row r="187" spans="2:7" ht="15">
      <c r="B187" s="1163" t="s">
        <v>44</v>
      </c>
      <c r="C187" s="1164">
        <f>+'X-SEMANA-SC'!F1934:F1934</f>
        <v>24</v>
      </c>
      <c r="D187" s="1164">
        <f>+'X-SEMANA-SC'!G1934:G1934</f>
        <v>8.8224999999999998</v>
      </c>
      <c r="E187" s="1164">
        <v>41.98</v>
      </c>
      <c r="F187" s="1164">
        <f>+'X-SEMANA-SC'!I1934:I1934</f>
        <v>17</v>
      </c>
      <c r="G187" s="1164">
        <f>+'X-SEMANA-SC'!J1934:J1934</f>
        <v>15.085484411666107</v>
      </c>
    </row>
    <row r="188" spans="2:7" ht="15">
      <c r="B188" s="1165" t="s">
        <v>45</v>
      </c>
      <c r="C188" s="1162">
        <v>24</v>
      </c>
      <c r="D188" s="1162">
        <v>9.5220000000000002</v>
      </c>
      <c r="E188" s="1162">
        <v>40.15</v>
      </c>
      <c r="F188" s="1162">
        <v>16.23</v>
      </c>
      <c r="G188" s="1162">
        <v>15.085484411666107</v>
      </c>
    </row>
    <row r="189" spans="2:7" ht="15">
      <c r="B189" s="1163" t="s">
        <v>46</v>
      </c>
      <c r="C189" s="1164">
        <v>24</v>
      </c>
      <c r="D189" s="1164">
        <v>10.039999999999999</v>
      </c>
      <c r="E189" s="1164">
        <v>40.15</v>
      </c>
      <c r="F189" s="1164">
        <v>16.149999999999999</v>
      </c>
      <c r="G189" s="1164">
        <v>17.599731813610457</v>
      </c>
    </row>
    <row r="190" spans="2:7" ht="15">
      <c r="B190" s="1165" t="s">
        <v>47</v>
      </c>
      <c r="C190" s="1162">
        <v>24</v>
      </c>
      <c r="D190" s="1162">
        <v>9.9875000000000007</v>
      </c>
      <c r="E190" s="1162">
        <v>42.9</v>
      </c>
      <c r="F190" s="1162">
        <v>16.149999999999999</v>
      </c>
      <c r="G190" s="1162">
        <v>17.599731813610457</v>
      </c>
    </row>
    <row r="191" spans="2:7" ht="15">
      <c r="B191" s="1163" t="s">
        <v>48</v>
      </c>
      <c r="C191" s="1164">
        <v>24</v>
      </c>
      <c r="D191" s="1164">
        <v>9.6939999999999991</v>
      </c>
      <c r="E191" s="1164">
        <v>45.65</v>
      </c>
      <c r="F191" s="1164">
        <v>16.130000000000003</v>
      </c>
      <c r="G191" s="1164">
        <v>16.258799865906802</v>
      </c>
    </row>
    <row r="192" spans="2:7" ht="15">
      <c r="B192" s="1165" t="s">
        <v>49</v>
      </c>
      <c r="C192" s="1162">
        <f>AVERAGE(C187:C191)</f>
        <v>24</v>
      </c>
      <c r="D192" s="1162">
        <f>AVERAGE(D187:D191)</f>
        <v>9.6132000000000009</v>
      </c>
      <c r="E192" s="1162">
        <v>45.65</v>
      </c>
      <c r="F192" s="1162">
        <f>AVERAGE(F187:F191)</f>
        <v>16.332000000000001</v>
      </c>
      <c r="G192" s="1162">
        <v>15.92</v>
      </c>
    </row>
    <row r="193" spans="2:7" ht="15">
      <c r="B193" s="1163" t="s">
        <v>50</v>
      </c>
      <c r="C193" s="1164">
        <v>24</v>
      </c>
      <c r="D193" s="1164">
        <v>9.7780000000000005</v>
      </c>
      <c r="E193" s="1164">
        <v>45.65</v>
      </c>
      <c r="F193" s="1164">
        <v>16.04</v>
      </c>
      <c r="G193" s="1164">
        <v>15.5</v>
      </c>
    </row>
    <row r="194" spans="2:7" ht="15">
      <c r="B194" s="1165" t="s">
        <v>51</v>
      </c>
      <c r="C194" s="1162">
        <v>24</v>
      </c>
      <c r="D194" s="1162">
        <v>10.1975</v>
      </c>
      <c r="E194" s="1162">
        <v>45.65</v>
      </c>
      <c r="F194" s="1162">
        <v>16</v>
      </c>
      <c r="G194" s="1162">
        <v>15.504525645323499</v>
      </c>
    </row>
    <row r="195" spans="2:7" ht="15">
      <c r="B195" s="1163" t="s">
        <v>52</v>
      </c>
      <c r="C195" s="1164">
        <v>24</v>
      </c>
      <c r="D195" s="1164">
        <v>10.73</v>
      </c>
      <c r="E195" s="1164">
        <v>45.65</v>
      </c>
      <c r="F195" s="1164">
        <v>16</v>
      </c>
      <c r="G195" s="1164">
        <v>15.923566878980891</v>
      </c>
    </row>
    <row r="196" spans="2:7" ht="16.5" customHeight="1">
      <c r="B196" s="1152" t="s">
        <v>7</v>
      </c>
      <c r="C196" s="1160">
        <f>AVERAGE(C184:C195)</f>
        <v>24.652833333333334</v>
      </c>
      <c r="D196" s="1160">
        <f>AVERAGE(D184:D195)</f>
        <v>9.6074333333333346</v>
      </c>
      <c r="E196" s="1160">
        <f>AVERAGE(E184:E195)</f>
        <v>42.735833333333325</v>
      </c>
      <c r="F196" s="1160">
        <f>AVERAGE(F184:F195)</f>
        <v>16.481833333333331</v>
      </c>
      <c r="G196" s="1160">
        <f>AVERAGE(G184:G195)</f>
        <v>15.811524472008044</v>
      </c>
    </row>
    <row r="197" spans="2:7" ht="15">
      <c r="B197" s="1153" t="s">
        <v>666</v>
      </c>
      <c r="C197" s="298"/>
      <c r="D197" s="86"/>
      <c r="E197" s="86"/>
      <c r="F197" s="86"/>
      <c r="G197" s="86"/>
    </row>
    <row r="198" spans="2:7" ht="15">
      <c r="B198" s="1153" t="s">
        <v>620</v>
      </c>
      <c r="C198" s="299"/>
      <c r="D198" s="129"/>
      <c r="E198" s="129"/>
      <c r="F198" s="129"/>
      <c r="G198" s="129"/>
    </row>
    <row r="199" spans="2:7" ht="15">
      <c r="B199" s="1158" t="s">
        <v>542</v>
      </c>
      <c r="C199" s="299"/>
      <c r="D199" s="129"/>
      <c r="E199" s="129"/>
      <c r="F199" s="129"/>
      <c r="G199" s="129"/>
    </row>
    <row r="200" spans="2:7" ht="13.5">
      <c r="B200" s="1703" t="s">
        <v>508</v>
      </c>
      <c r="C200" s="1159" t="s">
        <v>57</v>
      </c>
      <c r="D200" s="1159" t="s">
        <v>58</v>
      </c>
      <c r="E200" s="1159" t="s">
        <v>59</v>
      </c>
      <c r="F200" s="1159" t="s">
        <v>60</v>
      </c>
      <c r="G200" s="1159" t="s">
        <v>61</v>
      </c>
    </row>
    <row r="201" spans="2:7" ht="13.5">
      <c r="B201" s="1703"/>
      <c r="C201" s="1159" t="s">
        <v>62</v>
      </c>
      <c r="D201" s="1159" t="s">
        <v>62</v>
      </c>
      <c r="E201" s="1159" t="s">
        <v>62</v>
      </c>
      <c r="F201" s="1159" t="s">
        <v>62</v>
      </c>
      <c r="G201" s="1159" t="s">
        <v>62</v>
      </c>
    </row>
    <row r="202" spans="2:7" ht="15">
      <c r="B202" s="1161" t="s">
        <v>41</v>
      </c>
      <c r="C202" s="1162">
        <v>27</v>
      </c>
      <c r="D202" s="1162">
        <v>15.176666666666668</v>
      </c>
      <c r="E202" s="1162">
        <v>50.65</v>
      </c>
      <c r="F202" s="1162">
        <v>22.64</v>
      </c>
      <c r="G202" s="1162">
        <v>17.599731813610457</v>
      </c>
    </row>
    <row r="203" spans="2:7" ht="15">
      <c r="B203" s="1163" t="s">
        <v>42</v>
      </c>
      <c r="C203" s="1164">
        <v>27</v>
      </c>
      <c r="D203" s="1164">
        <v>15.44</v>
      </c>
      <c r="E203" s="1164">
        <f>+'X-SEMANA-SC'!H1809</f>
        <v>50.65</v>
      </c>
      <c r="F203" s="1164">
        <v>19.55</v>
      </c>
      <c r="G203" s="1164">
        <v>15.420717398592021</v>
      </c>
    </row>
    <row r="204" spans="2:7" ht="15">
      <c r="B204" s="1165" t="s">
        <v>43</v>
      </c>
      <c r="C204" s="1162">
        <f>+'X-SEMANA-SC'!F1819</f>
        <v>27</v>
      </c>
      <c r="D204" s="1162">
        <f>+'X-SEMANA-SC'!G1819</f>
        <v>14.464000000000002</v>
      </c>
      <c r="E204" s="1162">
        <f>+'X-SEMANA-SC'!H1819</f>
        <v>50.65</v>
      </c>
      <c r="F204" s="1162">
        <f>+'X-SEMANA-SC'!I1819</f>
        <v>19.55</v>
      </c>
      <c r="G204" s="1162">
        <f>+'X-SEMANA-SC'!J1819</f>
        <v>15.08548441166611</v>
      </c>
    </row>
    <row r="205" spans="2:7" ht="15">
      <c r="B205" s="1163" t="s">
        <v>44</v>
      </c>
      <c r="C205" s="1164">
        <f>+'X-SEMANA-SC'!F1828</f>
        <v>28.462500000000002</v>
      </c>
      <c r="D205" s="1164">
        <f>+'X-SEMANA-SC'!G1828</f>
        <v>14.56</v>
      </c>
      <c r="E205" s="1164">
        <f>+'X-SEMANA-SC'!H1828</f>
        <v>50.65</v>
      </c>
      <c r="F205" s="1164">
        <f>+'X-SEMANA-SC'!I1828</f>
        <v>19.55</v>
      </c>
      <c r="G205" s="1164">
        <f>+'X-SEMANA-SC'!J1828</f>
        <v>14.582634931277237</v>
      </c>
    </row>
    <row r="206" spans="2:7" ht="15">
      <c r="B206" s="1165" t="s">
        <v>45</v>
      </c>
      <c r="C206" s="1162">
        <f>+'X-SEMANA-SC'!F1837</f>
        <v>28.95</v>
      </c>
      <c r="D206" s="1162">
        <f>+'X-SEMANA-SC'!G1837</f>
        <v>13.693333333333333</v>
      </c>
      <c r="E206" s="1162">
        <f>+'X-SEMANA-SC'!H1837</f>
        <v>46.5</v>
      </c>
      <c r="F206" s="1162">
        <f>+'X-SEMANA-SC'!I1837</f>
        <v>19.616666666666667</v>
      </c>
      <c r="G206" s="1162">
        <f>+'X-SEMANA-SC'!J1837</f>
        <v>12.990278243379148</v>
      </c>
    </row>
    <row r="207" spans="2:7" ht="15">
      <c r="B207" s="1163" t="s">
        <v>46</v>
      </c>
      <c r="C207" s="1164">
        <f>+'X-SEMANA-SC'!F1847</f>
        <v>28.95</v>
      </c>
      <c r="D207" s="1164">
        <f>+'X-SEMANA-SC'!G1847</f>
        <v>13.319999999999999</v>
      </c>
      <c r="E207" s="1164">
        <f>+'X-SEMANA-SC'!H1847</f>
        <v>43.25</v>
      </c>
      <c r="F207" s="1164">
        <f>+'X-SEMANA-SC'!I1847</f>
        <v>19.390000000000004</v>
      </c>
      <c r="G207" s="1164">
        <f>+'X-SEMANA-SC'!J1847</f>
        <v>12.570247401944352</v>
      </c>
    </row>
    <row r="208" spans="2:7" ht="15">
      <c r="B208" s="1165" t="s">
        <v>47</v>
      </c>
      <c r="C208" s="1162">
        <f>+'X-SEMANA-SC'!F1857</f>
        <v>28.95</v>
      </c>
      <c r="D208" s="1162">
        <f>+'X-SEMANA-SC'!G1857</f>
        <v>13.202000000000002</v>
      </c>
      <c r="E208" s="1162">
        <f>+'X-SEMANA-SC'!H1857</f>
        <v>42.35</v>
      </c>
      <c r="F208" s="1162">
        <f>+'X-SEMANA-SC'!I1857</f>
        <v>19.11</v>
      </c>
      <c r="G208" s="1162">
        <f>+'X-SEMANA-SC'!J1857</f>
        <v>12.57</v>
      </c>
    </row>
    <row r="209" spans="2:7" ht="15">
      <c r="B209" s="1163" t="s">
        <v>48</v>
      </c>
      <c r="C209" s="1164">
        <f>+'X-SEMANA-SC'!F1867</f>
        <v>28.95</v>
      </c>
      <c r="D209" s="1164">
        <f>+'X-SEMANA-SC'!G1867</f>
        <v>12.373999999999999</v>
      </c>
      <c r="E209" s="1164">
        <f>+'X-SEMANA-SC'!H1867</f>
        <v>42.35</v>
      </c>
      <c r="F209" s="1164">
        <f>+'X-SEMANA-SC'!I1867</f>
        <v>19.05</v>
      </c>
      <c r="G209" s="1164">
        <f>+'X-SEMANA-SC'!J1867</f>
        <v>12.57</v>
      </c>
    </row>
    <row r="210" spans="2:7" ht="15">
      <c r="B210" s="1165" t="s">
        <v>49</v>
      </c>
      <c r="C210" s="1162">
        <f>+'X-SEMANA-SC'!F1876</f>
        <v>28.95</v>
      </c>
      <c r="D210" s="1162">
        <f>+'X-SEMANA-SC'!G1876</f>
        <v>11.267499999999998</v>
      </c>
      <c r="E210" s="1162">
        <f>+'X-SEMANA-SC'!H1876</f>
        <v>42.35</v>
      </c>
      <c r="F210" s="1162">
        <f>+'X-SEMANA-SC'!I1876</f>
        <v>19.05</v>
      </c>
      <c r="G210" s="1162">
        <f>+'X-SEMANA-SC'!J1876</f>
        <v>12.57</v>
      </c>
    </row>
    <row r="211" spans="2:7" ht="15">
      <c r="B211" s="1163" t="s">
        <v>50</v>
      </c>
      <c r="C211" s="1164">
        <v>28.95</v>
      </c>
      <c r="D211" s="1164">
        <v>10.432500000000001</v>
      </c>
      <c r="E211" s="1164">
        <v>42.35</v>
      </c>
      <c r="F211" s="1164">
        <v>19.05</v>
      </c>
      <c r="G211" s="1164">
        <v>12.57</v>
      </c>
    </row>
    <row r="212" spans="2:7" ht="15">
      <c r="B212" s="1165" t="s">
        <v>51</v>
      </c>
      <c r="C212" s="1162">
        <v>28.857999999999997</v>
      </c>
      <c r="D212" s="1162">
        <v>10.453999999999999</v>
      </c>
      <c r="E212" s="1162">
        <v>42.35</v>
      </c>
      <c r="F212" s="1162">
        <v>18.25</v>
      </c>
      <c r="G212" s="1162">
        <v>15.085484411666107</v>
      </c>
    </row>
    <row r="213" spans="2:7" ht="15">
      <c r="B213" s="1163" t="s">
        <v>52</v>
      </c>
      <c r="C213" s="1164">
        <f>+'X-SEMANA-SC'!F1901</f>
        <v>28.49</v>
      </c>
      <c r="D213" s="1164">
        <f>+'X-SEMANA-SC'!G1909</f>
        <v>9.2949999999999999</v>
      </c>
      <c r="E213" s="1164">
        <f>+'X-SEMANA-SC'!H1901</f>
        <v>39.799999999999997</v>
      </c>
      <c r="F213" s="1164">
        <f>+'X-SEMANA-SC'!I1901</f>
        <v>18.55</v>
      </c>
      <c r="G213" s="1164">
        <v>15.09</v>
      </c>
    </row>
    <row r="214" spans="2:7">
      <c r="B214" s="1144" t="s">
        <v>7</v>
      </c>
      <c r="C214" s="1145">
        <f>AVERAGE(C202:C213)</f>
        <v>28.375874999999997</v>
      </c>
      <c r="D214" s="1145">
        <f>AVERAGE(D202:D213)</f>
        <v>12.806583333333331</v>
      </c>
      <c r="E214" s="1145">
        <f>AVERAGE(E202:E213)</f>
        <v>45.32500000000001</v>
      </c>
      <c r="F214" s="1145">
        <f>AVERAGE(F202:F213)</f>
        <v>19.446388888888894</v>
      </c>
      <c r="G214" s="1145">
        <f>AVERAGE(G202:G213)</f>
        <v>14.058714884344617</v>
      </c>
    </row>
    <row r="215" spans="2:7">
      <c r="B215" s="1141" t="s">
        <v>666</v>
      </c>
      <c r="C215" s="298"/>
      <c r="D215" s="86"/>
      <c r="E215" s="86"/>
      <c r="F215" s="86"/>
      <c r="G215" s="86"/>
    </row>
    <row r="216" spans="2:7">
      <c r="B216" s="1141" t="s">
        <v>620</v>
      </c>
      <c r="C216" s="299"/>
      <c r="D216" s="129"/>
      <c r="E216" s="129"/>
      <c r="F216" s="129"/>
      <c r="G216" s="129"/>
    </row>
    <row r="217" spans="2:7">
      <c r="B217" s="1142" t="s">
        <v>542</v>
      </c>
      <c r="C217" s="299"/>
      <c r="D217" s="129"/>
      <c r="E217" s="129"/>
      <c r="F217" s="129"/>
      <c r="G217" s="129"/>
    </row>
    <row r="218" spans="2:7" ht="13.5">
      <c r="B218" s="1703" t="s">
        <v>484</v>
      </c>
      <c r="C218" s="1159" t="s">
        <v>57</v>
      </c>
      <c r="D218" s="1159" t="s">
        <v>58</v>
      </c>
      <c r="E218" s="1159" t="s">
        <v>59</v>
      </c>
      <c r="F218" s="1159" t="s">
        <v>60</v>
      </c>
      <c r="G218" s="1159" t="s">
        <v>61</v>
      </c>
    </row>
    <row r="219" spans="2:7" ht="13.5">
      <c r="B219" s="1703"/>
      <c r="C219" s="1159" t="s">
        <v>62</v>
      </c>
      <c r="D219" s="1159" t="s">
        <v>62</v>
      </c>
      <c r="E219" s="1159" t="s">
        <v>62</v>
      </c>
      <c r="F219" s="1159" t="s">
        <v>62</v>
      </c>
      <c r="G219" s="1159" t="s">
        <v>62</v>
      </c>
    </row>
    <row r="220" spans="2:7" ht="15">
      <c r="B220" s="1161" t="s">
        <v>41</v>
      </c>
      <c r="C220" s="1162">
        <f>+'X-SEMANA-SC'!F1699</f>
        <v>34.549999999999997</v>
      </c>
      <c r="D220" s="1162">
        <f>+'X-SEMANA-SC'!G1699</f>
        <v>21.26</v>
      </c>
      <c r="E220" s="1162">
        <f>+'X-SEMANA-SC'!H1699</f>
        <v>54.63</v>
      </c>
      <c r="F220" s="1162">
        <f>+'X-SEMANA-SC'!I1699</f>
        <v>29.25</v>
      </c>
      <c r="G220" s="1162">
        <f>+'X-SEMANA-SC'!J1695</f>
        <v>22.628226617499163</v>
      </c>
    </row>
    <row r="221" spans="2:7" ht="15">
      <c r="B221" s="1163" t="s">
        <v>42</v>
      </c>
      <c r="C221" s="1164">
        <f>+'X-SEMANA-SC'!F1707</f>
        <v>34.549999999999997</v>
      </c>
      <c r="D221" s="1164">
        <f>+'X-SEMANA-SC'!G1707</f>
        <v>21.022500000000001</v>
      </c>
      <c r="E221" s="1164">
        <f>+'X-SEMANA-SC'!H1706</f>
        <v>51.75</v>
      </c>
      <c r="F221" s="1164">
        <f>+'X-SEMANA-SC'!I1707</f>
        <v>29.5</v>
      </c>
      <c r="G221" s="1164">
        <f>+'X-SEMANA-SC'!J1707</f>
        <v>23.047267851156551</v>
      </c>
    </row>
    <row r="222" spans="2:7" ht="15">
      <c r="B222" s="1165" t="s">
        <v>43</v>
      </c>
      <c r="C222" s="1162">
        <f>+'X-SEMANA-SC'!F1716</f>
        <v>34.549999999999997</v>
      </c>
      <c r="D222" s="1162">
        <f>+'X-SEMANA-SC'!G1716</f>
        <v>20.979999999999997</v>
      </c>
      <c r="E222" s="1162">
        <f>+'X-SEMANA-SC'!H1716</f>
        <v>51.8</v>
      </c>
      <c r="F222" s="1162">
        <f>+'X-SEMANA-SC'!I1716</f>
        <v>29.5</v>
      </c>
      <c r="G222" s="1162">
        <f>+'X-SEMANA-SC'!J1716</f>
        <v>23.466309084813943</v>
      </c>
    </row>
    <row r="223" spans="2:7" ht="15">
      <c r="B223" s="1163" t="s">
        <v>44</v>
      </c>
      <c r="C223" s="1164">
        <f>+'X-SEMANA-SC'!F1724</f>
        <v>34.549999999999997</v>
      </c>
      <c r="D223" s="1164">
        <f>+'X-SEMANA-SC'!G1724</f>
        <v>21.205000000000002</v>
      </c>
      <c r="E223" s="1164">
        <f>+'X-SEMANA-SC'!H1724</f>
        <v>53.67</v>
      </c>
      <c r="F223" s="1164">
        <f>+'X-SEMANA-SC'!I1724</f>
        <v>29.5</v>
      </c>
      <c r="G223" s="1164">
        <f>+'X-SEMANA-SC'!J1724</f>
        <v>23.466309084813943</v>
      </c>
    </row>
    <row r="224" spans="2:7" ht="15">
      <c r="B224" s="1165" t="s">
        <v>45</v>
      </c>
      <c r="C224" s="1162">
        <f>+'X-SEMANA-SC'!F1732</f>
        <v>34.549999999999997</v>
      </c>
      <c r="D224" s="1162">
        <f>+'X-SEMANA-SC'!G1732</f>
        <v>21.125</v>
      </c>
      <c r="E224" s="1162">
        <f>+'X-SEMANA-SC'!H1732</f>
        <v>54.2</v>
      </c>
      <c r="F224" s="1162">
        <f>+'X-SEMANA-SC'!I1732</f>
        <v>29.5</v>
      </c>
      <c r="G224" s="1162">
        <f>+'X-SEMANA-SC'!J1732</f>
        <v>23.466309084813943</v>
      </c>
    </row>
    <row r="225" spans="2:7" ht="15">
      <c r="B225" s="1163" t="s">
        <v>46</v>
      </c>
      <c r="C225" s="1164">
        <f>+'X-SEMANA-SC'!F1732</f>
        <v>34.549999999999997</v>
      </c>
      <c r="D225" s="1164">
        <f>+'X-SEMANA-SC'!G1732</f>
        <v>21.125</v>
      </c>
      <c r="E225" s="1164">
        <f>+'X-SEMANA-SC'!H1732</f>
        <v>54.2</v>
      </c>
      <c r="F225" s="1164">
        <f>+'X-SEMANA-SC'!I1732</f>
        <v>29.5</v>
      </c>
      <c r="G225" s="1164">
        <f>+'X-SEMANA-SC'!J1732</f>
        <v>23.466309084813943</v>
      </c>
    </row>
    <row r="226" spans="2:7" ht="15">
      <c r="B226" s="1165" t="s">
        <v>47</v>
      </c>
      <c r="C226" s="1162">
        <f>+'X-SEMANA-SC'!F1749</f>
        <v>34.549999999999997</v>
      </c>
      <c r="D226" s="1162">
        <f>+'X-SEMANA-SC'!G1749</f>
        <v>21.524000000000001</v>
      </c>
      <c r="E226" s="1162">
        <f>+'X-SEMANA-SC'!H1749</f>
        <v>53.15</v>
      </c>
      <c r="F226" s="1162">
        <f>+'X-SEMANA-SC'!I1749</f>
        <v>29.5</v>
      </c>
      <c r="G226" s="1162">
        <f>+'X-SEMANA-SC'!J1749</f>
        <v>23.466309084813943</v>
      </c>
    </row>
    <row r="227" spans="2:7" ht="15">
      <c r="B227" s="1163" t="s">
        <v>48</v>
      </c>
      <c r="C227" s="1164">
        <f>+'X-SEMANA-SC'!F1757</f>
        <v>34.549999999999997</v>
      </c>
      <c r="D227" s="1164">
        <f>+'X-SEMANA-SC'!G1757</f>
        <v>22.926666666666666</v>
      </c>
      <c r="E227" s="1164">
        <f>+'X-SEMANA-SC'!H1757</f>
        <v>53.15</v>
      </c>
      <c r="F227" s="1164">
        <f>+'X-SEMANA-SC'!I1757</f>
        <v>29.5</v>
      </c>
      <c r="G227" s="1164">
        <f>+'X-SEMANA-SC'!J1757</f>
        <v>23.466309084813943</v>
      </c>
    </row>
    <row r="228" spans="2:7" ht="15">
      <c r="B228" s="1165" t="s">
        <v>49</v>
      </c>
      <c r="C228" s="1162">
        <f>+'X-SEMANA-SC'!F1766</f>
        <v>34.549999999999997</v>
      </c>
      <c r="D228" s="1162">
        <f>+'X-SEMANA-SC'!G1766</f>
        <v>21.372</v>
      </c>
      <c r="E228" s="1162">
        <f>+'X-SEMANA-SC'!H1766</f>
        <v>53.15</v>
      </c>
      <c r="F228" s="1162">
        <f>+'X-SEMANA-SC'!I1766</f>
        <v>29.5</v>
      </c>
      <c r="G228" s="1162">
        <f>+'X-SEMANA-SC'!J1766</f>
        <v>23.466309084813943</v>
      </c>
    </row>
    <row r="229" spans="2:7" ht="15">
      <c r="B229" s="1163" t="s">
        <v>50</v>
      </c>
      <c r="C229" s="1164">
        <f>+'X-SEMANA-SC'!F1774</f>
        <v>34.549999999999997</v>
      </c>
      <c r="D229" s="1164">
        <f>+'X-SEMANA-SC'!G1774</f>
        <v>21.0625</v>
      </c>
      <c r="E229" s="1164">
        <f>+'X-SEMANA-SC'!H1774</f>
        <v>52.72</v>
      </c>
      <c r="F229" s="1164">
        <f>+'X-SEMANA-SC'!I1774</f>
        <v>29.5</v>
      </c>
      <c r="G229" s="1164">
        <f>+'X-SEMANA-SC'!J1774</f>
        <v>23.466309084813943</v>
      </c>
    </row>
    <row r="230" spans="2:7" ht="15">
      <c r="B230" s="1165" t="s">
        <v>51</v>
      </c>
      <c r="C230" s="1162">
        <f>+'X-SEMANA-SC'!F1782</f>
        <v>34.549999999999997</v>
      </c>
      <c r="D230" s="1162">
        <f>+'X-SEMANA-SC'!G1782</f>
        <v>19.729999999999997</v>
      </c>
      <c r="E230" s="1162">
        <f>+'X-SEMANA-SC'!H1782</f>
        <v>52.65</v>
      </c>
      <c r="F230" s="1162">
        <f>+'X-SEMANA-SC'!I1774</f>
        <v>29.5</v>
      </c>
      <c r="G230" s="1162">
        <f>+'X-SEMANA-SC'!J1782</f>
        <v>23.466309084813901</v>
      </c>
    </row>
    <row r="231" spans="2:7" ht="15">
      <c r="B231" s="1163" t="s">
        <v>52</v>
      </c>
      <c r="C231" s="1164">
        <f>+'X-SEMANA-SC'!F1791</f>
        <v>34.549999999999997</v>
      </c>
      <c r="D231" s="1164">
        <f>+'X-SEMANA-SC'!G1791</f>
        <v>18.192500000000003</v>
      </c>
      <c r="E231" s="1164">
        <f>+'X-SEMANA-SC'!H1791</f>
        <v>51.65</v>
      </c>
      <c r="F231" s="1164">
        <f>+'X-SEMANA-SC'!I1791</f>
        <v>29.5</v>
      </c>
      <c r="G231" s="1164">
        <v>20.28</v>
      </c>
    </row>
    <row r="232" spans="2:7">
      <c r="B232" s="1146" t="s">
        <v>7</v>
      </c>
      <c r="C232" s="1147">
        <f>AVERAGE(C220:C231)</f>
        <v>34.550000000000004</v>
      </c>
      <c r="D232" s="1147">
        <f>AVERAGE(D220:D231)</f>
        <v>20.960430555555554</v>
      </c>
      <c r="E232" s="1147">
        <f>AVERAGE(E220:E231)</f>
        <v>53.059999999999995</v>
      </c>
      <c r="F232" s="1147">
        <f>AVERAGE(F220:F231)</f>
        <v>29.479166666666668</v>
      </c>
      <c r="G232" s="1147">
        <f>AVERAGE(G220:G231)</f>
        <v>23.096023019331756</v>
      </c>
    </row>
    <row r="233" spans="2:7">
      <c r="B233" s="1141" t="s">
        <v>666</v>
      </c>
      <c r="C233" s="298"/>
      <c r="D233" s="86"/>
      <c r="E233" s="86"/>
      <c r="F233" s="86"/>
      <c r="G233" s="86"/>
    </row>
    <row r="234" spans="2:7">
      <c r="B234" s="1141" t="s">
        <v>620</v>
      </c>
      <c r="C234" s="299"/>
      <c r="D234" s="129"/>
      <c r="E234" s="129"/>
      <c r="F234" s="129"/>
      <c r="G234" s="129"/>
    </row>
    <row r="235" spans="2:7">
      <c r="B235" s="1142" t="s">
        <v>542</v>
      </c>
      <c r="C235" s="299"/>
      <c r="D235" s="129"/>
      <c r="E235" s="129"/>
      <c r="F235" s="129"/>
      <c r="G235" s="129"/>
    </row>
    <row r="236" spans="2:7">
      <c r="B236" s="548"/>
      <c r="C236" s="548"/>
      <c r="D236" s="548"/>
      <c r="E236" s="548"/>
      <c r="F236" s="548"/>
      <c r="G236" s="548"/>
    </row>
    <row r="237" spans="2:7" ht="13.5">
      <c r="B237" s="1703" t="s">
        <v>472</v>
      </c>
      <c r="C237" s="1159" t="s">
        <v>57</v>
      </c>
      <c r="D237" s="1159" t="s">
        <v>58</v>
      </c>
      <c r="E237" s="1159" t="s">
        <v>59</v>
      </c>
      <c r="F237" s="1159" t="s">
        <v>60</v>
      </c>
      <c r="G237" s="1159" t="s">
        <v>61</v>
      </c>
    </row>
    <row r="238" spans="2:7" ht="13.5">
      <c r="B238" s="1703"/>
      <c r="C238" s="1159" t="s">
        <v>62</v>
      </c>
      <c r="D238" s="1159" t="s">
        <v>62</v>
      </c>
      <c r="E238" s="1159" t="s">
        <v>62</v>
      </c>
      <c r="F238" s="1159" t="s">
        <v>62</v>
      </c>
      <c r="G238" s="1159" t="s">
        <v>62</v>
      </c>
    </row>
    <row r="239" spans="2:7" ht="15">
      <c r="B239" s="1161" t="s">
        <v>41</v>
      </c>
      <c r="C239" s="1162">
        <f>+'X-SEMANA-SC'!F1599</f>
        <v>35.35</v>
      </c>
      <c r="D239" s="1162">
        <f>+'X-SEMANA-SC'!G1599</f>
        <v>22.956</v>
      </c>
      <c r="E239" s="1162">
        <f>+'X-SEMANA-SC'!H1599</f>
        <v>54.179999999999993</v>
      </c>
      <c r="F239" s="1162">
        <f>+'X-SEMANA-SC'!I1599</f>
        <v>30.43</v>
      </c>
      <c r="G239" s="1162">
        <f>+'X-SEMANA-SC'!J1599</f>
        <v>15.086387529332885</v>
      </c>
    </row>
    <row r="240" spans="2:7" ht="15">
      <c r="B240" s="1163" t="s">
        <v>42</v>
      </c>
      <c r="C240" s="1164">
        <f>+'X-SEMANA-SC'!F1607</f>
        <v>35.950000000000003</v>
      </c>
      <c r="D240" s="1164">
        <f>+'X-SEMANA-SC'!G1607</f>
        <v>22.792499999999997</v>
      </c>
      <c r="E240" s="1164">
        <f>+'X-SEMANA-SC'!H1607</f>
        <v>53.83</v>
      </c>
      <c r="F240" s="1164">
        <f>+'X-SEMANA-SC'!I1607</f>
        <v>29.774999999999999</v>
      </c>
      <c r="G240" s="1164">
        <f>+'X-SEMANA-SC'!J1607</f>
        <v>16.594032852832719</v>
      </c>
    </row>
    <row r="241" spans="1:7" ht="15">
      <c r="B241" s="1165" t="s">
        <v>43</v>
      </c>
      <c r="C241" s="1162">
        <f>+'X-SEMANA-SC'!F1615</f>
        <v>35.950000000000003</v>
      </c>
      <c r="D241" s="1162">
        <f>+'X-SEMANA-SC'!G1615</f>
        <v>22.517499999999998</v>
      </c>
      <c r="E241" s="1162">
        <f>+'X-SEMANA-SC'!H1615</f>
        <v>53.83</v>
      </c>
      <c r="F241" s="1162">
        <f>+'X-SEMANA-SC'!I1615</f>
        <v>29.737500000000001</v>
      </c>
      <c r="G241" s="1162">
        <f>+'X-SEMANA-SC'!J1615</f>
        <v>17.851156553804895</v>
      </c>
    </row>
    <row r="242" spans="1:7" ht="15">
      <c r="B242" s="1163" t="s">
        <v>44</v>
      </c>
      <c r="C242" s="1164">
        <f>+'X-SEMANA-SC'!F1624</f>
        <v>36.75</v>
      </c>
      <c r="D242" s="1164">
        <f>+'X-SEMANA-SC'!G1624</f>
        <v>22.33</v>
      </c>
      <c r="E242" s="1164">
        <f>+'X-SEMANA-SC'!H1624</f>
        <v>55.679999999999993</v>
      </c>
      <c r="F242" s="1164">
        <f>+'X-SEMANA-SC'!I1624</f>
        <v>29.72</v>
      </c>
      <c r="G242" s="1164">
        <f>+'X-SEMANA-SC'!J1624</f>
        <v>18.270197787462287</v>
      </c>
    </row>
    <row r="243" spans="1:7" ht="15">
      <c r="B243" s="1165" t="s">
        <v>45</v>
      </c>
      <c r="C243" s="1162">
        <f>+'X-SEMANA-SC'!F1632</f>
        <v>36.400000000000006</v>
      </c>
      <c r="D243" s="1162">
        <f>+'X-SEMANA-SC'!G1632</f>
        <v>22.04301071428571</v>
      </c>
      <c r="E243" s="1162">
        <f>+'X-SEMANA-SC'!H1632</f>
        <v>55.58</v>
      </c>
      <c r="F243" s="1162">
        <f>+'X-SEMANA-SC'!I1632</f>
        <v>29.700000000000003</v>
      </c>
      <c r="G243" s="1162">
        <f>+'X-SEMANA-SC'!J1632</f>
        <v>18.270197787462287</v>
      </c>
    </row>
    <row r="244" spans="1:7" ht="15">
      <c r="B244" s="1163" t="s">
        <v>46</v>
      </c>
      <c r="C244" s="1164">
        <f>+'X-SEMANA-SC'!F1640</f>
        <v>34.5</v>
      </c>
      <c r="D244" s="1164">
        <f>+'X-SEMANA-SC'!G1640</f>
        <v>21.899382500000002</v>
      </c>
      <c r="E244" s="1164">
        <f>+'X-SEMANA-SC'!H1640</f>
        <v>55.65</v>
      </c>
      <c r="F244" s="1164">
        <f>+'X-SEMANA-SC'!I1640</f>
        <v>29.725000000000001</v>
      </c>
      <c r="G244" s="1164">
        <f>+'X-SEMANA-SC'!J1640</f>
        <v>19.653033858531678</v>
      </c>
    </row>
    <row r="245" spans="1:7" ht="15">
      <c r="B245" s="1165" t="s">
        <v>47</v>
      </c>
      <c r="C245" s="1162">
        <f>+'X-SEMANA-SC'!F1649</f>
        <v>33.75</v>
      </c>
      <c r="D245" s="1162">
        <f>+'X-SEMANA-SC'!G1649</f>
        <v>21.817540000000001</v>
      </c>
      <c r="E245" s="1162">
        <f>+'X-SEMANA-SC'!H1649</f>
        <v>56.63000000000001</v>
      </c>
      <c r="F245" s="1162">
        <f>+'X-SEMANA-SC'!I1649</f>
        <v>29.639999999999997</v>
      </c>
      <c r="G245" s="1162">
        <f>+'X-SEMANA-SC'!J1649</f>
        <v>20.11397921555481</v>
      </c>
    </row>
    <row r="246" spans="1:7" ht="15">
      <c r="B246" s="1163" t="s">
        <v>48</v>
      </c>
      <c r="C246" s="1164">
        <f>'X-SEMANA-SC'!F1657</f>
        <v>33.75</v>
      </c>
      <c r="D246" s="1164">
        <f>+'X-SEMANA-SC'!G1657</f>
        <v>21.510005949999996</v>
      </c>
      <c r="E246" s="1164">
        <f>+'X-SEMANA-SC'!H1656</f>
        <v>57.63</v>
      </c>
      <c r="F246" s="1164">
        <f>+'X-SEMANA-SC'!I1657</f>
        <v>29.674999999999997</v>
      </c>
      <c r="G246" s="1164">
        <f>+'X-SEMANA-SC'!J1657</f>
        <v>20.11397921555481</v>
      </c>
    </row>
    <row r="247" spans="1:7" ht="12" customHeight="1">
      <c r="B247" s="1165" t="s">
        <v>49</v>
      </c>
      <c r="C247" s="1162">
        <f>+'X-SEMANA-SC'!F1666</f>
        <v>34.15</v>
      </c>
      <c r="D247" s="1162">
        <f>+'X-SEMANA-SC'!G1666</f>
        <v>21.438795238095238</v>
      </c>
      <c r="E247" s="1162">
        <f>+'X-SEMANA-SC'!H1666</f>
        <v>57.8</v>
      </c>
      <c r="F247" s="1162">
        <f>+'X-SEMANA-SC'!I1666</f>
        <v>29.68</v>
      </c>
      <c r="G247" s="1162">
        <f>+'X-SEMANA-SC'!J1666</f>
        <v>21.790144150184378</v>
      </c>
    </row>
    <row r="248" spans="1:7" ht="13.5" customHeight="1">
      <c r="B248" s="1163" t="s">
        <v>50</v>
      </c>
      <c r="C248" s="1164">
        <f>+'X-SEMANA-SC'!F1674</f>
        <v>34.65</v>
      </c>
      <c r="D248" s="1164">
        <f>+'X-SEMANA-SC'!G1674</f>
        <v>23.857500000000002</v>
      </c>
      <c r="E248" s="1164">
        <f>+'X-SEMANA-SC'!H1674</f>
        <v>57.8</v>
      </c>
      <c r="F248" s="1164">
        <f>+'X-SEMANA-SC'!I1674</f>
        <v>29.5625</v>
      </c>
      <c r="G248" s="1164">
        <f>+'X-SEMANA-SC'!J1674</f>
        <v>21.790144150184378</v>
      </c>
    </row>
    <row r="249" spans="1:7" ht="13.5" customHeight="1">
      <c r="B249" s="1165" t="s">
        <v>51</v>
      </c>
      <c r="C249" s="1162">
        <f>+'X-SEMANA-SC'!F1682</f>
        <v>34.549999999999997</v>
      </c>
      <c r="D249" s="1162">
        <f>+'X-SEMANA-SC'!G1682</f>
        <v>21.274999999999999</v>
      </c>
      <c r="E249" s="1162">
        <f>+'X-SEMANA-SC'!H1682</f>
        <v>57.75</v>
      </c>
      <c r="F249" s="1162">
        <f>+'X-SEMANA-SC'!I1682</f>
        <v>29.5</v>
      </c>
      <c r="G249" s="1162">
        <f>+'X-SEMANA-SC'!J1682</f>
        <v>21.790144150184378</v>
      </c>
    </row>
    <row r="250" spans="1:7" ht="14.25" customHeight="1">
      <c r="B250" s="1163" t="s">
        <v>52</v>
      </c>
      <c r="C250" s="1164">
        <f>+'X-SEMANA-SC'!F1691</f>
        <v>34.549999999999997</v>
      </c>
      <c r="D250" s="1164">
        <f>+'X-SEMANA-SC'!G1691</f>
        <v>21.263999999999999</v>
      </c>
      <c r="E250" s="1164">
        <f>+'X-SEMANA-SC'!H1691</f>
        <v>54.63000000000001</v>
      </c>
      <c r="F250" s="1164">
        <f>+'X-SEMANA-SC'!I1691</f>
        <v>29.3</v>
      </c>
      <c r="G250" s="1164">
        <f>+'X-SEMANA-SC'!J1691</f>
        <v>22.125377137110291</v>
      </c>
    </row>
    <row r="251" spans="1:7">
      <c r="B251" s="1146" t="s">
        <v>7</v>
      </c>
      <c r="C251" s="1147">
        <f>AVERAGE(C239:C250)</f>
        <v>35.024999999999999</v>
      </c>
      <c r="D251" s="1147">
        <f>AVERAGE(D239:D250)</f>
        <v>22.141769533531743</v>
      </c>
      <c r="E251" s="1147">
        <f>AVERAGE(E239:E250)</f>
        <v>55.915833333333325</v>
      </c>
      <c r="F251" s="1147">
        <f>AVERAGE(F239:F250)</f>
        <v>29.703749999999999</v>
      </c>
      <c r="G251" s="1147">
        <f>AVERAGE(G239:G250)</f>
        <v>19.454064532349982</v>
      </c>
    </row>
    <row r="252" spans="1:7">
      <c r="B252" s="1141" t="s">
        <v>666</v>
      </c>
      <c r="C252" s="298"/>
      <c r="D252" s="86"/>
      <c r="E252" s="86"/>
      <c r="F252" s="86"/>
      <c r="G252" s="86"/>
    </row>
    <row r="253" spans="1:7">
      <c r="B253" s="1141" t="s">
        <v>620</v>
      </c>
      <c r="C253" s="299"/>
      <c r="D253" s="129"/>
      <c r="E253" s="129"/>
      <c r="F253" s="129"/>
      <c r="G253" s="129"/>
    </row>
    <row r="254" spans="1:7">
      <c r="B254" s="1142" t="s">
        <v>542</v>
      </c>
      <c r="C254" s="299"/>
      <c r="D254" s="129"/>
      <c r="E254" s="129"/>
      <c r="F254" s="129"/>
      <c r="G254" s="129"/>
    </row>
    <row r="255" spans="1:7" ht="13.5">
      <c r="A255" s="1488"/>
      <c r="B255" s="1703" t="s">
        <v>56</v>
      </c>
      <c r="C255" s="1159" t="s">
        <v>57</v>
      </c>
      <c r="D255" s="1159" t="s">
        <v>58</v>
      </c>
      <c r="E255" s="1159" t="s">
        <v>59</v>
      </c>
      <c r="F255" s="1159" t="s">
        <v>60</v>
      </c>
      <c r="G255" s="1159" t="s">
        <v>61</v>
      </c>
    </row>
    <row r="256" spans="1:7" ht="13.5">
      <c r="A256" s="1488"/>
      <c r="B256" s="1703"/>
      <c r="C256" s="1159" t="s">
        <v>62</v>
      </c>
      <c r="D256" s="1159" t="s">
        <v>62</v>
      </c>
      <c r="E256" s="1159" t="s">
        <v>62</v>
      </c>
      <c r="F256" s="1159" t="s">
        <v>62</v>
      </c>
      <c r="G256" s="1159" t="s">
        <v>62</v>
      </c>
    </row>
    <row r="257" spans="1:9" ht="15">
      <c r="A257" s="1488" t="s">
        <v>63</v>
      </c>
      <c r="B257" s="1161" t="s">
        <v>41</v>
      </c>
      <c r="C257" s="1162">
        <f>+VLOOKUP(A257,'[5]X-SEMANA-SC'!$A$1191:$J$2298,6,FALSE)</f>
        <v>33.5</v>
      </c>
      <c r="D257" s="1162">
        <f>+VLOOKUP(A257,'[5]X-SEMANA-SC'!$A$1191:$J$2298,7,FALSE)</f>
        <v>21.986000000000001</v>
      </c>
      <c r="E257" s="1162">
        <v>48.8</v>
      </c>
      <c r="F257" s="1162">
        <f>+VLOOKUP(A257,'[5]X-SEMANA-SC'!$A$1191:$J$2298,9,FALSE)</f>
        <v>34.484000000000002</v>
      </c>
      <c r="G257" s="1162">
        <f>+VLOOKUP(A257,'[5]X-SEMANA-SC'!$A$1191:$J$2298,10,FALSE)</f>
        <v>22.793600000000005</v>
      </c>
    </row>
    <row r="258" spans="1:9" ht="15">
      <c r="A258" s="1488" t="s">
        <v>64</v>
      </c>
      <c r="B258" s="1163" t="s">
        <v>42</v>
      </c>
      <c r="C258" s="1164">
        <f>+VLOOKUP(A258,'[5]X-SEMANA-SC'!$A$1191:$J$2298,6,FALSE)</f>
        <v>33.5</v>
      </c>
      <c r="D258" s="1164">
        <f>+VLOOKUP(A258,'[5]X-SEMANA-SC'!$A$1191:$J$2298,7,FALSE)</f>
        <v>23.400000000000002</v>
      </c>
      <c r="E258" s="1164">
        <v>53.12</v>
      </c>
      <c r="F258" s="1164">
        <f>+VLOOKUP(A258,'[5]X-SEMANA-SC'!$A$1191:$J$2298,9,FALSE)</f>
        <v>35.83</v>
      </c>
      <c r="G258" s="1164">
        <f>+VLOOKUP(A258,'[5]X-SEMANA-SC'!$A$1191:$J$2298,10,FALSE)</f>
        <v>22.793600000000005</v>
      </c>
    </row>
    <row r="259" spans="1:9" ht="15">
      <c r="A259" s="1488" t="s">
        <v>65</v>
      </c>
      <c r="B259" s="1165" t="s">
        <v>43</v>
      </c>
      <c r="C259" s="1162">
        <f>+VLOOKUP(A259,'[5]X-SEMANA-SC'!$A$1191:$J$2298,6,FALSE)</f>
        <v>35</v>
      </c>
      <c r="D259" s="1162">
        <f>+VLOOKUP(A259,'[5]X-SEMANA-SC'!$A$1191:$J$2298,7,FALSE)</f>
        <v>25.027499999999996</v>
      </c>
      <c r="E259" s="1162">
        <v>54.7</v>
      </c>
      <c r="F259" s="1162">
        <f>+VLOOKUP(A259,'[5]X-SEMANA-SC'!$A$1191:$J$2298,9,FALSE)</f>
        <v>37.86</v>
      </c>
      <c r="G259" s="1162">
        <f>+VLOOKUP(A259,'[5]X-SEMANA-SC'!$A$1191:$J$2298,10,FALSE)</f>
        <v>19.525400000000005</v>
      </c>
      <c r="H259" s="545"/>
      <c r="I259" s="131"/>
    </row>
    <row r="260" spans="1:9" ht="15">
      <c r="A260" s="1488" t="s">
        <v>66</v>
      </c>
      <c r="B260" s="1163" t="s">
        <v>44</v>
      </c>
      <c r="C260" s="1164">
        <f>+'X-SEMANA-SC'!F1519</f>
        <v>35.5</v>
      </c>
      <c r="D260" s="1164">
        <f>+'X-SEMANA-SC'!G1519</f>
        <v>26.44</v>
      </c>
      <c r="E260" s="1164">
        <v>54.7</v>
      </c>
      <c r="F260" s="1164">
        <f>+'X-SEMANA-SC'!I1519</f>
        <v>37.840000000000003</v>
      </c>
      <c r="G260" s="1164">
        <f>+'X-SEMANA-SC'!J1519</f>
        <v>17.598000000000003</v>
      </c>
      <c r="H260" s="545"/>
      <c r="I260" s="131"/>
    </row>
    <row r="261" spans="1:9" ht="15">
      <c r="A261" s="1488" t="s">
        <v>67</v>
      </c>
      <c r="B261" s="1165" t="s">
        <v>45</v>
      </c>
      <c r="C261" s="1162">
        <f>+'X-SEMANA-SC'!F1532</f>
        <v>35.25</v>
      </c>
      <c r="D261" s="1162">
        <f>+'X-SEMANA-SC'!G1532</f>
        <v>23.577500000000001</v>
      </c>
      <c r="E261" s="1162">
        <v>60</v>
      </c>
      <c r="F261" s="1162">
        <f>+'X-SEMANA-SC'!I1532</f>
        <v>35.89</v>
      </c>
      <c r="G261" s="1162">
        <f>+'X-SEMANA-SC'!J1532</f>
        <v>17.598000000000003</v>
      </c>
      <c r="H261" s="545"/>
      <c r="I261" s="131"/>
    </row>
    <row r="262" spans="1:9" ht="15">
      <c r="A262" s="1488" t="s">
        <v>68</v>
      </c>
      <c r="B262" s="1163" t="s">
        <v>46</v>
      </c>
      <c r="C262" s="1164">
        <f>+'X-SEMANA-SC'!F1540</f>
        <v>35</v>
      </c>
      <c r="D262" s="1164">
        <f>+'X-SEMANA-SC'!G1540</f>
        <v>21.959999999999997</v>
      </c>
      <c r="E262" s="1164">
        <v>60.2</v>
      </c>
      <c r="F262" s="1164">
        <f>+'X-SEMANA-SC'!I1540</f>
        <v>32.77375</v>
      </c>
      <c r="G262" s="1164">
        <f>+'X-SEMANA-SC'!J1540</f>
        <v>17.598000000000003</v>
      </c>
      <c r="H262" s="545"/>
      <c r="I262" s="131"/>
    </row>
    <row r="263" spans="1:9" ht="11.25" customHeight="1">
      <c r="A263" s="1488" t="s">
        <v>69</v>
      </c>
      <c r="B263" s="1165" t="s">
        <v>47</v>
      </c>
      <c r="C263" s="1162">
        <f>+'X-SEMANA-SC'!F1549</f>
        <v>35</v>
      </c>
      <c r="D263" s="1162">
        <f>+'X-SEMANA-SC'!G1549</f>
        <v>21.711999999999996</v>
      </c>
      <c r="E263" s="1162">
        <v>54.55</v>
      </c>
      <c r="F263" s="1162">
        <f>+'X-SEMANA-SC'!I1549</f>
        <v>30.262</v>
      </c>
      <c r="G263" s="1162">
        <f>+'X-SEMANA-SC'!J1549</f>
        <v>16.033621600000004</v>
      </c>
      <c r="H263" s="545"/>
      <c r="I263" s="131"/>
    </row>
    <row r="264" spans="1:9" ht="15">
      <c r="A264" s="1488" t="s">
        <v>70</v>
      </c>
      <c r="B264" s="1163" t="s">
        <v>48</v>
      </c>
      <c r="C264" s="1164">
        <f>+'X-SEMANA-SC'!F1557</f>
        <v>34.625</v>
      </c>
      <c r="D264" s="1164">
        <f>+'X-SEMANA-SC'!G1557</f>
        <v>22.5075</v>
      </c>
      <c r="E264" s="1164">
        <f>+'X-SEMANA-SC'!H1557</f>
        <v>54.62</v>
      </c>
      <c r="F264" s="1164">
        <f>+'X-SEMANA-SC'!I1557</f>
        <v>30.272500000000001</v>
      </c>
      <c r="G264" s="1164">
        <f>+'X-SEMANA-SC'!J1557</f>
        <v>15.75</v>
      </c>
      <c r="H264" s="545"/>
      <c r="I264" s="131"/>
    </row>
    <row r="265" spans="1:9" ht="15">
      <c r="A265" s="1488" t="s">
        <v>71</v>
      </c>
      <c r="B265" s="1165" t="s">
        <v>49</v>
      </c>
      <c r="C265" s="1162">
        <f>+'X-SEMANA-SC'!F1565</f>
        <v>34.725000000000001</v>
      </c>
      <c r="D265" s="1162">
        <f>+'X-SEMANA-SC'!G1565</f>
        <v>23.67</v>
      </c>
      <c r="E265" s="1162">
        <f>+'X-SEMANA-SC'!H1565</f>
        <v>54.94</v>
      </c>
      <c r="F265" s="1162">
        <f>+'X-SEMANA-SC'!I1565</f>
        <v>32.299999999999997</v>
      </c>
      <c r="G265" s="1162">
        <f>+'X-SEMANA-SC'!J1565</f>
        <v>14.015253100905127</v>
      </c>
      <c r="H265" s="545"/>
      <c r="I265" s="131"/>
    </row>
    <row r="266" spans="1:9" ht="15">
      <c r="A266" s="1488" t="s">
        <v>72</v>
      </c>
      <c r="B266" s="1163" t="s">
        <v>50</v>
      </c>
      <c r="C266" s="1164">
        <v>34.950000000000003</v>
      </c>
      <c r="D266" s="1164">
        <f>+'X-SEMANA-SC'!G1574</f>
        <v>22.736000000000001</v>
      </c>
      <c r="E266" s="1164">
        <v>55.3</v>
      </c>
      <c r="F266" s="1164">
        <f>+'X-SEMANA-SC'!I1574</f>
        <v>32.559999999999995</v>
      </c>
      <c r="G266" s="1164">
        <f>+'X-SEMANA-SC'!J1574</f>
        <v>10.643647334897754</v>
      </c>
      <c r="H266" s="545"/>
      <c r="I266" s="131"/>
    </row>
    <row r="267" spans="1:9" ht="13.5" customHeight="1">
      <c r="A267" s="1488" t="s">
        <v>73</v>
      </c>
      <c r="B267" s="1165" t="s">
        <v>51</v>
      </c>
      <c r="C267" s="1162">
        <v>34.950000000000003</v>
      </c>
      <c r="D267" s="1162">
        <v>23.23</v>
      </c>
      <c r="E267" s="1162">
        <v>54.33</v>
      </c>
      <c r="F267" s="1162">
        <f>+'X-SEMANA-SC'!I1582</f>
        <v>31.400000000000002</v>
      </c>
      <c r="G267" s="1162">
        <f>+'X-SEMANA-SC'!J1582</f>
        <v>10.643647334897754</v>
      </c>
      <c r="H267" s="545"/>
      <c r="I267" s="131"/>
    </row>
    <row r="268" spans="1:9" ht="13.5" customHeight="1">
      <c r="A268" s="1488" t="s">
        <v>74</v>
      </c>
      <c r="B268" s="1163" t="s">
        <v>52</v>
      </c>
      <c r="C268" s="1164">
        <v>34.950000000000003</v>
      </c>
      <c r="D268" s="1164">
        <v>23.27</v>
      </c>
      <c r="E268" s="1164">
        <f>+'X-SEMANA-SC'!H1590</f>
        <v>54.18</v>
      </c>
      <c r="F268" s="1164">
        <f>+'X-SEMANA-SC'!I1590</f>
        <v>31.274999999999999</v>
      </c>
      <c r="G268" s="1164">
        <f>+'X-SEMANA-SC'!J1590</f>
        <v>15.085484411666107</v>
      </c>
      <c r="H268" s="545"/>
      <c r="I268" s="131"/>
    </row>
    <row r="269" spans="1:9">
      <c r="A269" s="1488"/>
      <c r="B269" s="1146" t="s">
        <v>7</v>
      </c>
      <c r="C269" s="1147">
        <f>AVERAGE(C257:C268)</f>
        <v>34.74583333333333</v>
      </c>
      <c r="D269" s="1147">
        <f>AVERAGE(D257:D268)</f>
        <v>23.293041666666664</v>
      </c>
      <c r="E269" s="1147">
        <f>AVERAGE(E257:E268)</f>
        <v>54.953333333333326</v>
      </c>
      <c r="F269" s="1147">
        <f>AVERAGE(F257:F267)</f>
        <v>33.77020454545454</v>
      </c>
      <c r="G269" s="1147">
        <f>AVERAGE(G257:G268)</f>
        <v>16.673187815197231</v>
      </c>
    </row>
    <row r="270" spans="1:9">
      <c r="A270" s="1488"/>
      <c r="B270" s="1141" t="s">
        <v>666</v>
      </c>
      <c r="C270" s="298"/>
      <c r="D270" s="86"/>
      <c r="E270" s="86"/>
      <c r="F270" s="86"/>
      <c r="G270" s="86"/>
    </row>
    <row r="271" spans="1:9">
      <c r="A271" s="1488"/>
      <c r="B271" s="1141" t="s">
        <v>620</v>
      </c>
      <c r="C271" s="299"/>
      <c r="D271" s="129"/>
      <c r="E271" s="129"/>
      <c r="F271" s="129"/>
      <c r="G271" s="129"/>
    </row>
    <row r="272" spans="1:9">
      <c r="A272" s="1488"/>
      <c r="B272" s="1142" t="s">
        <v>542</v>
      </c>
      <c r="C272" s="299"/>
      <c r="D272" s="129"/>
      <c r="E272" s="129"/>
      <c r="F272" s="129"/>
      <c r="G272" s="129"/>
    </row>
    <row r="273" spans="1:9" ht="13.5">
      <c r="A273" s="1488"/>
      <c r="B273" s="1703" t="s">
        <v>75</v>
      </c>
      <c r="C273" s="1159" t="s">
        <v>57</v>
      </c>
      <c r="D273" s="1159" t="s">
        <v>58</v>
      </c>
      <c r="E273" s="1159" t="s">
        <v>59</v>
      </c>
      <c r="F273" s="1159" t="s">
        <v>60</v>
      </c>
      <c r="G273" s="1159" t="s">
        <v>61</v>
      </c>
    </row>
    <row r="274" spans="1:9" ht="13.5">
      <c r="A274" s="1488"/>
      <c r="B274" s="1703"/>
      <c r="C274" s="1159" t="s">
        <v>62</v>
      </c>
      <c r="D274" s="1159" t="s">
        <v>62</v>
      </c>
      <c r="E274" s="1159" t="s">
        <v>62</v>
      </c>
      <c r="F274" s="1159" t="s">
        <v>62</v>
      </c>
      <c r="G274" s="1159" t="s">
        <v>62</v>
      </c>
    </row>
    <row r="275" spans="1:9" ht="15">
      <c r="A275" s="1488" t="s">
        <v>76</v>
      </c>
      <c r="B275" s="1161" t="s">
        <v>41</v>
      </c>
      <c r="C275" s="1162">
        <v>27.25</v>
      </c>
      <c r="D275" s="1162">
        <v>18.22</v>
      </c>
      <c r="E275" s="1162">
        <v>40.094999999999999</v>
      </c>
      <c r="F275" s="1162">
        <v>28.34</v>
      </c>
      <c r="G275" s="1162">
        <v>21.369000000000003</v>
      </c>
    </row>
    <row r="276" spans="1:9" ht="15">
      <c r="A276" s="1488" t="s">
        <v>77</v>
      </c>
      <c r="B276" s="1163" t="s">
        <v>42</v>
      </c>
      <c r="C276" s="1164">
        <v>28.5</v>
      </c>
      <c r="D276" s="1164">
        <v>18.717500000000001</v>
      </c>
      <c r="E276" s="1164">
        <v>39.255000000000003</v>
      </c>
      <c r="F276" s="1164">
        <v>31.245000000000001</v>
      </c>
      <c r="G276" s="1164">
        <v>21.788000000000004</v>
      </c>
    </row>
    <row r="277" spans="1:9" ht="15">
      <c r="A277" s="1488" t="s">
        <v>78</v>
      </c>
      <c r="B277" s="1165" t="s">
        <v>43</v>
      </c>
      <c r="C277" s="1162">
        <v>28.5</v>
      </c>
      <c r="D277" s="1162">
        <v>20.454999999999998</v>
      </c>
      <c r="E277" s="1162">
        <v>40.950000000000003</v>
      </c>
      <c r="F277" s="1162">
        <v>32.962499999999999</v>
      </c>
      <c r="G277" s="1162">
        <v>21.788000000000004</v>
      </c>
    </row>
    <row r="278" spans="1:9" ht="15">
      <c r="A278" s="1488" t="s">
        <v>79</v>
      </c>
      <c r="B278" s="1163" t="s">
        <v>44</v>
      </c>
      <c r="C278" s="1164">
        <v>32.274999999999999</v>
      </c>
      <c r="D278" s="1164">
        <v>21.802499999999998</v>
      </c>
      <c r="E278" s="1164">
        <v>42.907499999999999</v>
      </c>
      <c r="F278" s="1164">
        <v>34.045000000000002</v>
      </c>
      <c r="G278" s="1164">
        <v>21.788000000000004</v>
      </c>
      <c r="H278" s="545"/>
      <c r="I278" s="131"/>
    </row>
    <row r="279" spans="1:9" ht="15">
      <c r="A279" s="1488" t="s">
        <v>80</v>
      </c>
      <c r="B279" s="1165" t="s">
        <v>45</v>
      </c>
      <c r="C279" s="1162">
        <v>32.909999999999997</v>
      </c>
      <c r="D279" s="1162">
        <v>22.091999999999999</v>
      </c>
      <c r="E279" s="1162">
        <v>43.12</v>
      </c>
      <c r="F279" s="1162">
        <v>34.522000000000006</v>
      </c>
      <c r="G279" s="1162">
        <v>21.788000000000004</v>
      </c>
      <c r="H279" s="545"/>
      <c r="I279" s="131"/>
    </row>
    <row r="280" spans="1:9" ht="15">
      <c r="A280" s="1488" t="s">
        <v>68</v>
      </c>
      <c r="B280" s="1163" t="s">
        <v>46</v>
      </c>
      <c r="C280" s="1164">
        <v>33.25</v>
      </c>
      <c r="D280" s="1164">
        <v>23.427499999999998</v>
      </c>
      <c r="E280" s="1164">
        <v>43.87</v>
      </c>
      <c r="F280" s="1164">
        <v>34.46</v>
      </c>
      <c r="G280" s="1164">
        <v>21.885208000000006</v>
      </c>
      <c r="H280" s="545"/>
      <c r="I280" s="131"/>
    </row>
    <row r="281" spans="1:9" ht="15">
      <c r="A281" s="1488" t="s">
        <v>69</v>
      </c>
      <c r="B281" s="1165" t="s">
        <v>47</v>
      </c>
      <c r="C281" s="1162">
        <v>33.625</v>
      </c>
      <c r="D281" s="1162">
        <v>22.442499999999999</v>
      </c>
      <c r="E281" s="1162">
        <v>46.207500000000003</v>
      </c>
      <c r="F281" s="1162">
        <v>33.9375</v>
      </c>
      <c r="G281" s="1162">
        <v>21.885208000000006</v>
      </c>
      <c r="H281" s="545"/>
      <c r="I281" s="131"/>
    </row>
    <row r="282" spans="1:9" ht="15">
      <c r="A282" s="1488" t="s">
        <v>70</v>
      </c>
      <c r="B282" s="1163" t="s">
        <v>48</v>
      </c>
      <c r="C282" s="1164">
        <v>33.799999999999997</v>
      </c>
      <c r="D282" s="1164">
        <v>22.052</v>
      </c>
      <c r="E282" s="1164">
        <v>47.693999999999996</v>
      </c>
      <c r="F282" s="1164">
        <v>34.872</v>
      </c>
      <c r="G282" s="1164">
        <v>21.712244800000001</v>
      </c>
      <c r="H282" s="545"/>
      <c r="I282" s="131"/>
    </row>
    <row r="283" spans="1:9" ht="15">
      <c r="A283" s="1488" t="s">
        <v>71</v>
      </c>
      <c r="B283" s="1165" t="s">
        <v>49</v>
      </c>
      <c r="C283" s="1162">
        <v>34</v>
      </c>
      <c r="D283" s="1162">
        <v>21.6325</v>
      </c>
      <c r="E283" s="1162">
        <v>46.917499999999997</v>
      </c>
      <c r="F283" s="1162">
        <v>34.545000000000002</v>
      </c>
      <c r="G283" s="1162">
        <v>21.452800000000003</v>
      </c>
      <c r="H283" s="545"/>
      <c r="I283" s="131"/>
    </row>
    <row r="284" spans="1:9" ht="15">
      <c r="A284" s="1488" t="s">
        <v>72</v>
      </c>
      <c r="B284" s="1163" t="s">
        <v>50</v>
      </c>
      <c r="C284" s="1164">
        <v>33.799999999999997</v>
      </c>
      <c r="D284" s="1164">
        <v>22.061999999999998</v>
      </c>
      <c r="E284" s="1164">
        <v>46.917999999999999</v>
      </c>
      <c r="F284" s="1164">
        <v>34.113999999999997</v>
      </c>
      <c r="G284" s="1164">
        <v>22.248564800000004</v>
      </c>
      <c r="H284" s="545"/>
      <c r="I284" s="131"/>
    </row>
    <row r="285" spans="1:9" ht="15">
      <c r="A285" s="1488" t="s">
        <v>73</v>
      </c>
      <c r="B285" s="1165" t="s">
        <v>51</v>
      </c>
      <c r="C285" s="1162">
        <v>33.5</v>
      </c>
      <c r="D285" s="1162">
        <v>22.385000000000002</v>
      </c>
      <c r="E285" s="1162">
        <v>55.23</v>
      </c>
      <c r="F285" s="1162">
        <v>40.405000000000001</v>
      </c>
      <c r="G285" s="1162">
        <v>22.793600000000005</v>
      </c>
      <c r="H285" s="545"/>
      <c r="I285" s="131"/>
    </row>
    <row r="286" spans="1:9" ht="15">
      <c r="A286" s="1488" t="s">
        <v>74</v>
      </c>
      <c r="B286" s="1163" t="s">
        <v>52</v>
      </c>
      <c r="C286" s="1164">
        <v>33.5</v>
      </c>
      <c r="D286" s="1164">
        <v>22.184999999999999</v>
      </c>
      <c r="E286" s="1164">
        <v>47.847499999999997</v>
      </c>
      <c r="F286" s="1164">
        <v>35.965000000000003</v>
      </c>
      <c r="G286" s="1164">
        <v>23.003100000000003</v>
      </c>
      <c r="H286" s="545"/>
      <c r="I286" s="131"/>
    </row>
    <row r="287" spans="1:9">
      <c r="A287" s="1488"/>
      <c r="B287" s="1146" t="s">
        <v>7</v>
      </c>
      <c r="C287" s="1147">
        <f>AVERAGE(C275:C286)</f>
        <v>32.075833333333335</v>
      </c>
      <c r="D287" s="1147">
        <f>AVERAGE(D275:D286)</f>
        <v>21.456124999999997</v>
      </c>
      <c r="E287" s="1147">
        <f>AVERAGE(E275:E286)</f>
        <v>45.08433333333334</v>
      </c>
      <c r="F287" s="1147">
        <f>AVERAGE(F275:F286)</f>
        <v>34.117750000000001</v>
      </c>
      <c r="G287" s="1147">
        <f>AVERAGE(G275:G286)</f>
        <v>21.958477133333336</v>
      </c>
      <c r="H287" s="545"/>
      <c r="I287" s="131"/>
    </row>
    <row r="288" spans="1:9">
      <c r="A288" s="1488"/>
      <c r="B288" s="1702" t="s">
        <v>81</v>
      </c>
      <c r="C288" s="1143" t="s">
        <v>57</v>
      </c>
      <c r="D288" s="1143" t="s">
        <v>58</v>
      </c>
      <c r="E288" s="1143" t="s">
        <v>59</v>
      </c>
      <c r="F288" s="1143" t="s">
        <v>60</v>
      </c>
      <c r="G288" s="1143" t="s">
        <v>61</v>
      </c>
    </row>
    <row r="289" spans="1:7">
      <c r="A289" s="1488"/>
      <c r="B289" s="1702"/>
      <c r="C289" s="1143" t="s">
        <v>62</v>
      </c>
      <c r="D289" s="1143" t="s">
        <v>62</v>
      </c>
      <c r="E289" s="1143" t="s">
        <v>62</v>
      </c>
      <c r="F289" s="1143" t="s">
        <v>62</v>
      </c>
      <c r="G289" s="1143" t="s">
        <v>62</v>
      </c>
    </row>
    <row r="290" spans="1:7">
      <c r="A290" s="1488" t="s">
        <v>82</v>
      </c>
      <c r="B290" s="1140" t="s">
        <v>41</v>
      </c>
      <c r="C290" s="708">
        <f>+VLOOKUP(A290,'[5]X-SEMANA-SC'!$A$1191:$J$2298,6,FALSE)</f>
        <v>25.125</v>
      </c>
      <c r="D290" s="708">
        <f>+VLOOKUP(A290,'[5]X-SEMANA-SC'!$A$1191:$J$2298,7,FALSE)</f>
        <v>18.302499999999998</v>
      </c>
      <c r="E290" s="708">
        <f>+VLOOKUP(A290,'[5]X-SEMANA-SC'!$A$1191:$J$2298,8,FALSE)</f>
        <v>40.409999999999997</v>
      </c>
      <c r="F290" s="708">
        <f>+VLOOKUP(A290,'[5]X-SEMANA-SC'!$A$1191:$J$2298,9,FALSE)</f>
        <v>27.014999999999997</v>
      </c>
      <c r="G290" s="708">
        <f>+VLOOKUP(A290,'[5]X-SEMANA-SC'!$A$1191:$J$2298,10,FALSE)</f>
        <v>18.436000000000003</v>
      </c>
    </row>
    <row r="291" spans="1:7">
      <c r="A291" s="1488" t="s">
        <v>83</v>
      </c>
      <c r="B291" s="895" t="s">
        <v>42</v>
      </c>
      <c r="C291" s="708">
        <f>+VLOOKUP(A291,'[5]X-SEMANA-SC'!$A$1191:$J$2298,6,FALSE)</f>
        <v>26</v>
      </c>
      <c r="D291" s="708">
        <f>+VLOOKUP(A291,'[5]X-SEMANA-SC'!$A$1191:$J$2298,7,FALSE)</f>
        <v>17.6875</v>
      </c>
      <c r="E291" s="708">
        <f>+VLOOKUP(A291,'[5]X-SEMANA-SC'!$A$1191:$J$2298,8,FALSE)</f>
        <v>39.01</v>
      </c>
      <c r="F291" s="708">
        <f>+VLOOKUP(A291,'[5]X-SEMANA-SC'!$A$1191:$J$2298,9,FALSE)</f>
        <v>25.92</v>
      </c>
      <c r="G291" s="708">
        <f>+VLOOKUP(A291,'[5]X-SEMANA-SC'!$A$1191:$J$2298,10,FALSE)</f>
        <v>18.436000000000003</v>
      </c>
    </row>
    <row r="292" spans="1:7">
      <c r="A292" s="1488" t="s">
        <v>84</v>
      </c>
      <c r="B292" s="895" t="s">
        <v>43</v>
      </c>
      <c r="C292" s="708">
        <f>+VLOOKUP(A292,'[5]X-SEMANA-SC'!$A$1191:$J$2298,6,FALSE)</f>
        <v>25.2</v>
      </c>
      <c r="D292" s="708">
        <f>+VLOOKUP(A292,'[5]X-SEMANA-SC'!$A$1191:$J$2298,7,FALSE)</f>
        <v>17.594000000000001</v>
      </c>
      <c r="E292" s="708">
        <f>+VLOOKUP(A292,'[5]X-SEMANA-SC'!$A$1191:$J$2298,8,FALSE)</f>
        <v>38.692</v>
      </c>
      <c r="F292" s="708">
        <f>+VLOOKUP(A292,'[5]X-SEMANA-SC'!$A$1191:$J$2298,9,FALSE)</f>
        <v>25.994</v>
      </c>
      <c r="G292" s="708">
        <f>+VLOOKUP(A292,'[5]X-SEMANA-SC'!$A$1191:$J$2298,10,FALSE)</f>
        <v>18.436000000000003</v>
      </c>
    </row>
    <row r="293" spans="1:7">
      <c r="A293" s="1488" t="s">
        <v>85</v>
      </c>
      <c r="B293" s="895" t="s">
        <v>44</v>
      </c>
      <c r="C293" s="708">
        <f>+VLOOKUP(A293,'[5]X-SEMANA-SC'!$A$1191:$J$2298,6,FALSE)</f>
        <v>25</v>
      </c>
      <c r="D293" s="708">
        <f>+VLOOKUP(A293,'[5]X-SEMANA-SC'!$A$1191:$J$2298,7,FALSE)</f>
        <v>17.397500000000001</v>
      </c>
      <c r="E293" s="708">
        <f>+VLOOKUP(A293,'[5]X-SEMANA-SC'!$A$1191:$J$2298,8,FALSE)</f>
        <v>40.702500000000001</v>
      </c>
      <c r="F293" s="708">
        <f>+VLOOKUP(A293,'[5]X-SEMANA-SC'!$A$1191:$J$2298,9,FALSE)</f>
        <v>27.017500000000002</v>
      </c>
      <c r="G293" s="708">
        <f>+VLOOKUP(A293,'[5]X-SEMANA-SC'!$A$1191:$J$2298,10,FALSE)</f>
        <v>18.436000000000003</v>
      </c>
    </row>
    <row r="294" spans="1:7">
      <c r="A294" s="1488" t="s">
        <v>86</v>
      </c>
      <c r="B294" s="895" t="s">
        <v>45</v>
      </c>
      <c r="C294" s="708">
        <f>+VLOOKUP(A294,'[5]X-SEMANA-SC'!$A$1191:$J$2298,6,FALSE)</f>
        <v>25.4</v>
      </c>
      <c r="D294" s="708">
        <f>+VLOOKUP(A294,'[5]X-SEMANA-SC'!$A$1191:$J$2298,7,FALSE)</f>
        <v>17.257999999999999</v>
      </c>
      <c r="E294" s="708">
        <f>+VLOOKUP(A294,'[5]X-SEMANA-SC'!$A$1191:$J$2298,8,FALSE)</f>
        <v>40.222000000000001</v>
      </c>
      <c r="F294" s="708">
        <f>+VLOOKUP(A294,'[5]X-SEMANA-SC'!$A$1191:$J$2298,9,FALSE)</f>
        <v>27.033999999999999</v>
      </c>
      <c r="G294" s="708">
        <f>+VLOOKUP(A294,'[5]X-SEMANA-SC'!$A$1191:$J$2298,10,FALSE)</f>
        <v>18.436000000000003</v>
      </c>
    </row>
    <row r="295" spans="1:7">
      <c r="A295" s="1488" t="s">
        <v>87</v>
      </c>
      <c r="B295" s="895" t="s">
        <v>46</v>
      </c>
      <c r="C295" s="708">
        <f>+VLOOKUP(A295,'[5]X-SEMANA-SC'!$A$1191:$J$2298,6,FALSE)</f>
        <v>26</v>
      </c>
      <c r="D295" s="708">
        <f>+VLOOKUP(A295,'[5]X-SEMANA-SC'!$A$1191:$J$2298,7,FALSE)</f>
        <v>16.775000000000002</v>
      </c>
      <c r="E295" s="708">
        <f>+VLOOKUP(A295,'[5]X-SEMANA-SC'!$A$1191:$J$2298,8,FALSE)</f>
        <v>39.827500000000001</v>
      </c>
      <c r="F295" s="708">
        <f>+VLOOKUP(A295,'[5]X-SEMANA-SC'!$A$1191:$J$2298,9,FALSE)</f>
        <v>26.11</v>
      </c>
      <c r="G295" s="708">
        <f>+VLOOKUP(A295,'[5]X-SEMANA-SC'!$A$1191:$J$2298,10,FALSE)</f>
        <v>18.436000000000003</v>
      </c>
    </row>
    <row r="296" spans="1:7">
      <c r="A296" s="1488" t="s">
        <v>88</v>
      </c>
      <c r="B296" s="895" t="s">
        <v>47</v>
      </c>
      <c r="C296" s="708">
        <f>+VLOOKUP(A296,'[5]X-SEMANA-SC'!$A$1191:$J$2298,6,FALSE)</f>
        <v>26</v>
      </c>
      <c r="D296" s="708">
        <f>+VLOOKUP(A296,'[5]X-SEMANA-SC'!$A$1191:$J$2298,7,FALSE)</f>
        <v>16.562499999999996</v>
      </c>
      <c r="E296" s="708">
        <f>+VLOOKUP(A296,'[5]X-SEMANA-SC'!$A$1191:$J$2298,8,FALSE)</f>
        <v>39.762500000000003</v>
      </c>
      <c r="F296" s="708">
        <f>+VLOOKUP(A296,'[5]X-SEMANA-SC'!$A$1191:$J$2298,9,FALSE)</f>
        <v>26.259999999999998</v>
      </c>
      <c r="G296" s="708">
        <f>+VLOOKUP(A296,'[5]X-SEMANA-SC'!$A$1191:$J$2298,10,FALSE)</f>
        <v>18.436000000000003</v>
      </c>
    </row>
    <row r="297" spans="1:7">
      <c r="A297" s="1488" t="s">
        <v>89</v>
      </c>
      <c r="B297" s="895" t="s">
        <v>48</v>
      </c>
      <c r="C297" s="708">
        <f>+VLOOKUP(A297,'[5]X-SEMANA-SC'!$A$1191:$J$2298,6,FALSE)</f>
        <v>26</v>
      </c>
      <c r="D297" s="708">
        <f>+VLOOKUP(A297,'[5]X-SEMANA-SC'!$A$1191:$J$2298,7,FALSE)</f>
        <v>16.526000000000003</v>
      </c>
      <c r="E297" s="708">
        <f>+VLOOKUP(A297,'[5]X-SEMANA-SC'!$A$1191:$J$2298,8,FALSE)</f>
        <v>39.378</v>
      </c>
      <c r="F297" s="708">
        <f>+VLOOKUP(A297,'[5]X-SEMANA-SC'!$A$1191:$J$2298,9,FALSE)</f>
        <v>26.782</v>
      </c>
      <c r="G297" s="708">
        <f>+VLOOKUP(A297,'[5]X-SEMANA-SC'!$A$1191:$J$2298,10,FALSE)</f>
        <v>18.436000000000003</v>
      </c>
    </row>
    <row r="298" spans="1:7">
      <c r="A298" s="1488" t="s">
        <v>90</v>
      </c>
      <c r="B298" s="895" t="s">
        <v>49</v>
      </c>
      <c r="C298" s="708">
        <f>+VLOOKUP(A298,'[5]X-SEMANA-SC'!$A$1191:$J$2298,6,FALSE)</f>
        <v>26</v>
      </c>
      <c r="D298" s="708">
        <f>+VLOOKUP(A298,'[5]X-SEMANA-SC'!$A$1191:$J$2298,7,FALSE)</f>
        <v>16.412499999999998</v>
      </c>
      <c r="E298" s="708">
        <f>+VLOOKUP(A298,'[5]X-SEMANA-SC'!$A$1191:$J$2298,8,FALSE)</f>
        <v>39.629999999999995</v>
      </c>
      <c r="F298" s="708">
        <f>+VLOOKUP(A298,'[5]X-SEMANA-SC'!$A$1191:$J$2298,9,FALSE)</f>
        <v>26.762499999999999</v>
      </c>
      <c r="G298" s="708">
        <f>+VLOOKUP(A298,'[5]X-SEMANA-SC'!$A$1191:$J$2298,10,FALSE)</f>
        <v>18.436000000000003</v>
      </c>
    </row>
    <row r="299" spans="1:7">
      <c r="A299" s="1488" t="s">
        <v>91</v>
      </c>
      <c r="B299" s="895" t="s">
        <v>50</v>
      </c>
      <c r="C299" s="708">
        <f>+VLOOKUP(A299,'[5]X-SEMANA-SC'!$A$1191:$J$2298,6,FALSE)</f>
        <v>27</v>
      </c>
      <c r="D299" s="708">
        <f>+VLOOKUP(A299,'[5]X-SEMANA-SC'!$A$1191:$J$2298,7,FALSE)</f>
        <v>16.747999999999998</v>
      </c>
      <c r="E299" s="708">
        <f>+VLOOKUP(A299,'[5]X-SEMANA-SC'!$A$1191:$J$2298,8,FALSE)</f>
        <v>39.410000000000004</v>
      </c>
      <c r="F299" s="708">
        <f>+VLOOKUP(A299,'[5]X-SEMANA-SC'!$A$1191:$J$2298,9,FALSE)</f>
        <v>27.15</v>
      </c>
      <c r="G299" s="708">
        <f>+VLOOKUP(A299,'[5]X-SEMANA-SC'!$A$1191:$J$2298,10,FALSE)</f>
        <v>18.436000000000003</v>
      </c>
    </row>
    <row r="300" spans="1:7">
      <c r="A300" s="1488" t="s">
        <v>92</v>
      </c>
      <c r="B300" s="895" t="s">
        <v>51</v>
      </c>
      <c r="C300" s="708">
        <f>+VLOOKUP(A300,'[5]X-SEMANA-SC'!$A$1191:$J$2298,6,FALSE)</f>
        <v>27</v>
      </c>
      <c r="D300" s="708">
        <f>+VLOOKUP(A300,'[5]X-SEMANA-SC'!$A$1191:$J$2298,7,FALSE)</f>
        <v>17.552</v>
      </c>
      <c r="E300" s="708">
        <f>+VLOOKUP(A300,'[5]X-SEMANA-SC'!$A$1191:$J$2298,8,FALSE)</f>
        <v>39.368000000000002</v>
      </c>
      <c r="F300" s="708">
        <f>+VLOOKUP(A300,'[5]X-SEMANA-SC'!$A$1191:$J$2298,9,FALSE)</f>
        <v>27.597999999999995</v>
      </c>
      <c r="G300" s="708">
        <f>+VLOOKUP(A300,'[5]X-SEMANA-SC'!$A$1191:$J$2298,10,FALSE)</f>
        <v>19.441600000000001</v>
      </c>
    </row>
    <row r="301" spans="1:7">
      <c r="A301" s="1488" t="s">
        <v>93</v>
      </c>
      <c r="B301" s="895" t="s">
        <v>52</v>
      </c>
      <c r="C301" s="708">
        <f>+VLOOKUP(A301,'[5]X-SEMANA-SC'!$A$1191:$J$2298,6,FALSE)</f>
        <v>27</v>
      </c>
      <c r="D301" s="708">
        <f>+VLOOKUP(A301,'[5]X-SEMANA-SC'!$A$1191:$J$2298,7,FALSE)</f>
        <v>17.775000000000002</v>
      </c>
      <c r="E301" s="708">
        <f>+VLOOKUP(A301,'[5]X-SEMANA-SC'!$A$1191:$J$2298,8,FALSE)</f>
        <v>40.18</v>
      </c>
      <c r="F301" s="708">
        <f>+VLOOKUP(A301,'[5]X-SEMANA-SC'!$A$1191:$J$2298,9,FALSE)</f>
        <v>28.4</v>
      </c>
      <c r="G301" s="708">
        <f>+VLOOKUP(A301,'[5]X-SEMANA-SC'!$A$1191:$J$2298,10,FALSE)</f>
        <v>20.112000000000002</v>
      </c>
    </row>
    <row r="302" spans="1:7">
      <c r="A302" s="1488"/>
      <c r="B302" s="1146" t="s">
        <v>7</v>
      </c>
      <c r="C302" s="1147">
        <f>AVERAGE(C290:C301)</f>
        <v>25.977083333333336</v>
      </c>
      <c r="D302" s="1147">
        <f>AVERAGE(D290:D301)</f>
        <v>17.215875</v>
      </c>
      <c r="E302" s="1147">
        <f>AVERAGE(E290:E301)</f>
        <v>39.716041666666669</v>
      </c>
      <c r="F302" s="1147">
        <f>AVERAGE(F290:F301)</f>
        <v>26.836916666666667</v>
      </c>
      <c r="G302" s="1147">
        <f>AVERAGE(G290:G301)</f>
        <v>18.65946666666667</v>
      </c>
    </row>
    <row r="303" spans="1:7">
      <c r="A303" s="1488"/>
      <c r="B303" s="548"/>
      <c r="C303" s="548"/>
      <c r="D303" s="548"/>
      <c r="E303" s="548"/>
      <c r="F303" s="548"/>
      <c r="G303" s="548"/>
    </row>
    <row r="304" spans="1:7">
      <c r="A304" s="1488"/>
      <c r="B304" s="1702" t="s">
        <v>94</v>
      </c>
      <c r="C304" s="1143" t="s">
        <v>57</v>
      </c>
      <c r="D304" s="1143" t="s">
        <v>58</v>
      </c>
      <c r="E304" s="1143" t="s">
        <v>59</v>
      </c>
      <c r="F304" s="1143" t="s">
        <v>60</v>
      </c>
      <c r="G304" s="1143" t="s">
        <v>61</v>
      </c>
    </row>
    <row r="305" spans="1:7">
      <c r="A305" s="1488"/>
      <c r="B305" s="1702"/>
      <c r="C305" s="1143" t="s">
        <v>62</v>
      </c>
      <c r="D305" s="1143" t="s">
        <v>62</v>
      </c>
      <c r="E305" s="1143" t="s">
        <v>62</v>
      </c>
      <c r="F305" s="1143" t="s">
        <v>62</v>
      </c>
      <c r="G305" s="1143" t="s">
        <v>62</v>
      </c>
    </row>
    <row r="306" spans="1:7">
      <c r="A306" s="1488" t="s">
        <v>95</v>
      </c>
      <c r="B306" s="1140" t="s">
        <v>41</v>
      </c>
      <c r="C306" s="708">
        <f>+VLOOKUP(A306,'[5]X-SEMANA-SC'!$A$1191:$J$1299,6,FALSE)</f>
        <v>22.2</v>
      </c>
      <c r="D306" s="708">
        <f>+VLOOKUP(A306,'[5]X-SEMANA-SC'!$A$1191:$J$1299,7,FALSE)</f>
        <v>9.0349999999999984</v>
      </c>
      <c r="E306" s="708">
        <f>+VLOOKUP(A306,'[5]X-SEMANA-SC'!$A$1191:$J$1299,8,FALSE)</f>
        <v>30.79</v>
      </c>
      <c r="F306" s="708">
        <f>+VLOOKUP(A306,'[5]X-SEMANA-SC'!$A$1191:$J$1299,9,FALSE)</f>
        <v>19.945</v>
      </c>
      <c r="G306" s="708">
        <f>+VLOOKUP(A306,'[5]X-SEMANA-SC'!$A$1191:$J$1299,10,FALSE)</f>
        <v>16.418515000000003</v>
      </c>
    </row>
    <row r="307" spans="1:7">
      <c r="A307" s="1488" t="s">
        <v>96</v>
      </c>
      <c r="B307" s="895" t="s">
        <v>42</v>
      </c>
      <c r="C307" s="708">
        <f>+VLOOKUP(A307,'[5]X-SEMANA-SC'!$A$1191:$J$1299,6,FALSE)</f>
        <v>21.95</v>
      </c>
      <c r="D307" s="708">
        <f>+VLOOKUP(A307,'[5]X-SEMANA-SC'!$A$1191:$J$1299,7,FALSE)</f>
        <v>10.35</v>
      </c>
      <c r="E307" s="708">
        <f>+VLOOKUP(A307,'[5]X-SEMANA-SC'!$A$1191:$J$1299,8,FALSE)</f>
        <v>31.247500000000002</v>
      </c>
      <c r="F307" s="708">
        <f>+VLOOKUP(A307,'[5]X-SEMANA-SC'!$A$1191:$J$1299,9,FALSE)</f>
        <v>19.482500000000002</v>
      </c>
      <c r="G307" s="708">
        <f>+VLOOKUP(A307,'[5]X-SEMANA-SC'!$A$1191:$J$1299,10,FALSE)</f>
        <v>15.228974000000003</v>
      </c>
    </row>
    <row r="308" spans="1:7">
      <c r="A308" s="1488" t="s">
        <v>97</v>
      </c>
      <c r="B308" s="895" t="s">
        <v>43</v>
      </c>
      <c r="C308" s="708">
        <f>+VLOOKUP(A308,'[5]X-SEMANA-SC'!$A$1191:$J$1299,6,FALSE)</f>
        <v>21.15</v>
      </c>
      <c r="D308" s="708">
        <f>+VLOOKUP(A308,'[5]X-SEMANA-SC'!$A$1191:$J$1299,7,FALSE)</f>
        <v>10.491999999999999</v>
      </c>
      <c r="E308" s="708">
        <f>+VLOOKUP(A308,'[5]X-SEMANA-SC'!$A$1191:$J$1299,8,FALSE)</f>
        <v>31.722000000000001</v>
      </c>
      <c r="F308" s="708">
        <f>+VLOOKUP(A308,'[5]X-SEMANA-SC'!$A$1191:$J$1299,9,FALSE)</f>
        <v>18.586000000000002</v>
      </c>
      <c r="G308" s="708">
        <f>+VLOOKUP(A308,'[5]X-SEMANA-SC'!$A$1191:$J$1299,10,FALSE)</f>
        <v>15.172828000000001</v>
      </c>
    </row>
    <row r="309" spans="1:7">
      <c r="A309" s="1488" t="s">
        <v>98</v>
      </c>
      <c r="B309" s="895" t="s">
        <v>44</v>
      </c>
      <c r="C309" s="708">
        <f>+VLOOKUP(A309,'[5]X-SEMANA-SC'!$A$1191:$J$1299,6,FALSE)</f>
        <v>20.95</v>
      </c>
      <c r="D309" s="708">
        <f>+VLOOKUP(A309,'[5]X-SEMANA-SC'!$A$1191:$J$1299,7,FALSE)</f>
        <v>10.262499999999999</v>
      </c>
      <c r="E309" s="708">
        <f>+VLOOKUP(A309,'[5]X-SEMANA-SC'!$A$1191:$J$1299,8,FALSE)</f>
        <v>33.44</v>
      </c>
      <c r="F309" s="708">
        <f>+VLOOKUP(A309,'[5]X-SEMANA-SC'!$A$1191:$J$1299,9,FALSE)</f>
        <v>20.274999999999999</v>
      </c>
      <c r="G309" s="708">
        <f>+VLOOKUP(A309,'[5]X-SEMANA-SC'!$A$1191:$J$1299,10,FALSE)</f>
        <v>15.166543000000003</v>
      </c>
    </row>
    <row r="310" spans="1:7">
      <c r="A310" s="1488" t="s">
        <v>99</v>
      </c>
      <c r="B310" s="895" t="s">
        <v>45</v>
      </c>
      <c r="C310" s="708">
        <f>+VLOOKUP(A310,'[5]X-SEMANA-SC'!$A$1191:$J$1299,6,FALSE)</f>
        <v>21.95</v>
      </c>
      <c r="D310" s="708">
        <f>+VLOOKUP(A310,'[5]X-SEMANA-SC'!$A$1191:$J$1299,7,FALSE)</f>
        <v>12.632499999999999</v>
      </c>
      <c r="E310" s="708">
        <f>+VLOOKUP(A310,'[5]X-SEMANA-SC'!$A$1191:$J$1299,8,FALSE)</f>
        <v>33.479999999999997</v>
      </c>
      <c r="F310" s="708">
        <f>+VLOOKUP(A310,'[5]X-SEMANA-SC'!$A$1191:$J$1299,9,FALSE)</f>
        <v>20.677500000000002</v>
      </c>
      <c r="G310" s="708">
        <f>+VLOOKUP(A310,'[5]X-SEMANA-SC'!$A$1191:$J$1299,10,FALSE)</f>
        <v>15.166124000000002</v>
      </c>
    </row>
    <row r="311" spans="1:7">
      <c r="A311" s="1488" t="s">
        <v>100</v>
      </c>
      <c r="B311" s="895" t="s">
        <v>46</v>
      </c>
      <c r="C311" s="708">
        <f>+VLOOKUP(A311,'[5]X-SEMANA-SC'!$A$1191:$J$1299,6,FALSE)</f>
        <v>22.7</v>
      </c>
      <c r="D311" s="708">
        <f>+VLOOKUP(A311,'[5]X-SEMANA-SC'!$A$1191:$J$1299,7,FALSE)</f>
        <v>13.84</v>
      </c>
      <c r="E311" s="708">
        <f>+VLOOKUP(A311,'[5]X-SEMANA-SC'!$A$1191:$J$1299,8,FALSE)</f>
        <v>35.622500000000002</v>
      </c>
      <c r="F311" s="708">
        <f>+VLOOKUP(A311,'[5]X-SEMANA-SC'!$A$1191:$J$1299,9,FALSE)</f>
        <v>22.837499999999999</v>
      </c>
      <c r="G311" s="708">
        <f>+VLOOKUP(A311,'[5]X-SEMANA-SC'!$A$1191:$J$1299,10,FALSE)</f>
        <v>15.166124000000002</v>
      </c>
    </row>
    <row r="312" spans="1:7">
      <c r="A312" s="1488" t="s">
        <v>101</v>
      </c>
      <c r="B312" s="895" t="s">
        <v>47</v>
      </c>
      <c r="C312" s="708">
        <f>+VLOOKUP(A312,'[5]X-SEMANA-SC'!$A$1191:$J$1299,6,FALSE)</f>
        <v>22.95</v>
      </c>
      <c r="D312" s="708">
        <f>+VLOOKUP(A312,'[5]X-SEMANA-SC'!$A$1191:$J$1299,7,FALSE)</f>
        <v>13.722</v>
      </c>
      <c r="E312" s="708">
        <f>+VLOOKUP(A312,'[5]X-SEMANA-SC'!$A$1191:$J$1299,8,FALSE)</f>
        <v>37.869999999999997</v>
      </c>
      <c r="F312" s="708">
        <f>+VLOOKUP(A312,'[5]X-SEMANA-SC'!$A$1191:$J$1299,9,FALSE)</f>
        <v>23.331999999999997</v>
      </c>
      <c r="G312" s="708">
        <f>+VLOOKUP(A312,'[5]X-SEMANA-SC'!$A$1191:$J$1299,10,FALSE)</f>
        <v>15.166124000000002</v>
      </c>
    </row>
    <row r="313" spans="1:7">
      <c r="A313" s="1488" t="s">
        <v>102</v>
      </c>
      <c r="B313" s="895" t="s">
        <v>48</v>
      </c>
      <c r="C313" s="708">
        <f>+VLOOKUP(A313,'[5]X-SEMANA-SC'!$A$1191:$J$1299,6,FALSE)</f>
        <v>22.95</v>
      </c>
      <c r="D313" s="708">
        <f>+VLOOKUP(A313,'[5]X-SEMANA-SC'!$A$1191:$J$1299,7,FALSE)</f>
        <v>14.616</v>
      </c>
      <c r="E313" s="708">
        <f>+VLOOKUP(A313,'[5]X-SEMANA-SC'!$A$1191:$J$1299,8,FALSE)</f>
        <v>38.238</v>
      </c>
      <c r="F313" s="708">
        <f>+VLOOKUP(A313,'[5]X-SEMANA-SC'!$A$1191:$J$1299,9,FALSE)</f>
        <v>24.462</v>
      </c>
      <c r="G313" s="708">
        <f>+VLOOKUP(A313,'[5]X-SEMANA-SC'!$A$1191:$J$1299,10,FALSE)</f>
        <v>15.133274400000001</v>
      </c>
    </row>
    <row r="314" spans="1:7">
      <c r="A314" s="1488" t="s">
        <v>103</v>
      </c>
      <c r="B314" s="895" t="s">
        <v>49</v>
      </c>
      <c r="C314" s="708">
        <f>+VLOOKUP(A314,'[5]X-SEMANA-SC'!$A$1191:$J$1299,6,FALSE)</f>
        <v>22.95</v>
      </c>
      <c r="D314" s="708">
        <f>+VLOOKUP(A314,'[5]X-SEMANA-SC'!$A$1191:$J$1299,7,FALSE)</f>
        <v>16.22</v>
      </c>
      <c r="E314" s="708">
        <f>+VLOOKUP(A314,'[5]X-SEMANA-SC'!$A$1191:$J$1299,8,FALSE)</f>
        <v>39.077500000000001</v>
      </c>
      <c r="F314" s="708">
        <f>+VLOOKUP(A314,'[5]X-SEMANA-SC'!$A$1191:$J$1299,9,FALSE)</f>
        <v>24.512499999999999</v>
      </c>
      <c r="G314" s="708">
        <f>+VLOOKUP(A314,'[5]X-SEMANA-SC'!$A$1191:$J$1299,10,FALSE)</f>
        <v>15.084000000000003</v>
      </c>
    </row>
    <row r="315" spans="1:7">
      <c r="A315" s="1488" t="s">
        <v>104</v>
      </c>
      <c r="B315" s="895" t="s">
        <v>50</v>
      </c>
      <c r="C315" s="708">
        <f>+VLOOKUP(A315,'[5]X-SEMANA-SC'!$A$1191:$J$1299,6,FALSE)</f>
        <v>23.087499999999999</v>
      </c>
      <c r="D315" s="708">
        <f>+VLOOKUP(A315,'[5]X-SEMANA-SC'!$A$1191:$J$1299,7,FALSE)</f>
        <v>16.677499999999998</v>
      </c>
      <c r="E315" s="708">
        <f>+VLOOKUP(A315,'[5]X-SEMANA-SC'!$A$1191:$J$1299,8,FALSE)</f>
        <v>39.927499999999995</v>
      </c>
      <c r="F315" s="708">
        <f>+VLOOKUP(A315,'[5]X-SEMANA-SC'!$A$1191:$J$1299,9,FALSE)</f>
        <v>24.715</v>
      </c>
      <c r="G315" s="708">
        <f>+VLOOKUP(A315,'[5]X-SEMANA-SC'!$A$1191:$J$1299,10,FALSE)</f>
        <v>15.922000000000004</v>
      </c>
    </row>
    <row r="316" spans="1:7">
      <c r="A316" s="1488" t="s">
        <v>105</v>
      </c>
      <c r="B316" s="895" t="s">
        <v>51</v>
      </c>
      <c r="C316" s="708">
        <f>+VLOOKUP(A316,'[5]X-SEMANA-SC'!$A$1191:$J$1299,6,FALSE)</f>
        <v>23.5</v>
      </c>
      <c r="D316" s="708">
        <f>+VLOOKUP(A316,'[5]X-SEMANA-SC'!$A$1191:$J$1299,7,FALSE)</f>
        <v>17.618000000000002</v>
      </c>
      <c r="E316" s="708">
        <f>+VLOOKUP(A316,'[5]X-SEMANA-SC'!$A$1191:$J$1299,8,FALSE)</f>
        <v>40.501999999999995</v>
      </c>
      <c r="F316" s="708">
        <f>+VLOOKUP(A316,'[5]X-SEMANA-SC'!$A$1191:$J$1299,9,FALSE)</f>
        <v>25.935999999999996</v>
      </c>
      <c r="G316" s="708">
        <f>+VLOOKUP(A316,'[5]X-SEMANA-SC'!$A$1191:$J$1299,10,FALSE)</f>
        <v>18.436000000000003</v>
      </c>
    </row>
    <row r="317" spans="1:7">
      <c r="A317" s="1488" t="s">
        <v>106</v>
      </c>
      <c r="B317" s="895" t="s">
        <v>52</v>
      </c>
      <c r="C317" s="708">
        <f>+VLOOKUP(A317,'[5]X-SEMANA-SC'!$A$1191:$J$1299,6,FALSE)</f>
        <v>23.5</v>
      </c>
      <c r="D317" s="708">
        <f>+VLOOKUP(A317,'[5]X-SEMANA-SC'!$A$1191:$J$1299,7,FALSE)</f>
        <v>17.862500000000001</v>
      </c>
      <c r="E317" s="708">
        <f>+VLOOKUP(A317,'[5]X-SEMANA-SC'!$A$1191:$J$1299,8,FALSE)</f>
        <v>41.104999999999997</v>
      </c>
      <c r="F317" s="708">
        <f>+VLOOKUP(A317,'[5]X-SEMANA-SC'!$A$1191:$J$1299,9,FALSE)</f>
        <v>25.997500000000002</v>
      </c>
      <c r="G317" s="708">
        <f>+VLOOKUP(A317,'[5]X-SEMANA-SC'!$A$1191:$J$1299,10,FALSE)</f>
        <v>18.436000000000003</v>
      </c>
    </row>
    <row r="318" spans="1:7">
      <c r="A318" s="1488"/>
      <c r="B318" s="1146" t="s">
        <v>7</v>
      </c>
      <c r="C318" s="1147">
        <f>AVERAGE(C306:C317)</f>
        <v>22.486458333333331</v>
      </c>
      <c r="D318" s="1147">
        <f>AVERAGE(D306:D317)</f>
        <v>13.610666666666667</v>
      </c>
      <c r="E318" s="1147">
        <f>AVERAGE(E306:E317)</f>
        <v>36.085166666666666</v>
      </c>
      <c r="F318" s="1147">
        <f>AVERAGE(F306:F317)</f>
        <v>22.563208333333336</v>
      </c>
      <c r="G318" s="1147">
        <f>AVERAGE(G306:G317)</f>
        <v>15.874708866666667</v>
      </c>
    </row>
    <row r="319" spans="1:7">
      <c r="A319" s="1488"/>
      <c r="B319" s="1401"/>
      <c r="C319" s="888"/>
      <c r="D319" s="888"/>
      <c r="E319" s="888"/>
      <c r="F319" s="888"/>
      <c r="G319" s="888"/>
    </row>
    <row r="320" spans="1:7">
      <c r="A320" s="1488"/>
      <c r="B320" s="1702" t="s">
        <v>107</v>
      </c>
      <c r="C320" s="1143" t="s">
        <v>57</v>
      </c>
      <c r="D320" s="1143" t="s">
        <v>58</v>
      </c>
      <c r="E320" s="1143" t="s">
        <v>59</v>
      </c>
      <c r="F320" s="1143" t="s">
        <v>60</v>
      </c>
      <c r="G320" s="1143" t="s">
        <v>61</v>
      </c>
    </row>
    <row r="321" spans="1:16">
      <c r="A321" s="1488"/>
      <c r="B321" s="1702"/>
      <c r="C321" s="1143" t="s">
        <v>62</v>
      </c>
      <c r="D321" s="1143" t="s">
        <v>62</v>
      </c>
      <c r="E321" s="1143" t="s">
        <v>62</v>
      </c>
      <c r="F321" s="1143" t="s">
        <v>62</v>
      </c>
      <c r="G321" s="1143" t="s">
        <v>62</v>
      </c>
    </row>
    <row r="322" spans="1:16">
      <c r="A322" s="1488"/>
      <c r="B322" s="1140" t="s">
        <v>41</v>
      </c>
      <c r="C322" s="708">
        <v>27.5</v>
      </c>
      <c r="D322" s="708">
        <v>16.590800000000002</v>
      </c>
      <c r="E322" s="708">
        <v>41.037450000000007</v>
      </c>
      <c r="F322" s="708">
        <v>30.089592500000002</v>
      </c>
      <c r="G322" s="708">
        <v>20.174012000000005</v>
      </c>
    </row>
    <row r="323" spans="1:16">
      <c r="A323" s="1488"/>
      <c r="B323" s="895" t="s">
        <v>42</v>
      </c>
      <c r="C323" s="708">
        <v>28.5</v>
      </c>
      <c r="D323" s="708">
        <v>17.93</v>
      </c>
      <c r="E323" s="708">
        <v>48.15</v>
      </c>
      <c r="F323" s="708">
        <v>31.33</v>
      </c>
      <c r="G323" s="708">
        <v>20.174012000000005</v>
      </c>
    </row>
    <row r="324" spans="1:16">
      <c r="A324" s="1488"/>
      <c r="B324" s="895" t="s">
        <v>43</v>
      </c>
      <c r="C324" s="708">
        <v>30</v>
      </c>
      <c r="D324" s="708">
        <v>17.491599999999998</v>
      </c>
      <c r="E324" s="708">
        <v>47.696000000000005</v>
      </c>
      <c r="F324" s="708">
        <v>33.817999999999998</v>
      </c>
      <c r="G324" s="708">
        <v>20.334908000000006</v>
      </c>
    </row>
    <row r="325" spans="1:16">
      <c r="A325" s="1488"/>
      <c r="B325" s="895" t="s">
        <v>44</v>
      </c>
      <c r="C325" s="708">
        <v>31.362500000000001</v>
      </c>
      <c r="D325" s="708">
        <v>17.45</v>
      </c>
      <c r="E325" s="708">
        <v>47.115000000000002</v>
      </c>
      <c r="F325" s="708">
        <v>35.052500000000002</v>
      </c>
      <c r="G325" s="708">
        <v>20.982263000000003</v>
      </c>
      <c r="H325" s="75"/>
      <c r="I325" s="75"/>
      <c r="J325" s="75"/>
      <c r="K325" s="75"/>
      <c r="L325" s="75"/>
      <c r="M325" s="75"/>
      <c r="N325" s="75"/>
      <c r="O325" s="75"/>
      <c r="P325" s="75"/>
    </row>
    <row r="326" spans="1:16">
      <c r="A326" s="1488"/>
      <c r="B326" s="895" t="s">
        <v>45</v>
      </c>
      <c r="C326" s="708">
        <v>33.375</v>
      </c>
      <c r="D326" s="708">
        <v>19.04</v>
      </c>
      <c r="E326" s="708">
        <v>46.604999999999997</v>
      </c>
      <c r="F326" s="708">
        <v>36.99</v>
      </c>
      <c r="G326" s="708">
        <v>21.720122</v>
      </c>
      <c r="H326" s="124"/>
      <c r="I326" s="124"/>
      <c r="J326" s="124"/>
      <c r="K326" s="124"/>
      <c r="L326" s="124"/>
      <c r="M326" s="124"/>
      <c r="N326" s="124"/>
      <c r="O326" s="124"/>
      <c r="P326" s="124"/>
    </row>
    <row r="327" spans="1:16">
      <c r="A327" s="1488"/>
      <c r="B327" s="895" t="s">
        <v>46</v>
      </c>
      <c r="C327" s="708">
        <v>36</v>
      </c>
      <c r="D327" s="708">
        <v>20.951701666666665</v>
      </c>
      <c r="E327" s="708">
        <v>54.152500000000003</v>
      </c>
      <c r="F327" s="708">
        <v>40.107500000000002</v>
      </c>
      <c r="G327" s="708">
        <v>22.085909000000001</v>
      </c>
    </row>
    <row r="328" spans="1:16">
      <c r="A328" s="1488"/>
      <c r="B328" s="895" t="s">
        <v>47</v>
      </c>
      <c r="C328" s="708">
        <v>36.456000000000003</v>
      </c>
      <c r="D328" s="708">
        <v>22.830522666666663</v>
      </c>
      <c r="E328" s="708">
        <v>44.265999999999998</v>
      </c>
      <c r="F328" s="708">
        <v>35.466000000000001</v>
      </c>
      <c r="G328" s="708">
        <v>22.327336800000005</v>
      </c>
    </row>
    <row r="329" spans="1:16">
      <c r="A329" s="1488"/>
      <c r="B329" s="895" t="s">
        <v>48</v>
      </c>
      <c r="C329" s="708">
        <v>36.875</v>
      </c>
      <c r="D329" s="708">
        <v>23.09</v>
      </c>
      <c r="E329" s="708">
        <v>45.854999999999997</v>
      </c>
      <c r="F329" s="708">
        <v>31.815000000000001</v>
      </c>
      <c r="G329" s="708">
        <v>22.39</v>
      </c>
    </row>
    <row r="330" spans="1:16">
      <c r="A330" s="1488"/>
      <c r="B330" s="895" t="s">
        <v>49</v>
      </c>
      <c r="C330" s="708">
        <v>35.58</v>
      </c>
      <c r="D330" s="708">
        <v>21.805600000000002</v>
      </c>
      <c r="E330" s="708">
        <v>46.186</v>
      </c>
      <c r="F330" s="708">
        <v>31.962</v>
      </c>
      <c r="G330" s="708">
        <v>21.607662400000002</v>
      </c>
    </row>
    <row r="331" spans="1:16">
      <c r="A331" s="1488"/>
      <c r="B331" s="895" t="s">
        <v>50</v>
      </c>
      <c r="C331" s="708">
        <v>34.774999999999999</v>
      </c>
      <c r="D331" s="708">
        <v>19.020350000000001</v>
      </c>
      <c r="E331" s="708">
        <v>46.534999999999997</v>
      </c>
      <c r="F331" s="708">
        <v>28.752500000000001</v>
      </c>
      <c r="G331" s="708">
        <v>19.819957000000002</v>
      </c>
    </row>
    <row r="332" spans="1:16">
      <c r="A332" s="1488"/>
      <c r="B332" s="895" t="s">
        <v>51</v>
      </c>
      <c r="C332" s="708">
        <v>30.25</v>
      </c>
      <c r="D332" s="708">
        <v>13.1716</v>
      </c>
      <c r="E332" s="708">
        <v>37.975000000000001</v>
      </c>
      <c r="F332" s="708">
        <v>23.33</v>
      </c>
      <c r="G332" s="708">
        <v>18.236975000000001</v>
      </c>
    </row>
    <row r="333" spans="1:16">
      <c r="A333" s="1488"/>
      <c r="B333" s="895" t="s">
        <v>52</v>
      </c>
      <c r="C333" s="708">
        <v>26.68</v>
      </c>
      <c r="D333" s="708">
        <v>9.354000000000001</v>
      </c>
      <c r="E333" s="708">
        <v>35.136000000000003</v>
      </c>
      <c r="F333" s="708">
        <v>21.027999999999999</v>
      </c>
      <c r="G333" s="708">
        <v>17.215536800000002</v>
      </c>
    </row>
    <row r="334" spans="1:16">
      <c r="A334" s="1488"/>
      <c r="B334" s="1146" t="s">
        <v>7</v>
      </c>
      <c r="C334" s="1147">
        <f>AVERAGE(C322:C333)</f>
        <v>32.279458333333331</v>
      </c>
      <c r="D334" s="1147">
        <f>AVERAGE(D322:D333)</f>
        <v>18.227181194444444</v>
      </c>
      <c r="E334" s="1147">
        <f>AVERAGE(E322:E333)</f>
        <v>45.059079166666663</v>
      </c>
      <c r="F334" s="1147">
        <f>AVERAGE(F322:F333)</f>
        <v>31.645091041666671</v>
      </c>
      <c r="G334" s="1147">
        <f>AVERAGE(G322:G333)</f>
        <v>20.589057833333335</v>
      </c>
    </row>
    <row r="335" spans="1:16">
      <c r="A335" s="1488"/>
      <c r="B335" s="1401"/>
      <c r="C335" s="888"/>
      <c r="D335" s="888"/>
      <c r="E335" s="888"/>
      <c r="F335" s="888"/>
      <c r="G335" s="888"/>
    </row>
    <row r="336" spans="1:16">
      <c r="A336" s="1488"/>
      <c r="B336" s="1702" t="s">
        <v>108</v>
      </c>
      <c r="C336" s="1143" t="s">
        <v>57</v>
      </c>
      <c r="D336" s="1143" t="s">
        <v>58</v>
      </c>
      <c r="E336" s="1143" t="s">
        <v>59</v>
      </c>
      <c r="F336" s="1143" t="s">
        <v>60</v>
      </c>
      <c r="G336" s="1143" t="s">
        <v>61</v>
      </c>
    </row>
    <row r="337" spans="1:7">
      <c r="A337" s="1488"/>
      <c r="B337" s="1702"/>
      <c r="C337" s="1143" t="s">
        <v>62</v>
      </c>
      <c r="D337" s="1143" t="s">
        <v>62</v>
      </c>
      <c r="E337" s="1143" t="s">
        <v>62</v>
      </c>
      <c r="F337" s="1143" t="s">
        <v>62</v>
      </c>
      <c r="G337" s="1143" t="s">
        <v>62</v>
      </c>
    </row>
    <row r="338" spans="1:7">
      <c r="A338" s="1488"/>
      <c r="B338" s="1140" t="s">
        <v>41</v>
      </c>
      <c r="C338" s="708">
        <v>21.571999999999999</v>
      </c>
      <c r="D338" s="708">
        <v>9.2807655999999987</v>
      </c>
      <c r="E338" s="708">
        <v>37.158000000000001</v>
      </c>
      <c r="F338" s="708">
        <v>22.009</v>
      </c>
      <c r="G338" s="708">
        <v>16.018872800000004</v>
      </c>
    </row>
    <row r="339" spans="1:7">
      <c r="A339" s="1488"/>
      <c r="B339" s="895" t="s">
        <v>42</v>
      </c>
      <c r="C339" s="708">
        <v>20.875</v>
      </c>
      <c r="D339" s="708">
        <v>9.5722655999999997</v>
      </c>
      <c r="E339" s="708">
        <v>37.53</v>
      </c>
      <c r="F339" s="708">
        <v>21.53</v>
      </c>
      <c r="G339" s="708">
        <v>16.015855999999999</v>
      </c>
    </row>
    <row r="340" spans="1:7">
      <c r="A340" s="1488"/>
      <c r="B340" s="895" t="s">
        <v>43</v>
      </c>
      <c r="C340" s="708">
        <v>20.56</v>
      </c>
      <c r="D340" s="708">
        <v>10.029765600000001</v>
      </c>
      <c r="E340" s="708">
        <v>37.655000000000001</v>
      </c>
      <c r="F340" s="708">
        <v>22.37</v>
      </c>
      <c r="G340" s="708">
        <v>16.010409000000003</v>
      </c>
    </row>
    <row r="341" spans="1:7">
      <c r="A341" s="1488"/>
      <c r="B341" s="895" t="s">
        <v>44</v>
      </c>
      <c r="C341" s="708">
        <v>21.497499999999999</v>
      </c>
      <c r="D341" s="708">
        <v>10.7772656</v>
      </c>
      <c r="E341" s="708">
        <v>38.206699999999998</v>
      </c>
      <c r="F341" s="708">
        <v>23.68</v>
      </c>
      <c r="G341" s="708">
        <v>16.005381000000003</v>
      </c>
    </row>
    <row r="342" spans="1:7">
      <c r="A342" s="1488"/>
      <c r="B342" s="895" t="s">
        <v>45</v>
      </c>
      <c r="C342" s="708">
        <v>22.127999999999997</v>
      </c>
      <c r="D342" s="708">
        <v>11.2557656</v>
      </c>
      <c r="E342" s="708">
        <v>38.782020000000003</v>
      </c>
      <c r="F342" s="708">
        <v>25.242000000000001</v>
      </c>
      <c r="G342" s="708">
        <v>16.084236800000003</v>
      </c>
    </row>
    <row r="343" spans="1:7">
      <c r="A343" s="1488"/>
      <c r="B343" s="895" t="s">
        <v>46</v>
      </c>
      <c r="C343" s="708">
        <v>22.52</v>
      </c>
      <c r="D343" s="708">
        <v>13.3647656</v>
      </c>
      <c r="E343" s="708">
        <v>38.819299999999998</v>
      </c>
      <c r="F343" s="708">
        <v>24.704999999999998</v>
      </c>
      <c r="G343" s="708">
        <v>16.823688000000004</v>
      </c>
    </row>
    <row r="344" spans="1:7">
      <c r="A344" s="1488"/>
      <c r="B344" s="895" t="s">
        <v>47</v>
      </c>
      <c r="C344" s="708">
        <v>22.782499999999999</v>
      </c>
      <c r="D344" s="708">
        <v>13.8197656</v>
      </c>
      <c r="E344" s="708">
        <v>40.342999999999996</v>
      </c>
      <c r="F344" s="708">
        <v>25.25</v>
      </c>
      <c r="G344" s="708">
        <v>16.832068000000003</v>
      </c>
    </row>
    <row r="345" spans="1:7">
      <c r="A345" s="1488"/>
      <c r="B345" s="895" t="s">
        <v>48</v>
      </c>
      <c r="C345" s="708">
        <v>22.928000000000001</v>
      </c>
      <c r="D345" s="708">
        <v>13.279765600000001</v>
      </c>
      <c r="E345" s="708">
        <v>41.467200000000005</v>
      </c>
      <c r="F345" s="708">
        <v>25.173999999999999</v>
      </c>
      <c r="G345" s="708">
        <v>16.833073599999999</v>
      </c>
    </row>
    <row r="346" spans="1:7">
      <c r="A346" s="1488"/>
      <c r="B346" s="895" t="s">
        <v>49</v>
      </c>
      <c r="C346" s="708">
        <v>23</v>
      </c>
      <c r="D346" s="708">
        <v>13.4797656</v>
      </c>
      <c r="E346" s="708">
        <v>41.530875000000002</v>
      </c>
      <c r="F346" s="708">
        <v>25.805</v>
      </c>
      <c r="G346" s="708">
        <v>16.833744000000003</v>
      </c>
    </row>
    <row r="347" spans="1:7">
      <c r="A347" s="1488"/>
      <c r="B347" s="895" t="s">
        <v>50</v>
      </c>
      <c r="C347" s="708">
        <v>23.053999999999998</v>
      </c>
      <c r="D347" s="708">
        <v>14.289765599999999</v>
      </c>
      <c r="E347" s="708">
        <v>41.8765</v>
      </c>
      <c r="F347" s="708">
        <v>27.145075065999997</v>
      </c>
      <c r="G347" s="708">
        <v>17.318108000000002</v>
      </c>
    </row>
    <row r="348" spans="1:7">
      <c r="A348" s="1488"/>
      <c r="B348" s="895" t="s">
        <v>51</v>
      </c>
      <c r="C348" s="708">
        <v>25.7225</v>
      </c>
      <c r="D348" s="708">
        <v>16.532265600000002</v>
      </c>
      <c r="E348" s="708">
        <v>41.063000000000002</v>
      </c>
      <c r="F348" s="708">
        <v>28.995336929250001</v>
      </c>
      <c r="G348" s="708">
        <v>19.325956000000005</v>
      </c>
    </row>
    <row r="349" spans="1:7">
      <c r="A349" s="1488"/>
      <c r="B349" s="895" t="s">
        <v>52</v>
      </c>
      <c r="C349" s="708">
        <v>27.75</v>
      </c>
      <c r="D349" s="708">
        <v>16.286015599999999</v>
      </c>
      <c r="E349" s="708">
        <v>40.847300000000004</v>
      </c>
      <c r="F349" s="708">
        <v>29.760063278999997</v>
      </c>
      <c r="G349" s="708">
        <v>20.174012000000005</v>
      </c>
    </row>
    <row r="350" spans="1:7">
      <c r="A350" s="1488"/>
      <c r="B350" s="1146" t="s">
        <v>7</v>
      </c>
      <c r="C350" s="1147">
        <f>AVERAGE(C338:C349)</f>
        <v>22.865791666666667</v>
      </c>
      <c r="D350" s="1147">
        <f>AVERAGE(D338:D349)</f>
        <v>12.663994766666667</v>
      </c>
      <c r="E350" s="1147">
        <f>AVERAGE(E338:E349)</f>
        <v>39.606574583333334</v>
      </c>
      <c r="F350" s="1147">
        <f>AVERAGE(F338:F349)</f>
        <v>25.138789606187501</v>
      </c>
      <c r="G350" s="1147">
        <f>AVERAGE(G338:G349)</f>
        <v>17.022950433333335</v>
      </c>
    </row>
    <row r="351" spans="1:7">
      <c r="A351" s="1488"/>
      <c r="B351" s="1402" t="s">
        <v>109</v>
      </c>
      <c r="C351" s="888"/>
      <c r="D351" s="888"/>
      <c r="E351" s="888"/>
      <c r="F351" s="888"/>
      <c r="G351" s="888"/>
    </row>
    <row r="352" spans="1:7">
      <c r="A352" s="1488"/>
      <c r="B352" s="1702" t="s">
        <v>110</v>
      </c>
      <c r="C352" s="1143" t="s">
        <v>57</v>
      </c>
      <c r="D352" s="1143" t="s">
        <v>58</v>
      </c>
      <c r="E352" s="1143" t="s">
        <v>59</v>
      </c>
      <c r="F352" s="1143" t="s">
        <v>60</v>
      </c>
      <c r="G352" s="1143" t="s">
        <v>61</v>
      </c>
    </row>
    <row r="353" spans="1:7">
      <c r="A353" s="1488"/>
      <c r="B353" s="1702"/>
      <c r="C353" s="1143" t="s">
        <v>62</v>
      </c>
      <c r="D353" s="1143" t="s">
        <v>62</v>
      </c>
      <c r="E353" s="1143" t="s">
        <v>62</v>
      </c>
      <c r="F353" s="1143" t="s">
        <v>62</v>
      </c>
      <c r="G353" s="1143" t="s">
        <v>62</v>
      </c>
    </row>
    <row r="354" spans="1:7">
      <c r="A354" s="1488"/>
      <c r="B354" s="1140" t="s">
        <v>41</v>
      </c>
      <c r="C354" s="708">
        <v>22.99</v>
      </c>
      <c r="D354" s="708">
        <v>10.937177066666667</v>
      </c>
      <c r="E354" s="708">
        <v>35.928644000000006</v>
      </c>
      <c r="F354" s="708">
        <v>22.725000000000001</v>
      </c>
      <c r="G354" s="708">
        <v>15.990716000000003</v>
      </c>
    </row>
    <row r="355" spans="1:7">
      <c r="A355" s="1488"/>
      <c r="B355" s="895" t="s">
        <v>42</v>
      </c>
      <c r="C355" s="708">
        <v>20.844999999999999</v>
      </c>
      <c r="D355" s="708">
        <v>11.1172656</v>
      </c>
      <c r="E355" s="708">
        <v>35.29</v>
      </c>
      <c r="F355" s="708">
        <v>23.2775</v>
      </c>
      <c r="G355" s="708">
        <v>15.986526000000003</v>
      </c>
    </row>
    <row r="356" spans="1:7">
      <c r="A356" s="1488"/>
      <c r="B356" s="895" t="s">
        <v>43</v>
      </c>
      <c r="C356" s="708">
        <v>20.7775</v>
      </c>
      <c r="D356" s="708">
        <v>10.927265599999998</v>
      </c>
      <c r="E356" s="708">
        <v>36.28</v>
      </c>
      <c r="F356" s="708">
        <v>23.145</v>
      </c>
      <c r="G356" s="708">
        <v>15.381909000000002</v>
      </c>
    </row>
    <row r="357" spans="1:7">
      <c r="A357" s="1488"/>
      <c r="B357" s="895" t="s">
        <v>44</v>
      </c>
      <c r="C357" s="708">
        <v>21.37</v>
      </c>
      <c r="D357" s="708">
        <v>11.2422656</v>
      </c>
      <c r="E357" s="708">
        <v>39.512500000000003</v>
      </c>
      <c r="F357" s="708">
        <v>24.142499999999998</v>
      </c>
      <c r="G357" s="708">
        <v>14.358292000000004</v>
      </c>
    </row>
    <row r="358" spans="1:7">
      <c r="A358" s="1488"/>
      <c r="B358" s="895" t="s">
        <v>45</v>
      </c>
      <c r="C358" s="708">
        <v>22.16</v>
      </c>
      <c r="D358" s="708">
        <v>11.634765599999998</v>
      </c>
      <c r="E358" s="708">
        <v>40.135999999999996</v>
      </c>
      <c r="F358" s="708">
        <v>25.523000000000003</v>
      </c>
      <c r="G358" s="708">
        <v>14.357286400000003</v>
      </c>
    </row>
    <row r="359" spans="1:7">
      <c r="A359" s="1488"/>
      <c r="B359" s="895" t="s">
        <v>46</v>
      </c>
      <c r="C359" s="708">
        <v>22.3125</v>
      </c>
      <c r="D359" s="708">
        <v>11.2110156</v>
      </c>
      <c r="E359" s="708">
        <v>36.630000000000003</v>
      </c>
      <c r="F359" s="708">
        <v>25.532499999999999</v>
      </c>
      <c r="G359" s="708">
        <v>14.346979000000003</v>
      </c>
    </row>
    <row r="360" spans="1:7">
      <c r="A360" s="1488"/>
      <c r="B360" s="895" t="s">
        <v>47</v>
      </c>
      <c r="C360" s="708">
        <v>22.932000000000006</v>
      </c>
      <c r="D360" s="708">
        <v>11.1597656</v>
      </c>
      <c r="E360" s="708">
        <v>36.630000000000003</v>
      </c>
      <c r="F360" s="708">
        <v>25.548999999999996</v>
      </c>
      <c r="G360" s="708">
        <v>14.687793600000003</v>
      </c>
    </row>
    <row r="361" spans="1:7">
      <c r="A361" s="1488"/>
      <c r="B361" s="895" t="s">
        <v>48</v>
      </c>
      <c r="C361" s="708">
        <v>23.645</v>
      </c>
      <c r="D361" s="708">
        <v>11.481015599999999</v>
      </c>
      <c r="E361" s="708">
        <v>38.284999999999997</v>
      </c>
      <c r="F361" s="708">
        <v>26.017499999999998</v>
      </c>
      <c r="G361" s="708">
        <v>15.624510000000003</v>
      </c>
    </row>
    <row r="362" spans="1:7">
      <c r="A362" s="1488"/>
      <c r="B362" s="895" t="s">
        <v>49</v>
      </c>
      <c r="C362" s="708">
        <v>23.475000000000001</v>
      </c>
      <c r="D362" s="708">
        <v>11.094765600000001</v>
      </c>
      <c r="E362" s="708">
        <v>40.03</v>
      </c>
      <c r="F362" s="708">
        <v>25.4575</v>
      </c>
      <c r="G362" s="708">
        <v>16.005800000000001</v>
      </c>
    </row>
    <row r="363" spans="1:7">
      <c r="A363" s="1488"/>
      <c r="B363" s="895" t="s">
        <v>50</v>
      </c>
      <c r="C363" s="708">
        <v>21.8</v>
      </c>
      <c r="D363" s="708">
        <v>10.142765600000001</v>
      </c>
      <c r="E363" s="708">
        <v>38.233999999999995</v>
      </c>
      <c r="F363" s="708">
        <v>24.448</v>
      </c>
      <c r="G363" s="708">
        <v>16.0205488</v>
      </c>
    </row>
    <row r="364" spans="1:7">
      <c r="A364" s="1488"/>
      <c r="B364" s="895" t="s">
        <v>51</v>
      </c>
      <c r="C364" s="708">
        <v>21.767499999999998</v>
      </c>
      <c r="D364" s="708">
        <v>9.7497655999999999</v>
      </c>
      <c r="E364" s="708">
        <v>36.97</v>
      </c>
      <c r="F364" s="708">
        <v>22.912500000000001</v>
      </c>
      <c r="G364" s="708">
        <v>16.022560000000002</v>
      </c>
    </row>
    <row r="365" spans="1:7">
      <c r="A365" s="1488"/>
      <c r="B365" s="895" t="s">
        <v>52</v>
      </c>
      <c r="C365" s="708">
        <v>21.432500000000001</v>
      </c>
      <c r="D365" s="708">
        <v>9.8047655999999996</v>
      </c>
      <c r="E365" s="708">
        <v>36.97</v>
      </c>
      <c r="F365" s="708">
        <v>23.364999999999998</v>
      </c>
      <c r="G365" s="708">
        <v>16.017113000000002</v>
      </c>
    </row>
    <row r="366" spans="1:7">
      <c r="A366" s="1488"/>
      <c r="B366" s="1146" t="s">
        <v>7</v>
      </c>
      <c r="C366" s="1147">
        <f>AVERAGE(C354:C365)</f>
        <v>22.125583333333335</v>
      </c>
      <c r="D366" s="1147">
        <f>AVERAGE(D354:D365)</f>
        <v>10.875216555555555</v>
      </c>
      <c r="E366" s="1147">
        <f>AVERAGE(E354:E365)</f>
        <v>37.574678666666664</v>
      </c>
      <c r="F366" s="1147">
        <f>AVERAGE(F354:F365)</f>
        <v>24.341250000000002</v>
      </c>
      <c r="G366" s="1147">
        <f>AVERAGE(G354:G365)</f>
        <v>15.400002816666669</v>
      </c>
    </row>
    <row r="367" spans="1:7">
      <c r="A367" s="1488"/>
      <c r="B367" s="1401"/>
      <c r="C367" s="888"/>
      <c r="D367" s="888"/>
      <c r="E367" s="888"/>
      <c r="F367" s="888"/>
      <c r="G367" s="888"/>
    </row>
    <row r="368" spans="1:7">
      <c r="A368" s="1488"/>
      <c r="B368" s="1702" t="s">
        <v>111</v>
      </c>
      <c r="C368" s="1143" t="s">
        <v>57</v>
      </c>
      <c r="D368" s="1143" t="s">
        <v>58</v>
      </c>
      <c r="E368" s="1143" t="s">
        <v>59</v>
      </c>
      <c r="F368" s="1143" t="s">
        <v>60</v>
      </c>
      <c r="G368" s="1143" t="s">
        <v>61</v>
      </c>
    </row>
    <row r="369" spans="1:7">
      <c r="A369" s="1488"/>
      <c r="B369" s="1702"/>
      <c r="C369" s="1143" t="s">
        <v>62</v>
      </c>
      <c r="D369" s="1143" t="s">
        <v>62</v>
      </c>
      <c r="E369" s="1143" t="s">
        <v>62</v>
      </c>
      <c r="F369" s="1143" t="s">
        <v>62</v>
      </c>
      <c r="G369" s="1143" t="s">
        <v>62</v>
      </c>
    </row>
    <row r="370" spans="1:7">
      <c r="A370" s="1488"/>
      <c r="B370" s="1140" t="s">
        <v>41</v>
      </c>
      <c r="C370" s="708">
        <v>15.9</v>
      </c>
      <c r="D370" s="708">
        <v>6.9139999999999997</v>
      </c>
      <c r="E370" s="708">
        <v>24.146740000000001</v>
      </c>
      <c r="F370" s="708">
        <v>17.934999999999999</v>
      </c>
      <c r="G370" s="708">
        <v>12.806651200000001</v>
      </c>
    </row>
    <row r="371" spans="1:7">
      <c r="A371" s="1488"/>
      <c r="B371" s="895" t="s">
        <v>42</v>
      </c>
      <c r="C371" s="708">
        <v>15.565</v>
      </c>
      <c r="D371" s="708">
        <v>7.2000202999999994</v>
      </c>
      <c r="E371" s="708">
        <v>24.599475000000002</v>
      </c>
      <c r="F371" s="708">
        <v>18.04</v>
      </c>
      <c r="G371" s="708">
        <v>12.047507000000003</v>
      </c>
    </row>
    <row r="372" spans="1:7">
      <c r="A372" s="1488"/>
      <c r="B372" s="895" t="s">
        <v>43</v>
      </c>
      <c r="C372" s="708">
        <v>16.912500000000001</v>
      </c>
      <c r="D372" s="708">
        <v>7.5606370999999992</v>
      </c>
      <c r="E372" s="708">
        <v>24.83</v>
      </c>
      <c r="F372" s="708">
        <v>18.79</v>
      </c>
      <c r="G372" s="708">
        <v>11.870270000000003</v>
      </c>
    </row>
    <row r="373" spans="1:7">
      <c r="A373" s="1488"/>
      <c r="B373" s="895" t="s">
        <v>44</v>
      </c>
      <c r="C373" s="708">
        <v>18.018750000000001</v>
      </c>
      <c r="D373" s="708">
        <v>7.9630077999999997</v>
      </c>
      <c r="E373" s="708">
        <v>25.954999999999998</v>
      </c>
      <c r="F373" s="708">
        <v>20.267499999999998</v>
      </c>
      <c r="G373" s="708">
        <v>12.244437000000003</v>
      </c>
    </row>
    <row r="374" spans="1:7">
      <c r="A374" s="1488"/>
      <c r="B374" s="895" t="s">
        <v>45</v>
      </c>
      <c r="C374" s="708">
        <v>18.989999999999998</v>
      </c>
      <c r="D374" s="708">
        <v>8.8822827999999987</v>
      </c>
      <c r="E374" s="708">
        <v>26.041999999999994</v>
      </c>
      <c r="F374" s="708">
        <v>20.627220000000001</v>
      </c>
      <c r="G374" s="708">
        <v>10.680477600000003</v>
      </c>
    </row>
    <row r="375" spans="1:7">
      <c r="A375" s="1488"/>
      <c r="B375" s="895" t="s">
        <v>46</v>
      </c>
      <c r="C375" s="708">
        <v>17.774999999999999</v>
      </c>
      <c r="D375" s="708">
        <v>9.0095140499999999</v>
      </c>
      <c r="E375" s="708">
        <v>27.41</v>
      </c>
      <c r="F375" s="708">
        <v>18.878499999999999</v>
      </c>
      <c r="G375" s="708">
        <v>10.141476000000001</v>
      </c>
    </row>
    <row r="376" spans="1:7">
      <c r="A376" s="1488"/>
      <c r="B376" s="895" t="s">
        <v>47</v>
      </c>
      <c r="C376" s="708">
        <v>17.524999999999999</v>
      </c>
      <c r="D376" s="708">
        <v>9.2516828000000011</v>
      </c>
      <c r="E376" s="708">
        <v>28.65</v>
      </c>
      <c r="F376" s="708">
        <v>19.445</v>
      </c>
      <c r="G376" s="708">
        <v>10.150694000000001</v>
      </c>
    </row>
    <row r="377" spans="1:7">
      <c r="A377" s="1488"/>
      <c r="B377" s="895" t="s">
        <v>48</v>
      </c>
      <c r="C377" s="708">
        <v>18.29</v>
      </c>
      <c r="D377" s="708">
        <v>9.2598827999999997</v>
      </c>
      <c r="E377" s="708">
        <v>29.449959999999997</v>
      </c>
      <c r="F377" s="708">
        <v>19.770999999999997</v>
      </c>
      <c r="G377" s="708">
        <v>10.904056000000002</v>
      </c>
    </row>
    <row r="378" spans="1:7">
      <c r="A378" s="1488"/>
      <c r="B378" s="895" t="s">
        <v>49</v>
      </c>
      <c r="C378" s="708">
        <v>19.649999999999999</v>
      </c>
      <c r="D378" s="708">
        <v>9.8017578000000007</v>
      </c>
      <c r="E378" s="708">
        <v>33.200000000000003</v>
      </c>
      <c r="F378" s="708">
        <v>22.337499999999999</v>
      </c>
      <c r="G378" s="708">
        <v>14.025606000000002</v>
      </c>
    </row>
    <row r="379" spans="1:7">
      <c r="A379" s="1488"/>
      <c r="B379" s="895" t="s">
        <v>50</v>
      </c>
      <c r="C379" s="708">
        <v>21.457999999999998</v>
      </c>
      <c r="D379" s="708">
        <v>10.196882800000001</v>
      </c>
      <c r="E379" s="708">
        <v>36.227999999999994</v>
      </c>
      <c r="F379" s="708">
        <v>27.897000000000002</v>
      </c>
      <c r="G379" s="708">
        <v>15.182548800000001</v>
      </c>
    </row>
    <row r="380" spans="1:7">
      <c r="A380" s="1488"/>
      <c r="B380" s="895" t="s">
        <v>51</v>
      </c>
      <c r="C380" s="708">
        <v>25.23</v>
      </c>
      <c r="D380" s="708">
        <v>10.074882800000001</v>
      </c>
      <c r="E380" s="708">
        <v>32.954999999999998</v>
      </c>
      <c r="F380" s="708">
        <v>25.3125</v>
      </c>
      <c r="G380" s="708">
        <v>15.6</v>
      </c>
    </row>
    <row r="381" spans="1:7">
      <c r="A381" s="1488"/>
      <c r="B381" s="895" t="s">
        <v>52</v>
      </c>
      <c r="C381" s="708">
        <v>25.8</v>
      </c>
      <c r="D381" s="708">
        <v>10.307382799999999</v>
      </c>
      <c r="E381" s="708">
        <v>34.261609999999997</v>
      </c>
      <c r="F381" s="708">
        <v>22.237500000000001</v>
      </c>
      <c r="G381" s="708">
        <v>15.99</v>
      </c>
    </row>
    <row r="382" spans="1:7">
      <c r="A382" s="1488"/>
      <c r="B382" s="1146" t="s">
        <v>7</v>
      </c>
      <c r="C382" s="1147">
        <f>AVERAGE(C370:C381)</f>
        <v>19.259520833333333</v>
      </c>
      <c r="D382" s="1147">
        <f>AVERAGE(D370:D381)</f>
        <v>8.8684944874999996</v>
      </c>
      <c r="E382" s="1147">
        <f>AVERAGE(E370:E381)</f>
        <v>28.97731541666667</v>
      </c>
      <c r="F382" s="1147">
        <f>AVERAGE(F370:F381)</f>
        <v>20.961559999999999</v>
      </c>
      <c r="G382" s="1147">
        <f>AVERAGE(G370:G381)</f>
        <v>12.636976966666667</v>
      </c>
    </row>
    <row r="383" spans="1:7">
      <c r="A383" s="1488"/>
      <c r="B383" s="548"/>
      <c r="C383" s="548"/>
      <c r="D383" s="548"/>
      <c r="E383" s="548"/>
      <c r="F383" s="548"/>
      <c r="G383" s="548"/>
    </row>
    <row r="384" spans="1:7">
      <c r="A384" s="1488"/>
      <c r="B384" s="1702" t="s">
        <v>112</v>
      </c>
      <c r="C384" s="1143" t="s">
        <v>57</v>
      </c>
      <c r="D384" s="1143" t="s">
        <v>58</v>
      </c>
      <c r="E384" s="1143" t="s">
        <v>59</v>
      </c>
      <c r="F384" s="1143" t="s">
        <v>60</v>
      </c>
      <c r="G384" s="1148" t="s">
        <v>61</v>
      </c>
    </row>
    <row r="385" spans="1:7">
      <c r="A385" s="1488"/>
      <c r="B385" s="1702"/>
      <c r="C385" s="1143" t="s">
        <v>62</v>
      </c>
      <c r="D385" s="1143" t="s">
        <v>62</v>
      </c>
      <c r="E385" s="1143" t="s">
        <v>62</v>
      </c>
      <c r="F385" s="1143" t="s">
        <v>62</v>
      </c>
      <c r="G385" s="1143" t="s">
        <v>62</v>
      </c>
    </row>
    <row r="386" spans="1:7">
      <c r="A386" s="1488"/>
      <c r="B386" s="1140" t="s">
        <v>41</v>
      </c>
      <c r="C386" s="708">
        <v>13.68</v>
      </c>
      <c r="D386" s="708">
        <v>6.7571036333333332</v>
      </c>
      <c r="E386" s="708">
        <v>21.41085</v>
      </c>
      <c r="F386" s="708">
        <v>12.916575000000002</v>
      </c>
      <c r="G386" s="708">
        <v>9.7283420000000014</v>
      </c>
    </row>
    <row r="387" spans="1:7">
      <c r="A387" s="1488"/>
      <c r="B387" s="895" t="s">
        <v>42</v>
      </c>
      <c r="C387" s="708">
        <v>13.8675</v>
      </c>
      <c r="D387" s="708">
        <v>6.5078428000000006</v>
      </c>
      <c r="E387" s="708">
        <v>22.48</v>
      </c>
      <c r="F387" s="708">
        <v>13.024324999999999</v>
      </c>
      <c r="G387" s="708">
        <v>10.185471000000001</v>
      </c>
    </row>
    <row r="388" spans="1:7">
      <c r="A388" s="1488"/>
      <c r="B388" s="895" t="s">
        <v>43</v>
      </c>
      <c r="C388" s="708">
        <v>13.99</v>
      </c>
      <c r="D388" s="708">
        <v>6.7595330666666671</v>
      </c>
      <c r="E388" s="708">
        <v>21.888400000000001</v>
      </c>
      <c r="F388" s="708">
        <v>13.382319999999998</v>
      </c>
      <c r="G388" s="708">
        <v>10.202482400000003</v>
      </c>
    </row>
    <row r="389" spans="1:7">
      <c r="A389" s="1488"/>
      <c r="B389" s="895" t="s">
        <v>44</v>
      </c>
      <c r="C389" s="708">
        <v>13.99</v>
      </c>
      <c r="D389" s="708">
        <v>6.6079561333333325</v>
      </c>
      <c r="E389" s="708">
        <v>22.350999999999999</v>
      </c>
      <c r="F389" s="708">
        <v>13.719350000000002</v>
      </c>
      <c r="G389" s="708">
        <v>10.211868000000003</v>
      </c>
    </row>
    <row r="390" spans="1:7">
      <c r="A390" s="1488"/>
      <c r="B390" s="895" t="s">
        <v>45</v>
      </c>
      <c r="C390" s="708">
        <v>13.23</v>
      </c>
      <c r="D390" s="708">
        <v>7.2256713666666652</v>
      </c>
      <c r="E390" s="708">
        <v>23.710839999999997</v>
      </c>
      <c r="F390" s="708">
        <v>15.608500000000001</v>
      </c>
      <c r="G390" s="708">
        <v>10.2038232</v>
      </c>
    </row>
    <row r="391" spans="1:7">
      <c r="A391" s="1488"/>
      <c r="B391" s="895" t="s">
        <v>46</v>
      </c>
      <c r="C391" s="708">
        <v>12.977499999999999</v>
      </c>
      <c r="D391" s="708">
        <v>7.5225540000000004</v>
      </c>
      <c r="E391" s="708">
        <v>24.2944</v>
      </c>
      <c r="F391" s="708">
        <v>14.689599999999999</v>
      </c>
      <c r="G391" s="708">
        <v>10.205583000000003</v>
      </c>
    </row>
    <row r="392" spans="1:7">
      <c r="A392" s="1488"/>
      <c r="B392" s="895" t="s">
        <v>47</v>
      </c>
      <c r="C392" s="708">
        <v>13.28</v>
      </c>
      <c r="D392" s="708">
        <v>7.1078078583333335</v>
      </c>
      <c r="E392" s="708">
        <v>23.947200000000002</v>
      </c>
      <c r="F392" s="708">
        <v>15.60965</v>
      </c>
      <c r="G392" s="708">
        <v>10.182538000000001</v>
      </c>
    </row>
    <row r="393" spans="1:7">
      <c r="A393" s="1488"/>
      <c r="B393" s="895" t="s">
        <v>48</v>
      </c>
      <c r="C393" s="708">
        <v>13.282</v>
      </c>
      <c r="D393" s="708">
        <v>7.3470549666666667</v>
      </c>
      <c r="E393" s="708">
        <v>24.071520000000003</v>
      </c>
      <c r="F393" s="708">
        <v>15.873624999999999</v>
      </c>
      <c r="G393" s="708">
        <v>11.378922666666668</v>
      </c>
    </row>
    <row r="394" spans="1:7">
      <c r="A394" s="1488"/>
      <c r="B394" s="895" t="s">
        <v>49</v>
      </c>
      <c r="C394" s="708">
        <v>13.79</v>
      </c>
      <c r="D394" s="708">
        <v>7.5799534499999996</v>
      </c>
      <c r="E394" s="708">
        <v>23.891199999999998</v>
      </c>
      <c r="F394" s="708">
        <v>16.74925</v>
      </c>
      <c r="G394" s="708">
        <v>11.729067000000001</v>
      </c>
    </row>
    <row r="395" spans="1:7">
      <c r="A395" s="1488"/>
      <c r="B395" s="895" t="s">
        <v>50</v>
      </c>
      <c r="C395" s="708">
        <v>15.69</v>
      </c>
      <c r="D395" s="708">
        <v>7.8651409500000007</v>
      </c>
      <c r="E395" s="708">
        <v>25.2072</v>
      </c>
      <c r="F395" s="708">
        <v>19.095750000000002</v>
      </c>
      <c r="G395" s="708">
        <v>12.075580000000002</v>
      </c>
    </row>
    <row r="396" spans="1:7">
      <c r="A396" s="1488"/>
      <c r="B396" s="895" t="s">
        <v>51</v>
      </c>
      <c r="C396" s="708">
        <v>17.116</v>
      </c>
      <c r="D396" s="708">
        <v>7.6019999999999994</v>
      </c>
      <c r="E396" s="708">
        <v>25.04</v>
      </c>
      <c r="F396" s="708">
        <v>19.711120000000001</v>
      </c>
      <c r="G396" s="708">
        <v>13.0014024</v>
      </c>
    </row>
    <row r="397" spans="1:7">
      <c r="A397" s="1488"/>
      <c r="B397" s="895" t="s">
        <v>52</v>
      </c>
      <c r="C397" s="708">
        <v>16.05</v>
      </c>
      <c r="D397" s="708">
        <v>7.0650000000000004</v>
      </c>
      <c r="E397" s="708">
        <v>23.994</v>
      </c>
      <c r="F397" s="708">
        <v>17.254999999999999</v>
      </c>
      <c r="G397" s="708">
        <v>13.000732000000003</v>
      </c>
    </row>
    <row r="398" spans="1:7">
      <c r="A398" s="1488"/>
      <c r="B398" s="1146" t="s">
        <v>7</v>
      </c>
      <c r="C398" s="1147">
        <f>AVERAGE(C386:C397)</f>
        <v>14.245250000000004</v>
      </c>
      <c r="D398" s="1147">
        <f>AVERAGE(D386:D397)</f>
        <v>7.1623015187499997</v>
      </c>
      <c r="E398" s="1147">
        <f>AVERAGE(E386:E397)</f>
        <v>23.523884166666665</v>
      </c>
      <c r="F398" s="1147">
        <f>AVERAGE(F386:F397)</f>
        <v>15.636255416666666</v>
      </c>
      <c r="G398" s="1147">
        <f>AVERAGE(G386:G397)</f>
        <v>11.008817638888893</v>
      </c>
    </row>
    <row r="399" spans="1:7">
      <c r="A399" s="1488"/>
      <c r="B399" s="548"/>
      <c r="C399" s="548"/>
      <c r="D399" s="548"/>
      <c r="E399" s="548"/>
      <c r="F399" s="548"/>
      <c r="G399" s="548"/>
    </row>
    <row r="400" spans="1:7">
      <c r="A400" s="1488"/>
      <c r="B400" s="1702" t="s">
        <v>113</v>
      </c>
      <c r="C400" s="1143" t="s">
        <v>57</v>
      </c>
      <c r="D400" s="1143" t="s">
        <v>58</v>
      </c>
      <c r="E400" s="1143" t="s">
        <v>59</v>
      </c>
      <c r="F400" s="1143" t="s">
        <v>60</v>
      </c>
      <c r="G400" s="1148" t="s">
        <v>61</v>
      </c>
    </row>
    <row r="401" spans="1:7">
      <c r="A401" s="1488"/>
      <c r="B401" s="1702"/>
      <c r="C401" s="1143" t="s">
        <v>62</v>
      </c>
      <c r="D401" s="1143" t="s">
        <v>62</v>
      </c>
      <c r="E401" s="1143" t="s">
        <v>62</v>
      </c>
      <c r="F401" s="1143" t="s">
        <v>62</v>
      </c>
      <c r="G401" s="1143" t="s">
        <v>62</v>
      </c>
    </row>
    <row r="402" spans="1:7">
      <c r="A402" s="1488"/>
      <c r="B402" s="1140" t="s">
        <v>41</v>
      </c>
      <c r="C402" s="708">
        <v>11.43</v>
      </c>
      <c r="D402" s="708">
        <v>9.3201584874999988</v>
      </c>
      <c r="E402" s="708">
        <v>20.100000000000001</v>
      </c>
      <c r="F402" s="708">
        <v>11.36875</v>
      </c>
      <c r="G402" s="708">
        <v>9.6168880000000012</v>
      </c>
    </row>
    <row r="403" spans="1:7">
      <c r="A403" s="1488"/>
      <c r="B403" s="895" t="s">
        <v>42</v>
      </c>
      <c r="C403" s="708">
        <v>11.7575</v>
      </c>
      <c r="D403" s="708">
        <v>9.9950212375000014</v>
      </c>
      <c r="E403" s="708">
        <v>20.324999999999999</v>
      </c>
      <c r="F403" s="708">
        <v>11.967499999999999</v>
      </c>
      <c r="G403" s="708">
        <v>9.4132540000000002</v>
      </c>
    </row>
    <row r="404" spans="1:7">
      <c r="A404" s="1488"/>
      <c r="B404" s="895" t="s">
        <v>43</v>
      </c>
      <c r="C404" s="708">
        <v>12.824000000000002</v>
      </c>
      <c r="D404" s="708">
        <v>8.2827432999999999</v>
      </c>
      <c r="E404" s="708">
        <v>20.78</v>
      </c>
      <c r="F404" s="708">
        <v>13.343</v>
      </c>
      <c r="G404" s="708">
        <v>9.2890624000000006</v>
      </c>
    </row>
    <row r="405" spans="1:7">
      <c r="A405" s="1488"/>
      <c r="B405" s="895" t="s">
        <v>44</v>
      </c>
      <c r="C405" s="708">
        <v>14.035</v>
      </c>
      <c r="D405" s="708">
        <v>9.6590378541666659</v>
      </c>
      <c r="E405" s="708">
        <v>21</v>
      </c>
      <c r="F405" s="708">
        <v>13.506225000000001</v>
      </c>
      <c r="G405" s="708">
        <v>9.3659070000000018</v>
      </c>
    </row>
    <row r="406" spans="1:7">
      <c r="A406" s="1488"/>
      <c r="B406" s="895" t="s">
        <v>45</v>
      </c>
      <c r="C406" s="708">
        <v>11.590416666666666</v>
      </c>
      <c r="D406" s="708">
        <v>10.391771441666666</v>
      </c>
      <c r="E406" s="708">
        <v>21</v>
      </c>
      <c r="F406" s="708">
        <v>12.079550000000001</v>
      </c>
      <c r="G406" s="708">
        <v>9.5678650000000012</v>
      </c>
    </row>
    <row r="407" spans="1:7">
      <c r="A407" s="1488"/>
      <c r="B407" s="895" t="s">
        <v>46</v>
      </c>
      <c r="C407" s="708">
        <v>10.662083333333335</v>
      </c>
      <c r="D407" s="708">
        <v>10.9370717375</v>
      </c>
      <c r="E407" s="708">
        <v>19.738</v>
      </c>
      <c r="F407" s="708">
        <v>12.092799999999999</v>
      </c>
      <c r="G407" s="708">
        <v>8.5911760000000008</v>
      </c>
    </row>
    <row r="408" spans="1:7">
      <c r="A408" s="1488"/>
      <c r="B408" s="895" t="s">
        <v>47</v>
      </c>
      <c r="C408" s="708">
        <v>10.691333333333336</v>
      </c>
      <c r="D408" s="708">
        <v>11.3141848</v>
      </c>
      <c r="E408" s="708">
        <v>20.119526400000002</v>
      </c>
      <c r="F408" s="708">
        <v>12.315520000000001</v>
      </c>
      <c r="G408" s="708">
        <v>7.4169704000000012</v>
      </c>
    </row>
    <row r="409" spans="1:7">
      <c r="A409" s="1488"/>
      <c r="B409" s="895" t="s">
        <v>48</v>
      </c>
      <c r="C409" s="708">
        <v>11.551458333333334</v>
      </c>
      <c r="D409" s="708">
        <v>11.409821575</v>
      </c>
      <c r="E409" s="708">
        <v>20.55</v>
      </c>
      <c r="F409" s="708">
        <v>12.597225</v>
      </c>
      <c r="G409" s="708">
        <v>7.4016350000000024</v>
      </c>
    </row>
    <row r="410" spans="1:7">
      <c r="A410" s="1488"/>
      <c r="B410" s="895" t="s">
        <v>49</v>
      </c>
      <c r="C410" s="708">
        <v>13.74</v>
      </c>
      <c r="D410" s="708">
        <v>11.467541799999999</v>
      </c>
      <c r="E410" s="708">
        <v>20.4924</v>
      </c>
      <c r="F410" s="708">
        <v>12.223780000000001</v>
      </c>
      <c r="G410" s="708">
        <v>7.2838960000000013</v>
      </c>
    </row>
    <row r="411" spans="1:7">
      <c r="A411" s="1488"/>
      <c r="B411" s="895" t="s">
        <v>50</v>
      </c>
      <c r="C411" s="708">
        <v>13.74</v>
      </c>
      <c r="D411" s="708">
        <v>8.8010121999999988</v>
      </c>
      <c r="E411" s="708">
        <v>20.240300000000001</v>
      </c>
      <c r="F411" s="708">
        <v>12.370050000000001</v>
      </c>
      <c r="G411" s="708">
        <v>7.6245430000000018</v>
      </c>
    </row>
    <row r="412" spans="1:7">
      <c r="A412" s="1488"/>
      <c r="B412" s="895" t="s">
        <v>51</v>
      </c>
      <c r="C412" s="708">
        <v>13.74</v>
      </c>
      <c r="D412" s="708">
        <v>7.4567496749999993</v>
      </c>
      <c r="E412" s="708">
        <v>20.3489</v>
      </c>
      <c r="F412" s="708">
        <v>12.762437500000001</v>
      </c>
      <c r="G412" s="708">
        <v>8.1218960000000013</v>
      </c>
    </row>
    <row r="413" spans="1:7">
      <c r="A413" s="1488"/>
      <c r="B413" s="895" t="s">
        <v>52</v>
      </c>
      <c r="C413" s="708">
        <v>13.866</v>
      </c>
      <c r="D413" s="708">
        <v>7.3747461666666663</v>
      </c>
      <c r="E413" s="708">
        <v>20.111599999999999</v>
      </c>
      <c r="F413" s="708">
        <v>12.84385</v>
      </c>
      <c r="G413" s="708">
        <v>8.5254768000000016</v>
      </c>
    </row>
    <row r="414" spans="1:7">
      <c r="A414" s="1488"/>
      <c r="B414" s="1146" t="s">
        <v>7</v>
      </c>
      <c r="C414" s="1147">
        <f>AVERAGE(C402:C413)</f>
        <v>12.468982638888889</v>
      </c>
      <c r="D414" s="1147">
        <f>AVERAGE(D402:D413)</f>
        <v>9.7008216895833321</v>
      </c>
      <c r="E414" s="1147">
        <f>AVERAGE(E402:E413)</f>
        <v>20.400477200000001</v>
      </c>
      <c r="F414" s="1147">
        <f>AVERAGE(F402:F413)</f>
        <v>12.455890625</v>
      </c>
      <c r="G414" s="1147">
        <f>AVERAGE(G402:G413)</f>
        <v>8.5182141333333359</v>
      </c>
    </row>
    <row r="415" spans="1:7">
      <c r="A415" s="1488"/>
      <c r="B415" s="548"/>
      <c r="C415" s="548"/>
      <c r="D415" s="548"/>
      <c r="E415" s="548"/>
      <c r="F415" s="548"/>
      <c r="G415" s="548"/>
    </row>
    <row r="416" spans="1:7">
      <c r="A416" s="1488"/>
      <c r="B416" s="1702" t="s">
        <v>114</v>
      </c>
      <c r="C416" s="1143" t="s">
        <v>57</v>
      </c>
      <c r="D416" s="1143" t="s">
        <v>58</v>
      </c>
      <c r="E416" s="1143" t="s">
        <v>59</v>
      </c>
      <c r="F416" s="1143" t="s">
        <v>60</v>
      </c>
      <c r="G416" s="1148" t="s">
        <v>61</v>
      </c>
    </row>
    <row r="417" spans="1:7">
      <c r="A417" s="1488"/>
      <c r="B417" s="1702"/>
      <c r="C417" s="1143" t="s">
        <v>62</v>
      </c>
      <c r="D417" s="1143" t="s">
        <v>62</v>
      </c>
      <c r="E417" s="1143" t="s">
        <v>62</v>
      </c>
      <c r="F417" s="1143" t="s">
        <v>62</v>
      </c>
      <c r="G417" s="1143" t="s">
        <v>62</v>
      </c>
    </row>
    <row r="418" spans="1:7">
      <c r="A418" s="1488"/>
      <c r="B418" s="1140" t="s">
        <v>41</v>
      </c>
      <c r="C418" s="708">
        <v>11.056000000000001</v>
      </c>
      <c r="D418" s="708">
        <v>6.8116200666666673</v>
      </c>
      <c r="E418" s="708">
        <v>18.024999999999999</v>
      </c>
      <c r="F418" s="708">
        <v>8.7827999999999999</v>
      </c>
      <c r="G418" s="708">
        <v>6.585</v>
      </c>
    </row>
    <row r="419" spans="1:7">
      <c r="A419" s="1488"/>
      <c r="B419" s="895" t="s">
        <v>42</v>
      </c>
      <c r="C419" s="708">
        <v>10.7575</v>
      </c>
      <c r="D419" s="708">
        <v>6.5055148333333328</v>
      </c>
      <c r="E419" s="708">
        <v>18.25</v>
      </c>
      <c r="F419" s="708">
        <v>8.8185500000000001</v>
      </c>
      <c r="G419" s="708">
        <v>6.585</v>
      </c>
    </row>
    <row r="420" spans="1:7">
      <c r="A420" s="1488"/>
      <c r="B420" s="895" t="s">
        <v>43</v>
      </c>
      <c r="C420" s="708">
        <v>10.74</v>
      </c>
      <c r="D420" s="708">
        <v>7.0096699999999998</v>
      </c>
      <c r="E420" s="708">
        <v>18.625</v>
      </c>
      <c r="F420" s="708">
        <v>8.874508333333333</v>
      </c>
      <c r="G420" s="708">
        <v>6.257365000000001</v>
      </c>
    </row>
    <row r="421" spans="1:7">
      <c r="A421" s="1488"/>
      <c r="B421" s="895" t="s">
        <v>44</v>
      </c>
      <c r="C421" s="708">
        <v>10.883999999999999</v>
      </c>
      <c r="D421" s="708">
        <v>7.9595163499999995</v>
      </c>
      <c r="E421" s="708">
        <v>19.535</v>
      </c>
      <c r="F421" s="708">
        <v>9.1277000000000008</v>
      </c>
      <c r="G421" s="708">
        <v>7.0232663999999998</v>
      </c>
    </row>
    <row r="422" spans="1:7">
      <c r="A422" s="1488"/>
      <c r="B422" s="895" t="s">
        <v>45</v>
      </c>
      <c r="C422" s="708">
        <v>10.9475</v>
      </c>
      <c r="D422" s="708">
        <v>10.02349675</v>
      </c>
      <c r="E422" s="708">
        <v>19.306249999999999</v>
      </c>
      <c r="F422" s="708">
        <v>9.181025</v>
      </c>
      <c r="G422" s="708">
        <v>7.0149999999999997</v>
      </c>
    </row>
    <row r="423" spans="1:7">
      <c r="A423" s="1488"/>
      <c r="B423" s="895" t="s">
        <v>46</v>
      </c>
      <c r="C423" s="708">
        <v>10.945</v>
      </c>
      <c r="D423" s="708">
        <v>10.02349675</v>
      </c>
      <c r="E423" s="708">
        <v>19.04</v>
      </c>
      <c r="F423" s="708">
        <v>9.2130166666666682</v>
      </c>
      <c r="G423" s="708">
        <v>9.2130166666666682</v>
      </c>
    </row>
    <row r="424" spans="1:7">
      <c r="A424" s="1488"/>
      <c r="B424" s="895" t="s">
        <v>47</v>
      </c>
      <c r="C424" s="708">
        <v>10.904</v>
      </c>
      <c r="D424" s="708">
        <v>8.0434166625000003</v>
      </c>
      <c r="E424" s="708">
        <v>19.63</v>
      </c>
      <c r="F424" s="708">
        <v>9.3656500000000005</v>
      </c>
      <c r="G424" s="708">
        <v>6.5900320000000008</v>
      </c>
    </row>
    <row r="425" spans="1:7">
      <c r="A425" s="1488"/>
      <c r="B425" s="895" t="s">
        <v>48</v>
      </c>
      <c r="C425" s="708">
        <v>11.1525</v>
      </c>
      <c r="D425" s="708">
        <v>8.2088196625000016</v>
      </c>
      <c r="E425" s="708">
        <v>19.5</v>
      </c>
      <c r="F425" s="708">
        <v>9.6044</v>
      </c>
      <c r="G425" s="708">
        <v>6.6679660000000007</v>
      </c>
    </row>
    <row r="426" spans="1:7">
      <c r="A426" s="1488"/>
      <c r="B426" s="895" t="s">
        <v>49</v>
      </c>
      <c r="C426" s="708">
        <v>10.988</v>
      </c>
      <c r="D426" s="708">
        <v>8.5185803999999994</v>
      </c>
      <c r="E426" s="708">
        <v>19.5</v>
      </c>
      <c r="F426" s="708">
        <v>9.913313333333333</v>
      </c>
      <c r="G426" s="708">
        <v>7.511832000000001</v>
      </c>
    </row>
    <row r="427" spans="1:7">
      <c r="A427" s="1488"/>
      <c r="B427" s="895" t="s">
        <v>50</v>
      </c>
      <c r="C427" s="708">
        <v>11.055</v>
      </c>
      <c r="D427" s="708">
        <v>8.6463357375000012</v>
      </c>
      <c r="E427" s="708">
        <v>19.7</v>
      </c>
      <c r="F427" s="708">
        <v>10.80625</v>
      </c>
      <c r="G427" s="708">
        <v>9.0512380000000014</v>
      </c>
    </row>
    <row r="428" spans="1:7">
      <c r="A428" s="1488"/>
      <c r="B428" s="895" t="s">
        <v>51</v>
      </c>
      <c r="C428" s="708">
        <v>11.45</v>
      </c>
      <c r="D428" s="708">
        <v>7.7538014541666671</v>
      </c>
      <c r="E428" s="708">
        <v>19.524999999999999</v>
      </c>
      <c r="F428" s="708">
        <v>10.69375</v>
      </c>
      <c r="G428" s="708">
        <v>9.2146480000000022</v>
      </c>
    </row>
    <row r="429" spans="1:7">
      <c r="A429" s="1488"/>
      <c r="B429" s="895" t="s">
        <v>52</v>
      </c>
      <c r="C429" s="708">
        <v>11.436</v>
      </c>
      <c r="D429" s="708">
        <v>7.8259563733333319</v>
      </c>
      <c r="E429" s="708">
        <v>19.739999999999998</v>
      </c>
      <c r="F429" s="708">
        <v>11.064</v>
      </c>
      <c r="G429" s="708">
        <v>9.2005695999999997</v>
      </c>
    </row>
    <row r="430" spans="1:7">
      <c r="A430" s="1488"/>
      <c r="B430" s="1146" t="s">
        <v>7</v>
      </c>
      <c r="C430" s="1147">
        <f>AVERAGE(C418:C429)</f>
        <v>11.026291666666665</v>
      </c>
      <c r="D430" s="1147">
        <f>AVERAGE(D418:D429)</f>
        <v>8.1108520866666662</v>
      </c>
      <c r="E430" s="1147">
        <f>AVERAGE(E418:E429)</f>
        <v>19.198020833333334</v>
      </c>
      <c r="F430" s="1147">
        <f>AVERAGE(F418:F429)</f>
        <v>9.6204136111111112</v>
      </c>
      <c r="G430" s="1147">
        <f>AVERAGE(G418:G429)</f>
        <v>7.5762444722222213</v>
      </c>
    </row>
    <row r="431" spans="1:7">
      <c r="A431" s="1488"/>
      <c r="B431" s="1146"/>
      <c r="C431" s="1147"/>
      <c r="D431" s="1147"/>
      <c r="E431" s="1147"/>
      <c r="F431" s="1147"/>
      <c r="G431" s="1147"/>
    </row>
    <row r="432" spans="1:7">
      <c r="A432" s="1488"/>
    </row>
    <row r="433" spans="1:1">
      <c r="A433" s="1488"/>
    </row>
    <row r="434" spans="1:1">
      <c r="A434" s="1488"/>
    </row>
    <row r="435" spans="1:1">
      <c r="A435" s="1488"/>
    </row>
    <row r="436" spans="1:1">
      <c r="A436" s="1488"/>
    </row>
    <row r="437" spans="1:1">
      <c r="A437" s="1488"/>
    </row>
    <row r="438" spans="1:1">
      <c r="A438" s="1488"/>
    </row>
    <row r="439" spans="1:1">
      <c r="A439" s="1488"/>
    </row>
    <row r="440" spans="1:1">
      <c r="A440" s="1488"/>
    </row>
    <row r="441" spans="1:1">
      <c r="A441" s="1488"/>
    </row>
    <row r="442" spans="1:1">
      <c r="A442" s="1488"/>
    </row>
    <row r="443" spans="1:1">
      <c r="A443" s="1488"/>
    </row>
    <row r="444" spans="1:1">
      <c r="A444" s="1488"/>
    </row>
    <row r="445" spans="1:1">
      <c r="A445" s="1488"/>
    </row>
    <row r="446" spans="1:1">
      <c r="A446" s="1488"/>
    </row>
    <row r="447" spans="1:1">
      <c r="A447" s="1488"/>
    </row>
    <row r="448" spans="1:1">
      <c r="A448" s="1488"/>
    </row>
    <row r="449" spans="1:1">
      <c r="A449" s="1488"/>
    </row>
    <row r="450" spans="1:1">
      <c r="A450" s="1488"/>
    </row>
    <row r="451" spans="1:1">
      <c r="A451" s="1488"/>
    </row>
    <row r="452" spans="1:1">
      <c r="A452" s="1488"/>
    </row>
    <row r="453" spans="1:1">
      <c r="A453" s="1488"/>
    </row>
    <row r="454" spans="1:1">
      <c r="A454" s="1488"/>
    </row>
    <row r="455" spans="1:1">
      <c r="A455" s="1488"/>
    </row>
    <row r="456" spans="1:1">
      <c r="A456" s="1488"/>
    </row>
    <row r="457" spans="1:1">
      <c r="A457" s="1488"/>
    </row>
    <row r="458" spans="1:1">
      <c r="A458" s="1488"/>
    </row>
    <row r="459" spans="1:1">
      <c r="A459" s="1488"/>
    </row>
    <row r="460" spans="1:1">
      <c r="A460" s="1488"/>
    </row>
    <row r="461" spans="1:1">
      <c r="A461" s="1488"/>
    </row>
    <row r="462" spans="1:1">
      <c r="A462" s="1488"/>
    </row>
    <row r="463" spans="1:1">
      <c r="A463" s="1488"/>
    </row>
    <row r="464" spans="1:1">
      <c r="A464" s="1488"/>
    </row>
    <row r="465" spans="1:1">
      <c r="A465" s="1488"/>
    </row>
    <row r="466" spans="1:1">
      <c r="A466" s="1488"/>
    </row>
    <row r="467" spans="1:1">
      <c r="A467" s="1488"/>
    </row>
  </sheetData>
  <mergeCells count="35">
    <mergeCell ref="B5:G5"/>
    <mergeCell ref="B6:G6"/>
    <mergeCell ref="B7:B8"/>
    <mergeCell ref="B53:G53"/>
    <mergeCell ref="B54:G54"/>
    <mergeCell ref="B29:G29"/>
    <mergeCell ref="B30:G30"/>
    <mergeCell ref="B31:B32"/>
    <mergeCell ref="B55:B56"/>
    <mergeCell ref="B77:G77"/>
    <mergeCell ref="B78:G78"/>
    <mergeCell ref="B79:B80"/>
    <mergeCell ref="B255:B256"/>
    <mergeCell ref="B163:B164"/>
    <mergeCell ref="B200:B201"/>
    <mergeCell ref="B101:G101"/>
    <mergeCell ref="B102:G102"/>
    <mergeCell ref="B103:B104"/>
    <mergeCell ref="B145:B146"/>
    <mergeCell ref="B125:G125"/>
    <mergeCell ref="B126:G126"/>
    <mergeCell ref="B127:B128"/>
    <mergeCell ref="B400:B401"/>
    <mergeCell ref="B416:B417"/>
    <mergeCell ref="B352:B353"/>
    <mergeCell ref="B336:B337"/>
    <mergeCell ref="B384:B385"/>
    <mergeCell ref="B368:B369"/>
    <mergeCell ref="B320:B321"/>
    <mergeCell ref="B273:B274"/>
    <mergeCell ref="B304:B305"/>
    <mergeCell ref="B288:B289"/>
    <mergeCell ref="B182:B183"/>
    <mergeCell ref="B237:B238"/>
    <mergeCell ref="B218:B219"/>
  </mergeCells>
  <phoneticPr fontId="5" type="noConversion"/>
  <printOptions horizontalCentered="1"/>
  <pageMargins left="0.78740157480314965" right="0" top="0.59055118110236227" bottom="0" header="0" footer="0"/>
  <pageSetup paperSize="9" scale="130" fitToHeight="2" orientation="landscape" r:id="rId1"/>
  <headerFooter alignWithMargins="0"/>
  <rowBreaks count="22" manualBreakCount="22">
    <brk id="24" min="1" max="6" man="1"/>
    <brk id="48" min="1" max="6" man="1"/>
    <brk id="72" min="1" max="6" man="1"/>
    <brk id="96" max="16383" man="1"/>
    <brk id="120" max="16383" man="1"/>
    <brk id="144" max="16383" man="1"/>
    <brk id="162" max="16383" man="1"/>
    <brk id="180" max="16383" man="1"/>
    <brk id="199" max="16383" man="1"/>
    <brk id="217" max="16383" man="1"/>
    <brk id="235" max="16383" man="1"/>
    <brk id="254" max="16383" man="1"/>
    <brk id="272" min="1" max="6" man="1"/>
    <brk id="287" min="1" max="6" man="1"/>
    <brk id="303" min="1" max="6" man="1"/>
    <brk id="318" min="1" max="6" man="1"/>
    <brk id="335" min="1" max="6" man="1"/>
    <brk id="350" min="1" max="6" man="1"/>
    <brk id="366" min="1" max="6" man="1"/>
    <brk id="382" min="1" max="6" man="1"/>
    <brk id="398" min="1" max="6" man="1"/>
    <brk id="414" min="1" max="6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9C70B-E447-439F-868B-5B14662D1CBF}">
  <dimension ref="A1:O109"/>
  <sheetViews>
    <sheetView view="pageBreakPreview" topLeftCell="A21" zoomScale="175" zoomScaleNormal="75" zoomScaleSheetLayoutView="175" workbookViewId="0">
      <selection activeCell="F38" sqref="F38"/>
    </sheetView>
  </sheetViews>
  <sheetFormatPr baseColWidth="10" defaultColWidth="11.42578125" defaultRowHeight="12.75"/>
  <cols>
    <col min="1" max="1" width="16.28515625" customWidth="1"/>
    <col min="2" max="2" width="11.7109375" customWidth="1"/>
    <col min="4" max="4" width="11.28515625" customWidth="1"/>
    <col min="6" max="6" width="12.140625" customWidth="1"/>
    <col min="10" max="10" width="4" customWidth="1"/>
    <col min="12" max="13" width="12.5703125" bestFit="1" customWidth="1"/>
  </cols>
  <sheetData>
    <row r="1" spans="1:11" ht="20.25">
      <c r="A1" s="1575" t="s">
        <v>495</v>
      </c>
      <c r="B1" s="1576"/>
      <c r="C1" s="1576" t="s">
        <v>495</v>
      </c>
      <c r="D1" s="1576"/>
      <c r="E1" s="1576"/>
      <c r="F1" s="1576"/>
      <c r="G1" s="1576"/>
      <c r="H1" s="1576"/>
      <c r="I1" s="1577"/>
      <c r="J1" s="63"/>
    </row>
    <row r="2" spans="1:11" ht="20.25" customHeight="1">
      <c r="A2" s="1581" t="s">
        <v>569</v>
      </c>
      <c r="B2" s="1582"/>
      <c r="C2" s="1582"/>
      <c r="D2" s="1582"/>
      <c r="E2" s="1582"/>
      <c r="F2" s="1582"/>
      <c r="G2" s="1582"/>
      <c r="H2" s="1582"/>
      <c r="I2" s="1583"/>
      <c r="J2" s="63"/>
    </row>
    <row r="3" spans="1:11">
      <c r="A3" s="1549"/>
      <c r="B3" s="1550"/>
      <c r="C3" s="1550"/>
      <c r="D3" s="1550"/>
      <c r="E3" s="1550"/>
      <c r="F3" s="1550"/>
      <c r="G3" s="1550"/>
      <c r="H3" s="1550"/>
      <c r="I3" s="1551"/>
      <c r="J3" s="63"/>
    </row>
    <row r="4" spans="1:11">
      <c r="A4" s="1549" t="s">
        <v>22</v>
      </c>
      <c r="B4" s="1550"/>
      <c r="C4" s="1550"/>
      <c r="D4" s="1550"/>
      <c r="E4" s="1550"/>
      <c r="F4" s="1550"/>
      <c r="G4" s="1550"/>
      <c r="H4" s="1550"/>
      <c r="I4" s="1551"/>
      <c r="J4" s="63"/>
    </row>
    <row r="5" spans="1:11">
      <c r="A5" s="1549" t="s">
        <v>23</v>
      </c>
      <c r="B5" s="1550"/>
      <c r="C5" s="1550"/>
      <c r="D5" s="1550"/>
      <c r="E5" s="1550"/>
      <c r="F5" s="1550"/>
      <c r="G5" s="1550"/>
      <c r="H5" s="1550"/>
      <c r="I5" s="1551"/>
      <c r="J5" s="63"/>
    </row>
    <row r="6" spans="1:11" ht="18.75" customHeight="1" thickBot="1">
      <c r="A6" s="1578" t="s">
        <v>0</v>
      </c>
      <c r="B6" s="1579"/>
      <c r="C6" s="1579"/>
      <c r="D6" s="1579"/>
      <c r="E6" s="1579"/>
      <c r="F6" s="1579"/>
      <c r="G6" s="1579"/>
      <c r="H6" s="1579"/>
      <c r="I6" s="1580"/>
      <c r="J6" s="63"/>
    </row>
    <row r="7" spans="1:11" ht="24.75" customHeight="1" thickBot="1">
      <c r="A7" s="1199" t="s">
        <v>1</v>
      </c>
      <c r="B7" s="1561" t="s">
        <v>2</v>
      </c>
      <c r="C7" s="1562"/>
      <c r="D7" s="1562"/>
      <c r="E7" s="1563"/>
      <c r="F7" s="1564" t="s">
        <v>3</v>
      </c>
      <c r="G7" s="1565"/>
      <c r="H7" s="1565"/>
      <c r="I7" s="1566"/>
      <c r="J7" s="63"/>
    </row>
    <row r="8" spans="1:11" ht="21" customHeight="1" thickBot="1">
      <c r="A8" s="1200" t="s">
        <v>21</v>
      </c>
      <c r="B8" s="1201" t="s">
        <v>532</v>
      </c>
      <c r="C8" s="1201" t="s">
        <v>4</v>
      </c>
      <c r="D8" s="1202" t="s">
        <v>5</v>
      </c>
      <c r="E8" s="1203" t="s">
        <v>6</v>
      </c>
      <c r="F8" s="1204" t="s">
        <v>532</v>
      </c>
      <c r="G8" s="1204" t="s">
        <v>4</v>
      </c>
      <c r="H8" s="1205" t="s">
        <v>5</v>
      </c>
      <c r="I8" s="1206" t="s">
        <v>6</v>
      </c>
      <c r="J8" s="63"/>
    </row>
    <row r="9" spans="1:11">
      <c r="A9" s="1110">
        <v>44564</v>
      </c>
      <c r="B9" s="1107">
        <v>30.29</v>
      </c>
      <c r="C9" s="1108">
        <v>29.8</v>
      </c>
      <c r="D9" s="1108">
        <v>29</v>
      </c>
      <c r="E9" s="1109">
        <v>25.58</v>
      </c>
      <c r="F9" s="1111">
        <v>29.39</v>
      </c>
      <c r="G9" s="1112">
        <v>28.79</v>
      </c>
      <c r="H9" s="1112">
        <v>27.99</v>
      </c>
      <c r="I9" s="1113">
        <v>24.6</v>
      </c>
      <c r="J9" s="79"/>
    </row>
    <row r="10" spans="1:11">
      <c r="A10" s="1215">
        <v>44571</v>
      </c>
      <c r="B10" s="1211">
        <v>31.28</v>
      </c>
      <c r="C10" s="1209">
        <v>30.72</v>
      </c>
      <c r="D10" s="1209">
        <v>29.91</v>
      </c>
      <c r="E10" s="1210">
        <v>26.55</v>
      </c>
      <c r="F10" s="1208">
        <v>30.31</v>
      </c>
      <c r="G10" s="1209">
        <v>29.65</v>
      </c>
      <c r="H10" s="1209">
        <v>28.85</v>
      </c>
      <c r="I10" s="1210">
        <v>25.46</v>
      </c>
      <c r="J10" s="79"/>
    </row>
    <row r="11" spans="1:11">
      <c r="A11" s="1110">
        <v>44578</v>
      </c>
      <c r="B11" s="1107">
        <v>32.22</v>
      </c>
      <c r="C11" s="1108">
        <v>31.52</v>
      </c>
      <c r="D11" s="1108">
        <v>30.7</v>
      </c>
      <c r="E11" s="1109">
        <v>27.51</v>
      </c>
      <c r="F11" s="1114">
        <v>31.09</v>
      </c>
      <c r="G11" s="1108">
        <v>30.49</v>
      </c>
      <c r="H11" s="1108">
        <v>29.69</v>
      </c>
      <c r="I11" s="1109">
        <v>26.49</v>
      </c>
      <c r="J11" s="79"/>
    </row>
    <row r="12" spans="1:11">
      <c r="A12" s="1215">
        <v>44585</v>
      </c>
      <c r="B12" s="1211">
        <v>33.229999999999997</v>
      </c>
      <c r="C12" s="1209">
        <v>32.51</v>
      </c>
      <c r="D12" s="1209">
        <v>31.69</v>
      </c>
      <c r="E12" s="1210">
        <v>28.47</v>
      </c>
      <c r="F12" s="1208">
        <v>32.07</v>
      </c>
      <c r="G12" s="1209">
        <v>31.49</v>
      </c>
      <c r="H12" s="1209">
        <v>30.69</v>
      </c>
      <c r="I12" s="1210">
        <v>27.49</v>
      </c>
      <c r="J12" s="79"/>
    </row>
    <row r="13" spans="1:11" ht="13.5" thickBot="1">
      <c r="A13" s="1110">
        <v>44592</v>
      </c>
      <c r="B13" s="1107">
        <v>33.22</v>
      </c>
      <c r="C13" s="1108">
        <v>32.520000000000003</v>
      </c>
      <c r="D13" s="1108">
        <v>31.7</v>
      </c>
      <c r="E13" s="1109">
        <v>28.96</v>
      </c>
      <c r="F13" s="1107">
        <v>32.1</v>
      </c>
      <c r="G13" s="1108">
        <v>31.5</v>
      </c>
      <c r="H13" s="1108">
        <v>30.69</v>
      </c>
      <c r="I13" s="1109">
        <v>27.98</v>
      </c>
      <c r="J13" s="79"/>
    </row>
    <row r="14" spans="1:11" ht="13.5" thickBot="1">
      <c r="A14" s="1212" t="s">
        <v>7</v>
      </c>
      <c r="B14" s="1213">
        <f t="shared" ref="B14:I14" si="0">AVERAGE(B9:B13)</f>
        <v>32.047999999999995</v>
      </c>
      <c r="C14" s="1213">
        <f t="shared" si="0"/>
        <v>31.413999999999998</v>
      </c>
      <c r="D14" s="1213">
        <f t="shared" si="0"/>
        <v>30.6</v>
      </c>
      <c r="E14" s="1213">
        <f t="shared" si="0"/>
        <v>27.413999999999998</v>
      </c>
      <c r="F14" s="1213">
        <f t="shared" si="0"/>
        <v>30.992000000000001</v>
      </c>
      <c r="G14" s="1213">
        <f t="shared" si="0"/>
        <v>30.383999999999997</v>
      </c>
      <c r="H14" s="1213">
        <f t="shared" si="0"/>
        <v>29.582000000000001</v>
      </c>
      <c r="I14" s="1214">
        <f t="shared" si="0"/>
        <v>26.403999999999996</v>
      </c>
      <c r="J14" s="79"/>
      <c r="K14" s="767" t="s">
        <v>148</v>
      </c>
    </row>
    <row r="15" spans="1:11">
      <c r="A15" s="566">
        <v>44599</v>
      </c>
      <c r="B15" s="1032">
        <v>33.880000000000003</v>
      </c>
      <c r="C15" s="1033">
        <v>33.130000000000003</v>
      </c>
      <c r="D15" s="1033">
        <v>32.33</v>
      </c>
      <c r="E15" s="1034">
        <v>29.52</v>
      </c>
      <c r="F15" s="1036">
        <v>32.79</v>
      </c>
      <c r="G15" s="1036">
        <v>32.19</v>
      </c>
      <c r="H15" s="1035">
        <v>31.39</v>
      </c>
      <c r="I15" s="1037">
        <v>28.58</v>
      </c>
      <c r="J15" s="79"/>
    </row>
    <row r="16" spans="1:11">
      <c r="A16" s="1207">
        <v>44606</v>
      </c>
      <c r="B16" s="1208">
        <v>33.69</v>
      </c>
      <c r="C16" s="1209">
        <v>32.909999999999997</v>
      </c>
      <c r="D16" s="1209">
        <v>32.090000000000003</v>
      </c>
      <c r="E16" s="1210">
        <v>29.33</v>
      </c>
      <c r="F16" s="1211">
        <v>32.89</v>
      </c>
      <c r="G16" s="1209">
        <v>32.22</v>
      </c>
      <c r="H16" s="1209">
        <v>31.42</v>
      </c>
      <c r="I16" s="1210">
        <v>28.61</v>
      </c>
      <c r="J16" s="79"/>
    </row>
    <row r="17" spans="1:15">
      <c r="A17" s="10">
        <v>44613</v>
      </c>
      <c r="B17" s="1038">
        <v>35.130000000000003</v>
      </c>
      <c r="C17" s="1039">
        <v>34.47</v>
      </c>
      <c r="D17" s="1039">
        <v>33.659999999999997</v>
      </c>
      <c r="E17" s="1037">
        <v>30.86</v>
      </c>
      <c r="F17" s="702">
        <v>33.99</v>
      </c>
      <c r="G17" s="1039">
        <v>33.5</v>
      </c>
      <c r="H17" s="1039">
        <v>32.700000000000003</v>
      </c>
      <c r="I17" s="1037">
        <v>29.88</v>
      </c>
      <c r="J17" s="79"/>
    </row>
    <row r="18" spans="1:15" ht="13.5" thickBot="1">
      <c r="A18" s="1207">
        <v>44620</v>
      </c>
      <c r="B18" s="1208">
        <v>35.51</v>
      </c>
      <c r="C18" s="1209">
        <v>34.86</v>
      </c>
      <c r="D18" s="1209">
        <v>34.229999999999997</v>
      </c>
      <c r="E18" s="1210">
        <v>31.07</v>
      </c>
      <c r="F18" s="1211">
        <v>34.43</v>
      </c>
      <c r="G18" s="1209">
        <v>33.880000000000003</v>
      </c>
      <c r="H18" s="1209">
        <v>33.29</v>
      </c>
      <c r="I18" s="1210">
        <v>30.09</v>
      </c>
      <c r="J18" s="79"/>
    </row>
    <row r="19" spans="1:15" ht="13.5" thickBot="1">
      <c r="A19" s="1250" t="s">
        <v>7</v>
      </c>
      <c r="B19" s="1251">
        <f>AVERAGE(B15:B18)</f>
        <v>34.552499999999995</v>
      </c>
      <c r="C19" s="1251">
        <f t="shared" ref="C19:I19" si="1">AVERAGE(C15:C18)</f>
        <v>33.842500000000001</v>
      </c>
      <c r="D19" s="1251">
        <f t="shared" si="1"/>
        <v>33.077500000000001</v>
      </c>
      <c r="E19" s="1251">
        <f t="shared" si="1"/>
        <v>30.195</v>
      </c>
      <c r="F19" s="1251">
        <f t="shared" si="1"/>
        <v>33.525000000000006</v>
      </c>
      <c r="G19" s="1251">
        <f t="shared" si="1"/>
        <v>32.947499999999998</v>
      </c>
      <c r="H19" s="1251">
        <f t="shared" si="1"/>
        <v>32.200000000000003</v>
      </c>
      <c r="I19" s="1252">
        <f t="shared" si="1"/>
        <v>29.29</v>
      </c>
      <c r="J19" s="79"/>
    </row>
    <row r="20" spans="1:15">
      <c r="A20" s="1255">
        <v>44627</v>
      </c>
      <c r="B20" s="1032">
        <v>39.380000000000003</v>
      </c>
      <c r="C20" s="1033">
        <v>38.85</v>
      </c>
      <c r="D20" s="1033">
        <v>38.24</v>
      </c>
      <c r="E20" s="1034">
        <v>36.93</v>
      </c>
      <c r="F20" s="1256">
        <v>38.47</v>
      </c>
      <c r="G20" s="1256">
        <v>37.979999999999997</v>
      </c>
      <c r="H20" s="1033">
        <v>37.39</v>
      </c>
      <c r="I20" s="1257">
        <v>36.090000000000003</v>
      </c>
      <c r="J20" s="79"/>
    </row>
    <row r="21" spans="1:15">
      <c r="A21" s="1258">
        <v>44630</v>
      </c>
      <c r="B21" s="1208">
        <v>39.46</v>
      </c>
      <c r="C21" s="1209">
        <v>38.9</v>
      </c>
      <c r="D21" s="1209">
        <v>38.29</v>
      </c>
      <c r="E21" s="1210">
        <v>36.590000000000003</v>
      </c>
      <c r="F21" s="1211">
        <v>38.49</v>
      </c>
      <c r="G21" s="1209">
        <v>38</v>
      </c>
      <c r="H21" s="1209">
        <v>37.39</v>
      </c>
      <c r="I21" s="1210">
        <v>35.700000000000003</v>
      </c>
      <c r="J21" s="79"/>
    </row>
    <row r="22" spans="1:15">
      <c r="A22" s="764">
        <v>44643</v>
      </c>
      <c r="B22" s="1263">
        <v>39.43</v>
      </c>
      <c r="C22" s="1035">
        <v>38.92</v>
      </c>
      <c r="D22" s="1035">
        <v>38.31</v>
      </c>
      <c r="E22" s="1264">
        <v>36.409999999999997</v>
      </c>
      <c r="F22" s="1036">
        <v>38.49</v>
      </c>
      <c r="G22" s="1036">
        <v>38.090000000000003</v>
      </c>
      <c r="H22" s="1035">
        <v>37.47</v>
      </c>
      <c r="I22" s="1037">
        <v>35.659999999999997</v>
      </c>
      <c r="J22" s="79"/>
    </row>
    <row r="23" spans="1:15" ht="13.5" thickBot="1">
      <c r="A23" s="1259">
        <v>44650</v>
      </c>
      <c r="B23" s="1265">
        <v>41.03</v>
      </c>
      <c r="C23" s="1261">
        <v>39.799999999999997</v>
      </c>
      <c r="D23" s="1261">
        <v>39.200000000000003</v>
      </c>
      <c r="E23" s="1262">
        <v>38.28</v>
      </c>
      <c r="F23" s="1260">
        <v>39.380000000000003</v>
      </c>
      <c r="G23" s="1261">
        <v>38.909999999999997</v>
      </c>
      <c r="H23" s="1261">
        <v>38.31</v>
      </c>
      <c r="I23" s="1262">
        <v>37.39</v>
      </c>
      <c r="J23" s="79"/>
    </row>
    <row r="24" spans="1:15" ht="13.5" thickBot="1">
      <c r="A24" s="1253" t="s">
        <v>7</v>
      </c>
      <c r="B24" s="1223">
        <f t="shared" ref="B24:I24" si="2">AVERAGE(B20:B23)</f>
        <v>39.825000000000003</v>
      </c>
      <c r="C24" s="1223">
        <f t="shared" si="2"/>
        <v>39.1175</v>
      </c>
      <c r="D24" s="1223">
        <f t="shared" si="2"/>
        <v>38.510000000000005</v>
      </c>
      <c r="E24" s="1223">
        <f t="shared" si="2"/>
        <v>37.052500000000002</v>
      </c>
      <c r="F24" s="1223">
        <f t="shared" si="2"/>
        <v>38.707500000000003</v>
      </c>
      <c r="G24" s="1223">
        <f t="shared" si="2"/>
        <v>38.244999999999997</v>
      </c>
      <c r="H24" s="1223">
        <f t="shared" si="2"/>
        <v>37.64</v>
      </c>
      <c r="I24" s="1254">
        <f t="shared" si="2"/>
        <v>36.21</v>
      </c>
      <c r="J24" s="79"/>
    </row>
    <row r="25" spans="1:15">
      <c r="A25" s="1255">
        <v>44657</v>
      </c>
      <c r="B25" s="1032">
        <v>39.4</v>
      </c>
      <c r="C25" s="1033">
        <v>38.97</v>
      </c>
      <c r="D25" s="1033">
        <v>36.06</v>
      </c>
      <c r="E25" s="1034">
        <v>33.270000000000003</v>
      </c>
      <c r="F25" s="1256">
        <v>38.28</v>
      </c>
      <c r="G25" s="1256">
        <v>37.979999999999997</v>
      </c>
      <c r="H25" s="1033">
        <v>35.090000000000003</v>
      </c>
      <c r="I25" s="1257">
        <v>32.25</v>
      </c>
      <c r="J25" s="79"/>
    </row>
    <row r="26" spans="1:15">
      <c r="A26" s="1258">
        <v>44663</v>
      </c>
      <c r="B26" s="1208">
        <v>38.880000000000003</v>
      </c>
      <c r="C26" s="1209">
        <v>38.4</v>
      </c>
      <c r="D26" s="1209">
        <v>35.28</v>
      </c>
      <c r="E26" s="1210">
        <v>33.020000000000003</v>
      </c>
      <c r="F26" s="1211">
        <v>37.79</v>
      </c>
      <c r="G26" s="1209">
        <v>37.369999999999997</v>
      </c>
      <c r="H26" s="1209">
        <v>34.229999999999997</v>
      </c>
      <c r="I26" s="1210">
        <v>32.08</v>
      </c>
      <c r="J26" s="79"/>
    </row>
    <row r="27" spans="1:15">
      <c r="A27" s="764">
        <v>44670</v>
      </c>
      <c r="B27" s="1263">
        <v>39.28</v>
      </c>
      <c r="C27" s="1035">
        <v>38.61</v>
      </c>
      <c r="D27" s="1035">
        <v>35.56</v>
      </c>
      <c r="E27" s="1264">
        <v>33.51</v>
      </c>
      <c r="F27" s="1036">
        <v>38.25</v>
      </c>
      <c r="G27" s="1036">
        <v>37.659999999999997</v>
      </c>
      <c r="H27" s="1035">
        <v>34.65</v>
      </c>
      <c r="I27" s="1037">
        <v>32.65</v>
      </c>
      <c r="J27" s="79"/>
    </row>
    <row r="28" spans="1:15" ht="13.5" thickBot="1">
      <c r="A28" s="1259">
        <v>44677</v>
      </c>
      <c r="B28" s="1265">
        <v>39.93</v>
      </c>
      <c r="C28" s="1261">
        <v>39.33</v>
      </c>
      <c r="D28" s="1261">
        <v>36.29</v>
      </c>
      <c r="E28" s="1262">
        <v>35.81</v>
      </c>
      <c r="F28" s="1260">
        <v>38.97</v>
      </c>
      <c r="G28" s="1261">
        <v>38.42</v>
      </c>
      <c r="H28" s="1261">
        <v>35.380000000000003</v>
      </c>
      <c r="I28" s="1262">
        <v>34.81</v>
      </c>
      <c r="J28" s="79"/>
    </row>
    <row r="29" spans="1:15" ht="13.5" thickBot="1">
      <c r="A29" s="1253" t="s">
        <v>7</v>
      </c>
      <c r="B29" s="1223">
        <f t="shared" ref="B29:I29" si="3">AVERAGE(B25:B28)</f>
        <v>39.372500000000002</v>
      </c>
      <c r="C29" s="1223">
        <f t="shared" si="3"/>
        <v>38.827500000000001</v>
      </c>
      <c r="D29" s="1223">
        <f t="shared" si="3"/>
        <v>35.797499999999999</v>
      </c>
      <c r="E29" s="1223">
        <f t="shared" si="3"/>
        <v>33.902500000000003</v>
      </c>
      <c r="F29" s="1223">
        <f t="shared" si="3"/>
        <v>38.322499999999998</v>
      </c>
      <c r="G29" s="1223">
        <f t="shared" si="3"/>
        <v>37.857500000000002</v>
      </c>
      <c r="H29" s="1223">
        <f t="shared" si="3"/>
        <v>34.837499999999999</v>
      </c>
      <c r="I29" s="1254">
        <f t="shared" si="3"/>
        <v>32.947499999999998</v>
      </c>
      <c r="J29" s="79"/>
    </row>
    <row r="30" spans="1:15">
      <c r="A30" s="1110">
        <v>44684</v>
      </c>
      <c r="B30" s="1107">
        <v>40.770000000000003</v>
      </c>
      <c r="C30" s="1108">
        <v>40.19</v>
      </c>
      <c r="D30" s="1108">
        <v>37.07</v>
      </c>
      <c r="E30" s="1109">
        <v>38.43</v>
      </c>
      <c r="F30" s="1111">
        <v>39.78</v>
      </c>
      <c r="G30" s="1112">
        <v>39.26</v>
      </c>
      <c r="H30" s="1112">
        <v>36.159999999999997</v>
      </c>
      <c r="I30" s="1113">
        <v>37.65</v>
      </c>
      <c r="J30" s="79"/>
    </row>
    <row r="31" spans="1:15">
      <c r="A31" s="1215">
        <v>44691</v>
      </c>
      <c r="B31" s="1211">
        <v>43.17</v>
      </c>
      <c r="C31" s="1209">
        <v>42.52</v>
      </c>
      <c r="D31" s="1209">
        <v>39.340000000000003</v>
      </c>
      <c r="E31" s="1210">
        <v>39.31</v>
      </c>
      <c r="F31" s="1208">
        <v>42.12</v>
      </c>
      <c r="G31" s="1209">
        <v>41.65</v>
      </c>
      <c r="H31" s="1209">
        <v>38.549999999999997</v>
      </c>
      <c r="I31" s="1210">
        <v>38.42</v>
      </c>
      <c r="J31" s="79"/>
    </row>
    <row r="32" spans="1:15">
      <c r="A32" s="1110">
        <v>44698</v>
      </c>
      <c r="B32" s="1107">
        <v>44.87</v>
      </c>
      <c r="C32" s="1108">
        <v>44.03</v>
      </c>
      <c r="D32" s="1108">
        <v>40.85</v>
      </c>
      <c r="E32" s="1109">
        <v>36.409999999999997</v>
      </c>
      <c r="F32" s="1114">
        <v>43.88</v>
      </c>
      <c r="G32" s="1108">
        <v>43.24</v>
      </c>
      <c r="H32" s="1108">
        <v>40.130000000000003</v>
      </c>
      <c r="I32" s="1109">
        <v>35.32</v>
      </c>
      <c r="J32" s="79"/>
      <c r="M32" s="190">
        <v>22.691216216216219</v>
      </c>
      <c r="N32" s="190"/>
      <c r="O32" s="190"/>
    </row>
    <row r="33" spans="1:13">
      <c r="A33" s="1215">
        <v>44705</v>
      </c>
      <c r="B33" s="1211">
        <v>44.45</v>
      </c>
      <c r="C33" s="1209">
        <v>43.91</v>
      </c>
      <c r="D33" s="1209">
        <v>40.81</v>
      </c>
      <c r="E33" s="1210">
        <v>33.270000000000003</v>
      </c>
      <c r="F33" s="1208">
        <v>43.48</v>
      </c>
      <c r="G33" s="1209">
        <v>42.98</v>
      </c>
      <c r="H33" s="1209">
        <v>39.869999999999997</v>
      </c>
      <c r="I33" s="1210">
        <v>32.26</v>
      </c>
      <c r="J33" s="79"/>
      <c r="L33" s="190"/>
      <c r="M33" s="190">
        <v>21.889324324324331</v>
      </c>
    </row>
    <row r="34" spans="1:13" ht="13.5" thickBot="1">
      <c r="A34" s="1110"/>
      <c r="B34" s="1107"/>
      <c r="C34" s="1108"/>
      <c r="D34" s="1108"/>
      <c r="E34" s="1109"/>
      <c r="F34" s="1107"/>
      <c r="G34" s="1108"/>
      <c r="H34" s="1108"/>
      <c r="I34" s="1109"/>
      <c r="J34" s="79"/>
      <c r="L34" s="190"/>
      <c r="M34" s="190">
        <v>17.757391304347827</v>
      </c>
    </row>
    <row r="35" spans="1:13" ht="13.5" thickBot="1">
      <c r="A35" s="1212" t="s">
        <v>7</v>
      </c>
      <c r="B35" s="1213">
        <f t="shared" ref="B35:I35" si="4">AVERAGE(B30:B34)</f>
        <v>43.314999999999998</v>
      </c>
      <c r="C35" s="1213">
        <f t="shared" si="4"/>
        <v>42.662500000000001</v>
      </c>
      <c r="D35" s="1213">
        <f t="shared" si="4"/>
        <v>39.517499999999998</v>
      </c>
      <c r="E35" s="1213">
        <f t="shared" si="4"/>
        <v>36.855000000000004</v>
      </c>
      <c r="F35" s="1213">
        <f t="shared" si="4"/>
        <v>42.314999999999998</v>
      </c>
      <c r="G35" s="1213">
        <f t="shared" si="4"/>
        <v>41.782499999999999</v>
      </c>
      <c r="H35" s="1213">
        <f t="shared" si="4"/>
        <v>38.677500000000002</v>
      </c>
      <c r="I35" s="1214">
        <f t="shared" si="4"/>
        <v>35.912499999999994</v>
      </c>
      <c r="J35" s="79"/>
      <c r="L35" s="190"/>
      <c r="M35" s="190"/>
    </row>
    <row r="36" spans="1:13">
      <c r="A36" s="1186"/>
      <c r="B36" s="1191"/>
      <c r="C36" s="1191"/>
      <c r="D36" s="1191"/>
      <c r="E36" s="1192"/>
      <c r="F36" s="1191"/>
      <c r="G36" s="1191"/>
      <c r="H36" s="1191"/>
      <c r="I36" s="1192"/>
      <c r="J36" s="79"/>
      <c r="L36" s="190"/>
      <c r="M36" s="190"/>
    </row>
    <row r="37" spans="1:13">
      <c r="A37" s="1186"/>
      <c r="B37" s="1191"/>
      <c r="C37" s="1191"/>
      <c r="D37" s="1191"/>
      <c r="E37" s="1192"/>
      <c r="F37" s="1191"/>
      <c r="G37" s="1191"/>
      <c r="H37" s="1191"/>
      <c r="I37" s="1192"/>
      <c r="J37" s="79"/>
      <c r="L37" s="190"/>
      <c r="M37" s="190"/>
    </row>
    <row r="38" spans="1:13">
      <c r="A38" s="1186"/>
      <c r="B38" s="1191"/>
      <c r="C38" s="1191"/>
      <c r="D38" s="1191"/>
      <c r="E38" s="1192"/>
      <c r="F38" s="1191"/>
      <c r="G38" s="1191"/>
      <c r="H38" s="1191"/>
      <c r="I38" s="1192"/>
      <c r="J38" s="79"/>
      <c r="L38" s="190"/>
      <c r="M38" s="190"/>
    </row>
    <row r="39" spans="1:13" ht="13.5" thickBot="1">
      <c r="A39" s="1186"/>
      <c r="B39" s="1191"/>
      <c r="C39" s="1191"/>
      <c r="D39" s="1191"/>
      <c r="E39" s="1192"/>
      <c r="F39" s="1191"/>
      <c r="G39" s="1191"/>
      <c r="H39" s="1191"/>
      <c r="I39" s="1192"/>
      <c r="J39" s="79"/>
    </row>
    <row r="40" spans="1:13" ht="13.5" thickBot="1">
      <c r="A40" s="1184"/>
      <c r="B40" s="1185"/>
      <c r="C40" s="1185"/>
      <c r="D40" s="1185"/>
      <c r="E40" s="1195"/>
      <c r="F40" s="1185"/>
      <c r="G40" s="1185"/>
      <c r="H40" s="1185"/>
      <c r="I40" s="1195"/>
      <c r="J40" s="63"/>
      <c r="L40" s="190"/>
      <c r="M40" s="190"/>
    </row>
    <row r="41" spans="1:13">
      <c r="A41" s="1186"/>
      <c r="B41" s="1191"/>
      <c r="C41" s="1191"/>
      <c r="D41" s="1191"/>
      <c r="E41" s="1192"/>
      <c r="F41" s="1191"/>
      <c r="G41" s="1191"/>
      <c r="H41" s="1191"/>
      <c r="I41" s="1192"/>
      <c r="J41" s="63"/>
      <c r="L41" s="190"/>
      <c r="M41" s="190"/>
    </row>
    <row r="42" spans="1:13">
      <c r="A42" s="1186"/>
      <c r="B42" s="1191"/>
      <c r="C42" s="1191"/>
      <c r="D42" s="1191"/>
      <c r="E42" s="1192"/>
      <c r="F42" s="1191"/>
      <c r="G42" s="1191"/>
      <c r="H42" s="1191"/>
      <c r="I42" s="1192"/>
      <c r="J42" s="63"/>
      <c r="L42" s="190"/>
      <c r="M42" s="190"/>
    </row>
    <row r="43" spans="1:13">
      <c r="A43" s="1186"/>
      <c r="B43" s="1191"/>
      <c r="C43" s="1191"/>
      <c r="D43" s="1191"/>
      <c r="E43" s="1192"/>
      <c r="F43" s="1191"/>
      <c r="G43" s="1191"/>
      <c r="H43" s="1191"/>
      <c r="I43" s="1192"/>
      <c r="J43" s="63"/>
    </row>
    <row r="44" spans="1:13" ht="13.5" customHeight="1" thickBot="1">
      <c r="A44" s="1186"/>
      <c r="B44" s="1191"/>
      <c r="C44" s="1191"/>
      <c r="D44" s="1191"/>
      <c r="E44" s="1192"/>
      <c r="F44" s="1191"/>
      <c r="G44" s="1191"/>
      <c r="H44" s="1191"/>
      <c r="I44" s="1192"/>
      <c r="J44" s="63"/>
    </row>
    <row r="45" spans="1:13" ht="13.5" thickBot="1">
      <c r="A45" s="1184"/>
      <c r="B45" s="1185"/>
      <c r="C45" s="1185"/>
      <c r="D45" s="1185"/>
      <c r="E45" s="1195"/>
      <c r="F45" s="1185"/>
      <c r="G45" s="1185"/>
      <c r="H45" s="1185"/>
      <c r="I45" s="1195"/>
      <c r="J45" s="63"/>
    </row>
    <row r="46" spans="1:13">
      <c r="A46" s="1186"/>
      <c r="B46" s="1191"/>
      <c r="C46" s="1191"/>
      <c r="D46" s="1191"/>
      <c r="E46" s="1192"/>
      <c r="F46" s="1191"/>
      <c r="G46" s="1191"/>
      <c r="H46" s="1191"/>
      <c r="I46" s="1192"/>
      <c r="J46" s="63"/>
    </row>
    <row r="47" spans="1:13">
      <c r="A47" s="1186"/>
      <c r="B47" s="1191"/>
      <c r="C47" s="1191"/>
      <c r="D47" s="1191"/>
      <c r="E47" s="1192"/>
      <c r="F47" s="1191"/>
      <c r="G47" s="1191"/>
      <c r="H47" s="1191"/>
      <c r="I47" s="1192"/>
      <c r="J47" s="63"/>
    </row>
    <row r="48" spans="1:13">
      <c r="A48" s="1186"/>
      <c r="B48" s="1191"/>
      <c r="C48" s="1191"/>
      <c r="D48" s="1191"/>
      <c r="E48" s="1192"/>
      <c r="F48" s="1191"/>
      <c r="G48" s="1191"/>
      <c r="H48" s="1191"/>
      <c r="I48" s="1192"/>
      <c r="J48" s="63"/>
    </row>
    <row r="49" spans="1:15">
      <c r="A49" s="1186"/>
      <c r="B49" s="1191"/>
      <c r="C49" s="1191"/>
      <c r="D49" s="1191"/>
      <c r="E49" s="1192"/>
      <c r="F49" s="1191"/>
      <c r="G49" s="1191"/>
      <c r="H49" s="1191"/>
      <c r="I49" s="1192"/>
      <c r="J49" s="63"/>
    </row>
    <row r="50" spans="1:15" ht="13.5" thickBot="1">
      <c r="A50" s="1186"/>
      <c r="B50" s="1191"/>
      <c r="C50" s="1191"/>
      <c r="D50" s="1191"/>
      <c r="E50" s="1192"/>
      <c r="F50" s="1191"/>
      <c r="G50" s="1191"/>
      <c r="H50" s="1191"/>
      <c r="I50" s="1192"/>
      <c r="J50" s="63"/>
    </row>
    <row r="51" spans="1:15" ht="13.5" thickBot="1">
      <c r="A51" s="1184"/>
      <c r="B51" s="1185"/>
      <c r="C51" s="1185"/>
      <c r="D51" s="1185"/>
      <c r="E51" s="1195"/>
      <c r="F51" s="1185"/>
      <c r="G51" s="1185"/>
      <c r="H51" s="1185"/>
      <c r="I51" s="1195"/>
      <c r="J51" s="63"/>
    </row>
    <row r="52" spans="1:15">
      <c r="A52" s="1186"/>
      <c r="B52" s="1196"/>
      <c r="C52" s="1196"/>
      <c r="D52" s="1196"/>
      <c r="E52" s="1197"/>
      <c r="F52" s="1196"/>
      <c r="G52" s="1196"/>
      <c r="H52" s="1196"/>
      <c r="I52" s="1197"/>
      <c r="J52" s="63"/>
    </row>
    <row r="53" spans="1:15">
      <c r="A53" s="1186"/>
      <c r="B53" s="1196"/>
      <c r="C53" s="1196"/>
      <c r="D53" s="1196"/>
      <c r="E53" s="1197"/>
      <c r="F53" s="1196"/>
      <c r="G53" s="1196"/>
      <c r="H53" s="1196"/>
      <c r="I53" s="1197"/>
      <c r="J53" s="63"/>
      <c r="K53" s="75"/>
      <c r="L53" s="75"/>
      <c r="M53" s="75"/>
      <c r="N53" s="75"/>
      <c r="O53" s="75"/>
    </row>
    <row r="54" spans="1:15">
      <c r="A54" s="1186"/>
      <c r="B54" s="1196"/>
      <c r="C54" s="1196"/>
      <c r="D54" s="1196"/>
      <c r="E54" s="1197"/>
      <c r="F54" s="1196"/>
      <c r="G54" s="1196"/>
      <c r="H54" s="1196"/>
      <c r="I54" s="1197"/>
      <c r="J54" s="63"/>
      <c r="K54" s="75"/>
      <c r="L54" s="1108"/>
      <c r="M54" s="1108"/>
      <c r="N54" s="1108"/>
      <c r="O54" s="1108"/>
    </row>
    <row r="55" spans="1:15" ht="13.5" thickBot="1">
      <c r="A55" s="1186"/>
      <c r="B55" s="1196"/>
      <c r="C55" s="1196"/>
      <c r="D55" s="1196"/>
      <c r="E55" s="1197"/>
      <c r="F55" s="1196"/>
      <c r="G55" s="1196"/>
      <c r="H55" s="1196"/>
      <c r="I55" s="1197"/>
      <c r="J55" s="63"/>
      <c r="K55" s="75"/>
      <c r="L55" s="75"/>
      <c r="M55" s="75"/>
      <c r="N55" s="75"/>
      <c r="O55" s="75"/>
    </row>
    <row r="56" spans="1:15" ht="13.5" thickBot="1">
      <c r="A56" s="1184"/>
      <c r="B56" s="1194"/>
      <c r="C56" s="1185"/>
      <c r="D56" s="1185"/>
      <c r="E56" s="1195"/>
      <c r="F56" s="1185"/>
      <c r="G56" s="1185"/>
      <c r="H56" s="1185"/>
      <c r="I56" s="1195"/>
      <c r="J56" s="63"/>
      <c r="K56" s="75"/>
      <c r="L56" s="75"/>
      <c r="M56" s="75"/>
      <c r="N56" s="75"/>
      <c r="O56" s="75"/>
    </row>
    <row r="57" spans="1:15">
      <c r="A57" s="1198"/>
      <c r="B57" s="1187"/>
      <c r="C57" s="1188"/>
      <c r="D57" s="1188"/>
      <c r="E57" s="1189"/>
      <c r="F57" s="1188"/>
      <c r="G57" s="1188"/>
      <c r="H57" s="1188"/>
      <c r="I57" s="1189"/>
      <c r="J57" s="127"/>
      <c r="K57" s="1108"/>
      <c r="L57" s="1108"/>
      <c r="M57" s="1108"/>
      <c r="N57" s="1108"/>
      <c r="O57" s="75"/>
    </row>
    <row r="58" spans="1:15">
      <c r="A58" s="1186"/>
      <c r="B58" s="1190"/>
      <c r="C58" s="1191"/>
      <c r="D58" s="1191"/>
      <c r="E58" s="1192"/>
      <c r="F58" s="1191"/>
      <c r="G58" s="1191"/>
      <c r="H58" s="1191"/>
      <c r="I58" s="1192"/>
      <c r="J58" s="127"/>
      <c r="K58" s="75"/>
      <c r="L58" s="75"/>
      <c r="M58" s="75"/>
      <c r="N58" s="75"/>
      <c r="O58" s="75"/>
    </row>
    <row r="59" spans="1:15" s="79" customFormat="1">
      <c r="A59" s="1186"/>
      <c r="B59" s="1190"/>
      <c r="C59" s="1191"/>
      <c r="D59" s="1191"/>
      <c r="E59" s="1192"/>
      <c r="F59" s="1190"/>
      <c r="G59" s="1191"/>
      <c r="H59" s="1191"/>
      <c r="I59" s="1192"/>
      <c r="J59" s="127"/>
    </row>
    <row r="60" spans="1:15" s="79" customFormat="1" ht="13.5" thickBot="1">
      <c r="A60" s="1186"/>
      <c r="B60" s="1190"/>
      <c r="C60" s="1191"/>
      <c r="D60" s="1191"/>
      <c r="E60" s="1192"/>
      <c r="F60" s="1190"/>
      <c r="G60" s="1191"/>
      <c r="H60" s="1191"/>
      <c r="I60" s="1192"/>
      <c r="J60" s="127"/>
    </row>
    <row r="61" spans="1:15" s="79" customFormat="1" ht="13.5" thickBot="1">
      <c r="A61" s="1193"/>
      <c r="B61" s="1194"/>
      <c r="C61" s="1185"/>
      <c r="D61" s="1185"/>
      <c r="E61" s="1185"/>
      <c r="F61" s="1194"/>
      <c r="G61" s="1185"/>
      <c r="H61" s="1185"/>
      <c r="I61" s="1195"/>
      <c r="J61" s="563"/>
      <c r="N61" s="79">
        <v>1</v>
      </c>
    </row>
    <row r="62" spans="1:15" s="79" customFormat="1">
      <c r="A62" s="1198"/>
      <c r="B62" s="1190"/>
      <c r="C62" s="1191"/>
      <c r="D62" s="1191"/>
      <c r="E62" s="1192"/>
      <c r="F62" s="1190"/>
      <c r="G62" s="1191"/>
      <c r="H62" s="1191"/>
      <c r="I62" s="1192"/>
      <c r="J62" s="127"/>
    </row>
    <row r="63" spans="1:15" s="79" customFormat="1">
      <c r="A63" s="1186"/>
      <c r="B63" s="1190"/>
      <c r="C63" s="1191"/>
      <c r="D63" s="1191"/>
      <c r="E63" s="1192"/>
      <c r="F63" s="1190"/>
      <c r="G63" s="1191"/>
      <c r="H63" s="1191"/>
      <c r="I63" s="1192"/>
      <c r="J63" s="127"/>
    </row>
    <row r="64" spans="1:15" s="79" customFormat="1">
      <c r="A64" s="1186"/>
      <c r="B64" s="1190"/>
      <c r="C64" s="1191"/>
      <c r="D64" s="1191"/>
      <c r="E64" s="1192"/>
      <c r="F64" s="1190"/>
      <c r="G64" s="1191"/>
      <c r="H64" s="1191"/>
      <c r="I64" s="1192"/>
      <c r="J64" s="127"/>
    </row>
    <row r="65" spans="1:10" s="79" customFormat="1" ht="13.5" customHeight="1">
      <c r="A65" s="1186"/>
      <c r="B65" s="1190"/>
      <c r="C65" s="1191"/>
      <c r="D65" s="1191"/>
      <c r="E65" s="1192"/>
      <c r="F65" s="1190"/>
      <c r="G65" s="1191"/>
      <c r="H65" s="1191"/>
      <c r="I65" s="1192"/>
      <c r="J65" s="127"/>
    </row>
    <row r="66" spans="1:10" s="79" customFormat="1" ht="13.5" thickBot="1">
      <c r="A66" s="1186"/>
      <c r="B66" s="1190"/>
      <c r="C66" s="1191"/>
      <c r="D66" s="1191"/>
      <c r="E66" s="1192"/>
      <c r="F66" s="1190"/>
      <c r="G66" s="1191"/>
      <c r="H66" s="1191"/>
      <c r="I66" s="1192"/>
      <c r="J66" s="127"/>
    </row>
    <row r="67" spans="1:10" s="79" customFormat="1" ht="13.5" thickBot="1">
      <c r="A67" s="1193"/>
      <c r="B67" s="1194"/>
      <c r="C67" s="1185"/>
      <c r="D67" s="1185"/>
      <c r="E67" s="1185"/>
      <c r="F67" s="1194"/>
      <c r="G67" s="1185"/>
      <c r="H67" s="1185"/>
      <c r="I67" s="1195"/>
      <c r="J67" s="127"/>
    </row>
    <row r="68" spans="1:10" s="79" customFormat="1" ht="12.75" customHeight="1">
      <c r="A68" s="1186"/>
      <c r="B68" s="1190"/>
      <c r="C68" s="1191"/>
      <c r="D68" s="1191"/>
      <c r="E68" s="1192"/>
      <c r="F68" s="1190"/>
      <c r="G68" s="1191"/>
      <c r="H68" s="1191"/>
      <c r="I68" s="1192"/>
      <c r="J68" s="127"/>
    </row>
    <row r="69" spans="1:10" s="79" customFormat="1" ht="12.75" customHeight="1">
      <c r="A69" s="1186"/>
      <c r="B69" s="1190"/>
      <c r="C69" s="1191"/>
      <c r="D69" s="1191"/>
      <c r="E69" s="1192"/>
      <c r="F69" s="1190"/>
      <c r="G69" s="1191"/>
      <c r="H69" s="1191"/>
      <c r="I69" s="1192"/>
      <c r="J69" s="127"/>
    </row>
    <row r="70" spans="1:10" s="79" customFormat="1" ht="12.75" customHeight="1">
      <c r="A70" s="1186"/>
      <c r="B70" s="1190"/>
      <c r="C70" s="1191"/>
      <c r="D70" s="1191"/>
      <c r="E70" s="1192"/>
      <c r="F70" s="1190"/>
      <c r="G70" s="1191"/>
      <c r="H70" s="1191"/>
      <c r="I70" s="1192"/>
      <c r="J70" s="127"/>
    </row>
    <row r="71" spans="1:10" s="79" customFormat="1" ht="12.75" customHeight="1" thickBot="1">
      <c r="A71" s="1186"/>
      <c r="B71" s="1190"/>
      <c r="C71" s="1191"/>
      <c r="D71" s="1191"/>
      <c r="E71" s="1192"/>
      <c r="F71" s="1190"/>
      <c r="G71" s="1191"/>
      <c r="H71" s="1191"/>
      <c r="I71" s="1192"/>
      <c r="J71" s="127"/>
    </row>
    <row r="72" spans="1:10" ht="13.5" thickBot="1">
      <c r="A72" s="1193"/>
      <c r="B72" s="1194"/>
      <c r="C72" s="1185"/>
      <c r="D72" s="1185"/>
      <c r="E72" s="1185"/>
      <c r="F72" s="1194"/>
      <c r="G72" s="1185"/>
      <c r="H72" s="1185"/>
      <c r="I72" s="1195"/>
      <c r="J72" s="127"/>
    </row>
    <row r="73" spans="1:10" ht="13.5" thickBot="1">
      <c r="A73" s="651"/>
      <c r="B73" s="651"/>
      <c r="C73" s="651"/>
      <c r="D73" s="651"/>
      <c r="E73" s="651"/>
      <c r="F73" s="651"/>
      <c r="G73" s="651"/>
      <c r="H73" s="651"/>
      <c r="I73" s="651"/>
      <c r="J73" s="127"/>
    </row>
    <row r="74" spans="1:10" ht="15.75" thickBot="1">
      <c r="A74" s="651"/>
      <c r="B74" s="849"/>
      <c r="C74" s="651"/>
      <c r="D74" s="651"/>
      <c r="E74" s="651"/>
      <c r="F74" s="651"/>
      <c r="G74" s="651"/>
      <c r="H74" s="651"/>
      <c r="I74" s="651"/>
      <c r="J74" s="127"/>
    </row>
    <row r="75" spans="1:10">
      <c r="A75" s="127"/>
      <c r="B75" s="127"/>
      <c r="C75" s="127"/>
      <c r="D75" s="127"/>
      <c r="E75" s="127"/>
      <c r="F75" s="127"/>
      <c r="G75" s="127"/>
      <c r="H75" s="127"/>
      <c r="I75" s="127"/>
      <c r="J75" s="127"/>
    </row>
    <row r="76" spans="1:10">
      <c r="A76" s="127"/>
      <c r="B76" s="127"/>
      <c r="C76" s="127"/>
      <c r="D76" s="127"/>
      <c r="E76" s="127"/>
      <c r="F76" s="127"/>
      <c r="G76" s="127"/>
      <c r="H76" s="127"/>
      <c r="I76" s="127"/>
      <c r="J76" s="127"/>
    </row>
    <row r="77" spans="1:10">
      <c r="A77" s="127"/>
      <c r="B77" s="127"/>
      <c r="C77" s="127"/>
      <c r="D77" s="127"/>
      <c r="E77" s="127"/>
      <c r="F77" s="127"/>
      <c r="G77" s="127"/>
      <c r="H77" s="127"/>
      <c r="I77" s="127"/>
      <c r="J77" s="127"/>
    </row>
    <row r="78" spans="1:10">
      <c r="A78" s="127"/>
      <c r="B78" s="127"/>
      <c r="C78" s="127"/>
      <c r="D78" s="127"/>
      <c r="E78" s="127"/>
      <c r="F78" s="127"/>
      <c r="G78" s="127"/>
      <c r="H78" s="127"/>
      <c r="I78" s="127"/>
      <c r="J78" s="127"/>
    </row>
    <row r="79" spans="1:10">
      <c r="A79" s="127"/>
      <c r="B79" s="127"/>
      <c r="C79" s="127"/>
      <c r="D79" s="127"/>
      <c r="E79" s="127"/>
      <c r="F79" s="127"/>
      <c r="G79" s="127"/>
      <c r="H79" s="127"/>
      <c r="I79" s="127"/>
      <c r="J79" s="127"/>
    </row>
    <row r="80" spans="1:10">
      <c r="A80" s="127"/>
      <c r="B80" s="127"/>
      <c r="C80" s="127"/>
      <c r="D80" s="127"/>
      <c r="E80" s="127"/>
      <c r="F80" s="127"/>
      <c r="G80" s="127"/>
      <c r="H80" s="127"/>
      <c r="I80" s="127"/>
      <c r="J80" s="127"/>
    </row>
    <row r="81" spans="1:10">
      <c r="A81" s="127"/>
      <c r="B81" s="127"/>
      <c r="C81" s="127"/>
      <c r="D81" s="127"/>
      <c r="E81" s="127"/>
      <c r="F81" s="127"/>
      <c r="G81" s="127"/>
      <c r="H81" s="127"/>
      <c r="I81" s="127"/>
      <c r="J81" s="127"/>
    </row>
    <row r="82" spans="1:10">
      <c r="A82" s="127"/>
      <c r="B82" s="127"/>
      <c r="C82" s="127"/>
      <c r="D82" s="127"/>
      <c r="E82" s="127"/>
      <c r="F82" s="127"/>
      <c r="G82" s="127"/>
      <c r="H82" s="127"/>
      <c r="I82" s="127"/>
      <c r="J82" s="127"/>
    </row>
    <row r="83" spans="1:10">
      <c r="A83" s="127"/>
      <c r="B83" s="127"/>
      <c r="C83" s="127"/>
      <c r="D83" s="127"/>
      <c r="E83" s="127"/>
      <c r="F83" s="127"/>
      <c r="G83" s="127"/>
      <c r="H83" s="127"/>
      <c r="I83" s="127"/>
      <c r="J83" s="127"/>
    </row>
    <row r="84" spans="1:10">
      <c r="A84" s="127"/>
      <c r="B84" s="127"/>
      <c r="C84" s="127"/>
      <c r="D84" s="127"/>
      <c r="E84" s="127"/>
      <c r="F84" s="127"/>
      <c r="G84" s="127"/>
      <c r="H84" s="127"/>
      <c r="I84" s="127"/>
      <c r="J84" s="127"/>
    </row>
    <row r="85" spans="1:10">
      <c r="A85" s="127"/>
      <c r="B85" s="127"/>
      <c r="C85" s="127"/>
      <c r="D85" s="127"/>
      <c r="E85" s="127"/>
      <c r="F85" s="127"/>
      <c r="G85" s="127"/>
      <c r="H85" s="127"/>
      <c r="I85" s="127"/>
      <c r="J85" s="127"/>
    </row>
    <row r="86" spans="1:10">
      <c r="A86" s="127"/>
      <c r="B86" s="127"/>
      <c r="C86" s="127"/>
      <c r="D86" s="127"/>
      <c r="E86" s="127"/>
      <c r="F86" s="127"/>
      <c r="G86" s="127"/>
      <c r="H86" s="127"/>
      <c r="I86" s="127"/>
      <c r="J86" s="127"/>
    </row>
    <row r="87" spans="1:10">
      <c r="A87" s="127"/>
      <c r="B87" s="127"/>
      <c r="C87" s="127"/>
      <c r="D87" s="127"/>
      <c r="E87" s="127"/>
      <c r="F87" s="127"/>
      <c r="G87" s="127"/>
      <c r="H87" s="127"/>
      <c r="I87" s="127"/>
      <c r="J87" s="127"/>
    </row>
    <row r="88" spans="1:10">
      <c r="A88" s="127"/>
      <c r="B88" s="127"/>
      <c r="C88" s="127"/>
      <c r="D88" s="127"/>
      <c r="E88" s="127"/>
      <c r="F88" s="127"/>
      <c r="G88" s="127"/>
      <c r="H88" s="127"/>
      <c r="I88" s="127"/>
      <c r="J88" s="127"/>
    </row>
    <row r="89" spans="1:10">
      <c r="A89" s="127"/>
      <c r="B89" s="127"/>
      <c r="C89" s="127"/>
      <c r="D89" s="127"/>
      <c r="E89" s="127"/>
      <c r="F89" s="127"/>
      <c r="G89" s="127"/>
      <c r="H89" s="127"/>
      <c r="I89" s="127"/>
      <c r="J89" s="127"/>
    </row>
    <row r="90" spans="1:10">
      <c r="A90" s="127"/>
      <c r="B90" s="127"/>
      <c r="C90" s="127"/>
      <c r="D90" s="127"/>
      <c r="E90" s="127"/>
      <c r="F90" s="127"/>
      <c r="G90" s="127"/>
      <c r="H90" s="127"/>
      <c r="I90" s="127"/>
      <c r="J90" s="127"/>
    </row>
    <row r="91" spans="1:10">
      <c r="A91" s="127"/>
      <c r="B91" s="127"/>
      <c r="C91" s="127"/>
      <c r="D91" s="127"/>
      <c r="E91" s="127"/>
      <c r="F91" s="127"/>
      <c r="G91" s="127"/>
      <c r="H91" s="127"/>
      <c r="I91" s="127"/>
      <c r="J91" s="127"/>
    </row>
    <row r="92" spans="1:10">
      <c r="A92" s="127"/>
      <c r="B92" s="127"/>
      <c r="C92" s="127"/>
      <c r="D92" s="127"/>
      <c r="E92" s="127"/>
      <c r="F92" s="127"/>
      <c r="G92" s="127"/>
      <c r="H92" s="127"/>
      <c r="I92" s="127"/>
      <c r="J92" s="127"/>
    </row>
    <row r="93" spans="1:10">
      <c r="A93" s="127"/>
      <c r="B93" s="127"/>
      <c r="C93" s="127"/>
      <c r="D93" s="127"/>
      <c r="E93" s="127"/>
      <c r="F93" s="127"/>
      <c r="G93" s="127"/>
      <c r="H93" s="127"/>
      <c r="I93" s="127"/>
      <c r="J93" s="127"/>
    </row>
    <row r="94" spans="1:10">
      <c r="A94" s="127"/>
      <c r="B94" s="127"/>
      <c r="C94" s="127"/>
      <c r="D94" s="127"/>
      <c r="E94" s="127"/>
      <c r="F94" s="127"/>
      <c r="G94" s="127"/>
      <c r="H94" s="127"/>
      <c r="I94" s="127"/>
      <c r="J94" s="127"/>
    </row>
    <row r="95" spans="1:10">
      <c r="A95" s="127"/>
      <c r="B95" s="127"/>
      <c r="C95" s="127"/>
      <c r="D95" s="127"/>
      <c r="E95" s="127"/>
      <c r="F95" s="127"/>
      <c r="G95" s="127"/>
      <c r="H95" s="127"/>
      <c r="I95" s="127"/>
      <c r="J95" s="127"/>
    </row>
    <row r="96" spans="1:10">
      <c r="A96" s="127"/>
      <c r="B96" s="127"/>
      <c r="C96" s="127"/>
      <c r="D96" s="127"/>
      <c r="E96" s="127"/>
      <c r="F96" s="127"/>
      <c r="G96" s="127"/>
      <c r="H96" s="127"/>
      <c r="I96" s="127"/>
      <c r="J96" s="127"/>
    </row>
    <row r="97" spans="1:10">
      <c r="A97" s="127"/>
      <c r="B97" s="127"/>
      <c r="C97" s="127"/>
      <c r="D97" s="127"/>
      <c r="E97" s="127"/>
      <c r="F97" s="127"/>
      <c r="G97" s="127"/>
      <c r="H97" s="127"/>
      <c r="I97" s="127"/>
      <c r="J97" s="127"/>
    </row>
    <row r="98" spans="1:10">
      <c r="A98" s="127"/>
      <c r="B98" s="127"/>
      <c r="C98" s="127"/>
      <c r="D98" s="127"/>
      <c r="E98" s="127"/>
      <c r="F98" s="127"/>
      <c r="G98" s="127"/>
      <c r="H98" s="127"/>
      <c r="I98" s="127"/>
      <c r="J98" s="127"/>
    </row>
    <row r="99" spans="1:10">
      <c r="A99" s="127"/>
      <c r="B99" s="127"/>
      <c r="C99" s="127"/>
      <c r="D99" s="127"/>
      <c r="E99" s="127"/>
      <c r="F99" s="127"/>
      <c r="G99" s="127"/>
      <c r="H99" s="127"/>
      <c r="I99" s="127"/>
      <c r="J99" s="127"/>
    </row>
    <row r="100" spans="1:10">
      <c r="A100" s="127"/>
      <c r="B100" s="127"/>
      <c r="C100" s="127"/>
      <c r="D100" s="127"/>
      <c r="E100" s="127"/>
      <c r="F100" s="127"/>
      <c r="G100" s="127"/>
      <c r="H100" s="127"/>
      <c r="I100" s="127"/>
      <c r="J100" s="127"/>
    </row>
    <row r="101" spans="1:10">
      <c r="A101" s="127"/>
      <c r="B101" s="127"/>
      <c r="C101" s="127"/>
      <c r="D101" s="127"/>
      <c r="E101" s="127"/>
      <c r="F101" s="127"/>
      <c r="G101" s="127"/>
      <c r="H101" s="127"/>
      <c r="I101" s="127"/>
      <c r="J101" s="127"/>
    </row>
    <row r="102" spans="1:10">
      <c r="A102" s="127"/>
      <c r="B102" s="127"/>
      <c r="C102" s="127"/>
      <c r="D102" s="127"/>
      <c r="E102" s="127"/>
      <c r="F102" s="127"/>
      <c r="G102" s="127"/>
      <c r="H102" s="127"/>
      <c r="I102" s="127"/>
      <c r="J102" s="127"/>
    </row>
    <row r="103" spans="1:10">
      <c r="A103" s="127"/>
      <c r="B103" s="127"/>
      <c r="C103" s="127"/>
      <c r="D103" s="127"/>
      <c r="E103" s="127"/>
      <c r="F103" s="127"/>
      <c r="G103" s="127"/>
      <c r="H103" s="127"/>
      <c r="I103" s="127"/>
      <c r="J103" s="127"/>
    </row>
    <row r="104" spans="1:10">
      <c r="A104" s="127"/>
      <c r="B104" s="127"/>
      <c r="C104" s="127"/>
      <c r="D104" s="127"/>
      <c r="E104" s="127"/>
      <c r="F104" s="127"/>
      <c r="G104" s="127"/>
      <c r="H104" s="127"/>
      <c r="I104" s="127"/>
      <c r="J104" s="127"/>
    </row>
    <row r="105" spans="1:10">
      <c r="A105" s="127"/>
      <c r="B105" s="127"/>
      <c r="C105" s="127"/>
      <c r="D105" s="127"/>
      <c r="E105" s="127"/>
      <c r="F105" s="127"/>
      <c r="G105" s="127"/>
      <c r="H105" s="127"/>
      <c r="I105" s="127"/>
      <c r="J105" s="127"/>
    </row>
    <row r="106" spans="1:10">
      <c r="A106" s="127"/>
      <c r="B106" s="127"/>
      <c r="C106" s="127"/>
      <c r="D106" s="127"/>
      <c r="E106" s="127"/>
      <c r="F106" s="127"/>
      <c r="G106" s="127"/>
      <c r="H106" s="127"/>
      <c r="I106" s="127"/>
      <c r="J106" s="127"/>
    </row>
    <row r="107" spans="1:10">
      <c r="A107" s="127"/>
      <c r="B107" s="127"/>
      <c r="C107" s="127"/>
      <c r="D107" s="127"/>
      <c r="E107" s="127"/>
      <c r="F107" s="127"/>
      <c r="G107" s="127"/>
      <c r="H107" s="127"/>
      <c r="I107" s="127"/>
      <c r="J107" s="127"/>
    </row>
    <row r="108" spans="1:10">
      <c r="A108" s="127"/>
      <c r="B108" s="127"/>
      <c r="C108" s="127"/>
      <c r="D108" s="127"/>
      <c r="E108" s="127"/>
      <c r="F108" s="127"/>
      <c r="G108" s="127"/>
      <c r="H108" s="127"/>
      <c r="I108" s="127"/>
      <c r="J108" s="127"/>
    </row>
    <row r="109" spans="1:10">
      <c r="A109" s="127"/>
      <c r="B109" s="127"/>
      <c r="C109" s="127"/>
      <c r="D109" s="127"/>
      <c r="E109" s="127"/>
      <c r="F109" s="127"/>
      <c r="G109" s="127"/>
      <c r="H109" s="127"/>
      <c r="I109" s="127"/>
      <c r="J109" s="127"/>
    </row>
  </sheetData>
  <mergeCells count="8">
    <mergeCell ref="B7:E7"/>
    <mergeCell ref="F7:I7"/>
    <mergeCell ref="A1:I1"/>
    <mergeCell ref="A2:I2"/>
    <mergeCell ref="A3:I3"/>
    <mergeCell ref="A4:I4"/>
    <mergeCell ref="A5:I5"/>
    <mergeCell ref="A6:I6"/>
  </mergeCells>
  <pageMargins left="1.4566929133858268" right="0.43307086614173229" top="0.98425196850393704" bottom="0.98425196850393704" header="0" footer="0"/>
  <pageSetup scale="65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1"/>
  <dimension ref="A1:AS79"/>
  <sheetViews>
    <sheetView view="pageBreakPreview" topLeftCell="AG1" zoomScaleNormal="100" zoomScaleSheetLayoutView="100" workbookViewId="0">
      <selection activeCell="AJ16" sqref="AJ16"/>
    </sheetView>
  </sheetViews>
  <sheetFormatPr baseColWidth="10" defaultColWidth="11.42578125" defaultRowHeight="12.75"/>
  <cols>
    <col min="1" max="1" width="14.5703125" customWidth="1"/>
    <col min="2" max="13" width="13.85546875" hidden="1" customWidth="1"/>
    <col min="14" max="14" width="9.140625" hidden="1" customWidth="1"/>
    <col min="15" max="15" width="9" hidden="1" customWidth="1"/>
    <col min="16" max="16" width="9.28515625" hidden="1" customWidth="1"/>
    <col min="17" max="17" width="10.7109375" hidden="1" customWidth="1"/>
    <col min="18" max="18" width="10" hidden="1" customWidth="1"/>
    <col min="19" max="20" width="9.28515625" hidden="1" customWidth="1"/>
    <col min="21" max="21" width="6.7109375" hidden="1" customWidth="1"/>
    <col min="22" max="42" width="8.7109375" customWidth="1"/>
    <col min="43" max="45" width="13.5703125" bestFit="1" customWidth="1"/>
  </cols>
  <sheetData>
    <row r="1" spans="1:42" ht="14.25" customHeight="1">
      <c r="A1" s="1714"/>
      <c r="B1" s="1714"/>
      <c r="C1" s="1714"/>
      <c r="D1" s="1714"/>
      <c r="E1" s="1714"/>
      <c r="F1" s="1714"/>
      <c r="G1" s="1714"/>
      <c r="H1" s="1714"/>
      <c r="I1" s="1714"/>
      <c r="J1" s="1714"/>
      <c r="K1" s="1714"/>
      <c r="L1" s="1714"/>
      <c r="M1" s="1714"/>
      <c r="N1" s="1714"/>
      <c r="O1" s="1714"/>
      <c r="P1" s="1714"/>
      <c r="Q1" s="1714"/>
      <c r="R1" s="1714"/>
      <c r="S1" s="1714"/>
      <c r="T1" s="1714"/>
      <c r="U1" s="1715"/>
      <c r="V1" s="1715"/>
      <c r="W1" s="1715"/>
      <c r="X1" s="1715"/>
      <c r="Y1" s="1715"/>
      <c r="Z1" s="1715"/>
      <c r="AA1" s="1715"/>
      <c r="AB1" s="1715"/>
      <c r="AC1" s="1715"/>
      <c r="AD1" s="1715"/>
      <c r="AE1" s="1715"/>
      <c r="AF1" s="1715"/>
      <c r="AG1" s="1715"/>
      <c r="AH1" s="1715"/>
      <c r="AI1" s="1715"/>
      <c r="AJ1" s="1715"/>
      <c r="AK1" s="1715"/>
      <c r="AL1" s="1715"/>
      <c r="AM1" s="1716"/>
      <c r="AN1" s="1716"/>
      <c r="AO1" s="564"/>
      <c r="AP1" s="564"/>
    </row>
    <row r="2" spans="1:42" ht="27" customHeight="1">
      <c r="A2" s="1717" t="s">
        <v>54</v>
      </c>
      <c r="B2" s="1717"/>
      <c r="C2" s="1717"/>
      <c r="D2" s="1717"/>
      <c r="E2" s="1717"/>
      <c r="F2" s="1717"/>
      <c r="G2" s="1717"/>
      <c r="H2" s="1717"/>
      <c r="I2" s="1717"/>
      <c r="J2" s="1717"/>
      <c r="K2" s="1717"/>
      <c r="L2" s="1717"/>
      <c r="M2" s="1717"/>
      <c r="N2" s="1717"/>
      <c r="O2" s="1717"/>
      <c r="P2" s="1717"/>
      <c r="Q2" s="1717"/>
      <c r="R2" s="1717"/>
      <c r="S2" s="1717"/>
      <c r="T2" s="1717"/>
      <c r="U2" s="1718"/>
      <c r="V2" s="1718"/>
      <c r="W2" s="1718"/>
      <c r="X2" s="1718"/>
      <c r="Y2" s="1718"/>
      <c r="Z2" s="1718"/>
      <c r="AA2" s="1718"/>
      <c r="AB2" s="1718"/>
      <c r="AC2" s="1718"/>
      <c r="AD2" s="1718"/>
      <c r="AE2" s="1718"/>
      <c r="AF2" s="1718"/>
      <c r="AG2" s="1718"/>
      <c r="AH2" s="1718"/>
      <c r="AI2" s="1718"/>
      <c r="AJ2" s="1718"/>
      <c r="AK2" s="1718"/>
      <c r="AL2" s="1718"/>
      <c r="AM2" s="1614"/>
      <c r="AN2" s="1614"/>
      <c r="AO2" s="564"/>
      <c r="AP2" s="564"/>
    </row>
    <row r="3" spans="1:42" ht="18" customHeight="1">
      <c r="A3" s="1719" t="s">
        <v>543</v>
      </c>
      <c r="B3" s="1719"/>
      <c r="C3" s="1719"/>
      <c r="D3" s="1719"/>
      <c r="E3" s="1719"/>
      <c r="F3" s="1719"/>
      <c r="G3" s="1719"/>
      <c r="H3" s="1719"/>
      <c r="I3" s="1719"/>
      <c r="J3" s="1719"/>
      <c r="K3" s="1719"/>
      <c r="L3" s="1719"/>
      <c r="M3" s="1719"/>
      <c r="N3" s="1719"/>
      <c r="O3" s="1719"/>
      <c r="P3" s="1719"/>
      <c r="Q3" s="1719"/>
      <c r="R3" s="1719"/>
      <c r="S3" s="1719"/>
      <c r="T3" s="1719"/>
      <c r="U3" s="1720"/>
      <c r="V3" s="1720"/>
      <c r="W3" s="1720"/>
      <c r="X3" s="1720"/>
      <c r="Y3" s="1720"/>
      <c r="Z3" s="1720"/>
      <c r="AA3" s="1720"/>
      <c r="AB3" s="1720"/>
      <c r="AC3" s="1720"/>
      <c r="AD3" s="1720"/>
      <c r="AE3" s="1720"/>
      <c r="AF3" s="1720"/>
      <c r="AG3" s="1720"/>
      <c r="AH3" s="1720"/>
      <c r="AI3" s="1720"/>
      <c r="AJ3" s="1720"/>
      <c r="AK3" s="1720"/>
      <c r="AL3" s="1720"/>
      <c r="AM3" s="1721"/>
      <c r="AN3" s="1721"/>
      <c r="AO3" s="564"/>
      <c r="AP3" s="564"/>
    </row>
    <row r="4" spans="1:42" ht="6" customHeight="1">
      <c r="A4" s="1719"/>
      <c r="B4" s="1719"/>
      <c r="C4" s="1719"/>
      <c r="D4" s="1719"/>
      <c r="E4" s="1719"/>
      <c r="F4" s="1719"/>
      <c r="G4" s="1719"/>
      <c r="H4" s="1719"/>
      <c r="I4" s="1719"/>
      <c r="J4" s="1719"/>
      <c r="K4" s="1719"/>
      <c r="L4" s="1719"/>
      <c r="M4" s="1719"/>
      <c r="N4" s="1719"/>
      <c r="O4" s="1719"/>
      <c r="P4" s="1719"/>
      <c r="Q4" s="1719"/>
      <c r="R4" s="1719"/>
      <c r="S4" s="1719"/>
      <c r="T4" s="1719"/>
      <c r="U4" s="1720"/>
      <c r="V4" s="1720"/>
      <c r="W4" s="1720"/>
      <c r="X4" s="1720"/>
      <c r="Y4" s="1720"/>
      <c r="Z4" s="1720"/>
      <c r="AA4" s="1720"/>
      <c r="AB4" s="1720"/>
      <c r="AC4" s="1720"/>
      <c r="AD4" s="1720"/>
      <c r="AE4" s="1720"/>
      <c r="AF4" s="1720"/>
      <c r="AG4" s="1720"/>
      <c r="AH4" s="1720"/>
      <c r="AI4" s="1720"/>
      <c r="AJ4" s="1720"/>
      <c r="AK4" s="1720"/>
      <c r="AL4" s="1720"/>
      <c r="AM4" s="1721"/>
      <c r="AN4" s="1721"/>
      <c r="AO4" s="564"/>
      <c r="AP4" s="564"/>
    </row>
    <row r="5" spans="1:42" ht="17.25" customHeight="1">
      <c r="A5" s="1722" t="s">
        <v>39</v>
      </c>
      <c r="B5" s="1722"/>
      <c r="C5" s="1722"/>
      <c r="D5" s="1722"/>
      <c r="E5" s="1722"/>
      <c r="F5" s="1722"/>
      <c r="G5" s="1722"/>
      <c r="H5" s="1722"/>
      <c r="I5" s="1722"/>
      <c r="J5" s="1722"/>
      <c r="K5" s="1722"/>
      <c r="L5" s="1722"/>
      <c r="M5" s="1722"/>
      <c r="N5" s="1722"/>
      <c r="O5" s="1722"/>
      <c r="P5" s="1722"/>
      <c r="Q5" s="1722"/>
      <c r="R5" s="1722"/>
      <c r="S5" s="1722"/>
      <c r="T5" s="1722"/>
      <c r="U5" s="1501"/>
      <c r="V5" s="1501"/>
      <c r="W5" s="1501"/>
      <c r="X5" s="1501"/>
      <c r="Y5" s="1501"/>
      <c r="Z5" s="1501"/>
      <c r="AA5" s="1501"/>
      <c r="AB5" s="1501"/>
      <c r="AC5" s="1501"/>
      <c r="AD5" s="1501"/>
      <c r="AE5" s="1501"/>
      <c r="AF5" s="1501"/>
      <c r="AG5" s="1501"/>
      <c r="AH5" s="1501"/>
      <c r="AI5" s="1501"/>
      <c r="AJ5" s="1501"/>
      <c r="AK5" s="1501"/>
      <c r="AL5" s="1501"/>
      <c r="AM5" s="1723"/>
      <c r="AN5" s="1723"/>
      <c r="AO5" s="564"/>
      <c r="AP5" s="564"/>
    </row>
    <row r="6" spans="1:42" s="75" customFormat="1">
      <c r="A6" s="1724" t="s">
        <v>515</v>
      </c>
      <c r="B6" s="1724"/>
      <c r="C6" s="1724"/>
      <c r="D6" s="1724"/>
      <c r="E6" s="1724"/>
      <c r="F6" s="1724"/>
      <c r="G6" s="1724"/>
      <c r="H6" s="1724"/>
      <c r="I6" s="1724"/>
      <c r="J6" s="1724"/>
      <c r="K6" s="1724"/>
      <c r="L6" s="1724"/>
      <c r="M6" s="1724"/>
      <c r="N6" s="1724"/>
      <c r="O6" s="1724"/>
      <c r="P6" s="1724"/>
      <c r="Q6" s="1724"/>
      <c r="R6" s="1724"/>
      <c r="S6" s="1724"/>
      <c r="T6" s="1724"/>
      <c r="U6" s="1507"/>
      <c r="V6" s="1507"/>
      <c r="W6" s="1507"/>
      <c r="X6" s="1507"/>
      <c r="Y6" s="1507"/>
      <c r="Z6" s="1507"/>
      <c r="AA6" s="1507"/>
      <c r="AB6" s="1507"/>
      <c r="AC6" s="1507"/>
      <c r="AD6" s="1507"/>
      <c r="AE6" s="1507"/>
      <c r="AF6" s="1507"/>
      <c r="AG6" s="1507"/>
      <c r="AH6" s="1507"/>
      <c r="AI6" s="1507"/>
      <c r="AJ6" s="1507"/>
      <c r="AK6" s="1507"/>
      <c r="AL6" s="1507"/>
      <c r="AM6" s="1606"/>
      <c r="AN6" s="1606"/>
      <c r="AO6" s="548"/>
      <c r="AP6" s="548"/>
    </row>
    <row r="7" spans="1:42" s="75" customFormat="1" ht="12.75" customHeight="1">
      <c r="A7" s="1724" t="s">
        <v>40</v>
      </c>
      <c r="B7" s="1724"/>
      <c r="C7" s="1724"/>
      <c r="D7" s="1724"/>
      <c r="E7" s="1724"/>
      <c r="F7" s="1724"/>
      <c r="G7" s="1724"/>
      <c r="H7" s="1724"/>
      <c r="I7" s="1724"/>
      <c r="J7" s="1724"/>
      <c r="K7" s="1724"/>
      <c r="L7" s="1724"/>
      <c r="M7" s="1724"/>
      <c r="N7" s="1724"/>
      <c r="O7" s="1724"/>
      <c r="P7" s="1724"/>
      <c r="Q7" s="1724"/>
      <c r="R7" s="1724"/>
      <c r="S7" s="1724"/>
      <c r="T7" s="1724"/>
      <c r="U7" s="1507"/>
      <c r="V7" s="1507"/>
      <c r="W7" s="1507"/>
      <c r="X7" s="1507"/>
      <c r="Y7" s="1507"/>
      <c r="Z7" s="1507"/>
      <c r="AA7" s="1507"/>
      <c r="AB7" s="1507"/>
      <c r="AC7" s="1507"/>
      <c r="AD7" s="1507"/>
      <c r="AE7" s="1507"/>
      <c r="AF7" s="1507"/>
      <c r="AG7" s="1507"/>
      <c r="AH7" s="1507"/>
      <c r="AI7" s="1507"/>
      <c r="AJ7" s="1507"/>
      <c r="AK7" s="1507"/>
      <c r="AL7" s="1507"/>
      <c r="AM7" s="1606"/>
      <c r="AN7" s="1606"/>
      <c r="AO7" s="548"/>
      <c r="AP7" s="548"/>
    </row>
    <row r="8" spans="1:42" ht="19.5" customHeight="1">
      <c r="A8" s="1725" t="s">
        <v>606</v>
      </c>
      <c r="B8" s="1725"/>
      <c r="C8" s="1725"/>
      <c r="D8" s="1725"/>
      <c r="E8" s="1725"/>
      <c r="F8" s="1725"/>
      <c r="G8" s="1725"/>
      <c r="H8" s="1725"/>
      <c r="I8" s="1725"/>
      <c r="J8" s="1725"/>
      <c r="K8" s="1725"/>
      <c r="L8" s="1725"/>
      <c r="M8" s="1725"/>
      <c r="N8" s="1725"/>
      <c r="O8" s="1725"/>
      <c r="P8" s="1725"/>
      <c r="Q8" s="1725"/>
      <c r="R8" s="1725"/>
      <c r="S8" s="1725"/>
      <c r="T8" s="1725"/>
      <c r="U8" s="1726"/>
      <c r="V8" s="1726"/>
      <c r="W8" s="1726"/>
      <c r="X8" s="1726"/>
      <c r="Y8" s="1726"/>
      <c r="Z8" s="1726"/>
      <c r="AA8" s="1726"/>
      <c r="AB8" s="1726"/>
      <c r="AC8" s="1726"/>
      <c r="AD8" s="1726"/>
      <c r="AE8" s="1726"/>
      <c r="AF8" s="1726"/>
      <c r="AG8" s="1726"/>
      <c r="AH8" s="1726"/>
      <c r="AI8" s="1726"/>
      <c r="AJ8" s="1726"/>
      <c r="AK8" s="1726"/>
      <c r="AL8" s="1726"/>
      <c r="AM8" s="1723"/>
      <c r="AN8" s="1723"/>
      <c r="AO8" s="564"/>
      <c r="AP8" s="564"/>
    </row>
    <row r="9" spans="1:42" ht="13.5" thickBot="1">
      <c r="A9" s="707" t="s">
        <v>516</v>
      </c>
      <c r="B9" s="943"/>
      <c r="C9" s="943"/>
      <c r="D9" s="943"/>
      <c r="E9" s="943"/>
      <c r="F9" s="943"/>
      <c r="G9" s="943"/>
      <c r="H9" s="943"/>
      <c r="I9" s="943"/>
      <c r="J9" s="943"/>
      <c r="K9" s="943"/>
      <c r="L9" s="943"/>
      <c r="M9" s="943"/>
      <c r="N9" s="943"/>
      <c r="O9" s="943"/>
      <c r="P9" s="943"/>
      <c r="Q9" s="943"/>
      <c r="R9" s="943"/>
      <c r="S9" s="943"/>
      <c r="T9" s="943"/>
      <c r="U9" s="943"/>
      <c r="V9" s="943"/>
      <c r="W9" s="548"/>
      <c r="X9" s="548"/>
      <c r="Y9" s="548"/>
      <c r="Z9" s="548"/>
      <c r="AA9" s="548"/>
      <c r="AB9" s="548"/>
      <c r="AC9" s="548"/>
      <c r="AD9" s="548"/>
      <c r="AE9" s="548"/>
      <c r="AF9" s="548"/>
      <c r="AG9" s="548"/>
      <c r="AH9" s="548"/>
      <c r="AI9" s="548"/>
      <c r="AJ9" s="548"/>
      <c r="AK9" s="548"/>
      <c r="AL9" s="548"/>
      <c r="AM9" s="564"/>
      <c r="AN9" s="564"/>
      <c r="AO9" s="564"/>
      <c r="AP9" s="564"/>
    </row>
    <row r="10" spans="1:42">
      <c r="A10" s="1711" t="s">
        <v>517</v>
      </c>
      <c r="B10" s="1705"/>
      <c r="C10" s="1705"/>
      <c r="D10" s="1705"/>
      <c r="E10" s="1705"/>
      <c r="F10" s="1705"/>
      <c r="G10" s="1705"/>
      <c r="H10" s="1705"/>
      <c r="I10" s="1705"/>
      <c r="J10" s="1705"/>
      <c r="K10" s="1705"/>
      <c r="L10" s="1705"/>
      <c r="M10" s="1705"/>
      <c r="N10" s="1705"/>
      <c r="O10" s="1705"/>
      <c r="P10" s="1705"/>
      <c r="Q10" s="1705"/>
      <c r="R10" s="1705"/>
      <c r="S10" s="1705"/>
      <c r="T10" s="1705"/>
      <c r="U10" s="1709">
        <v>2000</v>
      </c>
      <c r="V10" s="1709">
        <v>2001</v>
      </c>
      <c r="W10" s="1709">
        <v>2002</v>
      </c>
      <c r="X10" s="1709">
        <v>2003</v>
      </c>
      <c r="Y10" s="1709">
        <v>2004</v>
      </c>
      <c r="Z10" s="1709">
        <v>2005</v>
      </c>
      <c r="AA10" s="1709">
        <v>2006</v>
      </c>
      <c r="AB10" s="1709">
        <v>2007</v>
      </c>
      <c r="AC10" s="1709">
        <v>2008</v>
      </c>
      <c r="AD10" s="1709">
        <v>2009</v>
      </c>
      <c r="AE10" s="1709">
        <v>2010</v>
      </c>
      <c r="AF10" s="1709">
        <v>2011</v>
      </c>
      <c r="AG10" s="1709">
        <v>2012</v>
      </c>
      <c r="AH10" s="1709">
        <v>2013</v>
      </c>
      <c r="AI10" s="1709">
        <v>2014</v>
      </c>
      <c r="AJ10" s="1709">
        <v>2015</v>
      </c>
      <c r="AK10" s="1709">
        <v>2016</v>
      </c>
      <c r="AL10" s="1709">
        <v>2017</v>
      </c>
      <c r="AM10" s="1709">
        <v>2018</v>
      </c>
      <c r="AN10" s="1709">
        <v>2019</v>
      </c>
      <c r="AO10" s="1709">
        <v>2020</v>
      </c>
      <c r="AP10" s="1709">
        <v>2021</v>
      </c>
    </row>
    <row r="11" spans="1:42" ht="13.5" thickBot="1">
      <c r="A11" s="1712"/>
      <c r="B11" s="1706"/>
      <c r="C11" s="1706"/>
      <c r="D11" s="1706"/>
      <c r="E11" s="1706"/>
      <c r="F11" s="1706"/>
      <c r="G11" s="1706"/>
      <c r="H11" s="1706"/>
      <c r="I11" s="1706"/>
      <c r="J11" s="1706"/>
      <c r="K11" s="1706"/>
      <c r="L11" s="1706"/>
      <c r="M11" s="1706"/>
      <c r="N11" s="1706"/>
      <c r="O11" s="1706"/>
      <c r="P11" s="1706"/>
      <c r="Q11" s="1706"/>
      <c r="R11" s="1706"/>
      <c r="S11" s="1706"/>
      <c r="T11" s="1706"/>
      <c r="U11" s="1710"/>
      <c r="V11" s="1713"/>
      <c r="W11" s="1710"/>
      <c r="X11" s="1710"/>
      <c r="Y11" s="1710"/>
      <c r="Z11" s="1710"/>
      <c r="AA11" s="1710"/>
      <c r="AB11" s="1710"/>
      <c r="AC11" s="1710"/>
      <c r="AD11" s="1710"/>
      <c r="AE11" s="1710"/>
      <c r="AF11" s="1710"/>
      <c r="AG11" s="1710"/>
      <c r="AH11" s="1710"/>
      <c r="AI11" s="1710"/>
      <c r="AJ11" s="1710"/>
      <c r="AK11" s="1710"/>
      <c r="AL11" s="1710"/>
      <c r="AM11" s="1710"/>
      <c r="AN11" s="1710"/>
      <c r="AO11" s="1710"/>
      <c r="AP11" s="1710"/>
    </row>
    <row r="12" spans="1:42">
      <c r="A12" s="889" t="s">
        <v>41</v>
      </c>
      <c r="B12" s="944"/>
      <c r="C12" s="944"/>
      <c r="D12" s="944"/>
      <c r="E12" s="944"/>
      <c r="F12" s="944"/>
      <c r="G12" s="944"/>
      <c r="H12" s="944"/>
      <c r="I12" s="944"/>
      <c r="J12" s="944"/>
      <c r="K12" s="944"/>
      <c r="L12" s="944"/>
      <c r="M12" s="944"/>
      <c r="N12" s="944"/>
      <c r="O12" s="944"/>
      <c r="P12" s="944"/>
      <c r="Q12" s="944"/>
      <c r="R12" s="944"/>
      <c r="S12" s="944"/>
      <c r="T12" s="945"/>
      <c r="U12" s="951" t="s">
        <v>541</v>
      </c>
      <c r="V12" s="951">
        <v>14.916000000000002</v>
      </c>
      <c r="W12" s="951">
        <v>13.374000000000001</v>
      </c>
      <c r="X12" s="951">
        <v>16.342500000000001</v>
      </c>
      <c r="Y12" s="708">
        <v>16.8</v>
      </c>
      <c r="Z12" s="951">
        <v>19.8</v>
      </c>
      <c r="AA12" s="708">
        <v>23.31</v>
      </c>
      <c r="AB12" s="951">
        <v>23.62</v>
      </c>
      <c r="AC12" s="708">
        <v>29.55</v>
      </c>
      <c r="AD12" s="951">
        <v>22.86</v>
      </c>
      <c r="AE12" s="708">
        <v>29.62</v>
      </c>
      <c r="AF12" s="951">
        <v>32.177500000000002</v>
      </c>
      <c r="AG12" s="708">
        <v>33.875999999999998</v>
      </c>
      <c r="AH12" s="951">
        <f>+'Gasolinas 2013'!B14</f>
        <v>34.431529411764714</v>
      </c>
      <c r="AI12" s="708">
        <v>35.26</v>
      </c>
      <c r="AJ12" s="951">
        <f>+'Gasolinas 2015'!B15</f>
        <v>22.355</v>
      </c>
      <c r="AK12" s="708">
        <f>+'Gasolinas 2016'!B13</f>
        <v>21.004999999999999</v>
      </c>
      <c r="AL12" s="951">
        <f>+'Gasolinas 2017'!B14</f>
        <v>25.31</v>
      </c>
      <c r="AM12" s="951">
        <f>+'Gasolinas 2018'!B14</f>
        <v>26.466000000000001</v>
      </c>
      <c r="AN12" s="951">
        <f>+'Gasolinas 2019'!B14</f>
        <v>23.723999999999997</v>
      </c>
      <c r="AO12" s="951">
        <f>+'Gasolinas 2020'!B13</f>
        <v>26.17</v>
      </c>
      <c r="AP12" s="951">
        <v>24.337499999999999</v>
      </c>
    </row>
    <row r="13" spans="1:42">
      <c r="A13" s="546" t="s">
        <v>42</v>
      </c>
      <c r="B13" s="944"/>
      <c r="C13" s="944"/>
      <c r="D13" s="944"/>
      <c r="E13" s="944"/>
      <c r="F13" s="944"/>
      <c r="G13" s="944"/>
      <c r="H13" s="944"/>
      <c r="I13" s="944"/>
      <c r="J13" s="944"/>
      <c r="K13" s="944"/>
      <c r="L13" s="944"/>
      <c r="M13" s="944"/>
      <c r="N13" s="944"/>
      <c r="O13" s="944"/>
      <c r="P13" s="944"/>
      <c r="Q13" s="944"/>
      <c r="R13" s="944"/>
      <c r="S13" s="944"/>
      <c r="T13" s="945"/>
      <c r="U13" s="897" t="s">
        <v>541</v>
      </c>
      <c r="V13" s="897">
        <v>15.172499999999999</v>
      </c>
      <c r="W13" s="897">
        <v>13.225</v>
      </c>
      <c r="X13" s="897">
        <v>17.204999999999998</v>
      </c>
      <c r="Y13" s="708">
        <v>18.052499999999998</v>
      </c>
      <c r="Z13" s="897">
        <v>19.252500000000001</v>
      </c>
      <c r="AA13" s="708">
        <v>22.975000000000001</v>
      </c>
      <c r="AB13" s="897">
        <v>22.65</v>
      </c>
      <c r="AC13" s="708">
        <v>29.45</v>
      </c>
      <c r="AD13" s="897">
        <v>22.71</v>
      </c>
      <c r="AE13" s="708">
        <v>29.135000000000002</v>
      </c>
      <c r="AF13" s="897">
        <v>32.9</v>
      </c>
      <c r="AG13" s="708">
        <v>36.18</v>
      </c>
      <c r="AH13" s="897">
        <f>+'Gasolinas 2013'!B19</f>
        <v>36.307500000000005</v>
      </c>
      <c r="AI13" s="708">
        <v>34.457499999999996</v>
      </c>
      <c r="AJ13" s="897">
        <f>+'Gasolinas 2015'!B21</f>
        <v>25.92</v>
      </c>
      <c r="AK13" s="708">
        <f>+'Gasolinas 2016'!B19</f>
        <v>20.032</v>
      </c>
      <c r="AL13" s="897">
        <f>+'Gasolinas 2017'!B19</f>
        <v>24.505000000000003</v>
      </c>
      <c r="AM13" s="897">
        <f>+'Gasolinas 2018'!B19</f>
        <v>26.265000000000001</v>
      </c>
      <c r="AN13" s="897">
        <f>+'Gasolinas 2019'!B19</f>
        <v>24.538250000000001</v>
      </c>
      <c r="AO13" s="897">
        <f>+'Gasolinas 2020'!B18</f>
        <v>25.114999999999998</v>
      </c>
      <c r="AP13" s="897">
        <f>+'[6]Gasolineras 2022'!B19</f>
        <v>34.552499999999995</v>
      </c>
    </row>
    <row r="14" spans="1:42">
      <c r="A14" s="546" t="s">
        <v>43</v>
      </c>
      <c r="B14" s="944"/>
      <c r="C14" s="944"/>
      <c r="D14" s="944"/>
      <c r="E14" s="944"/>
      <c r="F14" s="944"/>
      <c r="G14" s="944"/>
      <c r="H14" s="944"/>
      <c r="I14" s="944"/>
      <c r="J14" s="944"/>
      <c r="K14" s="944"/>
      <c r="L14" s="944"/>
      <c r="M14" s="944"/>
      <c r="N14" s="944"/>
      <c r="O14" s="944"/>
      <c r="P14" s="944"/>
      <c r="Q14" s="944"/>
      <c r="R14" s="944"/>
      <c r="S14" s="944"/>
      <c r="T14" s="945"/>
      <c r="U14" s="897" t="s">
        <v>541</v>
      </c>
      <c r="V14" s="897">
        <v>14.97</v>
      </c>
      <c r="W14" s="897">
        <v>13.6275</v>
      </c>
      <c r="X14" s="897">
        <v>18.3</v>
      </c>
      <c r="Y14" s="708">
        <v>18.68</v>
      </c>
      <c r="Z14" s="897">
        <v>20.454999999999998</v>
      </c>
      <c r="AA14" s="708">
        <v>22.85</v>
      </c>
      <c r="AB14" s="897">
        <v>23.997499999999999</v>
      </c>
      <c r="AC14" s="708">
        <v>30.832000000000001</v>
      </c>
      <c r="AD14" s="897">
        <v>22.385999999999999</v>
      </c>
      <c r="AE14" s="708">
        <v>30.712</v>
      </c>
      <c r="AF14" s="897">
        <v>35.590000000000003</v>
      </c>
      <c r="AG14" s="708">
        <v>37.537500000000001</v>
      </c>
      <c r="AH14" s="897">
        <f>+'Gasolinas 2013'!B24</f>
        <v>36.655000000000001</v>
      </c>
      <c r="AI14" s="708">
        <v>34.805999999999997</v>
      </c>
      <c r="AJ14" s="897">
        <f>+'Gasolinas 2015'!B26</f>
        <v>26.0548</v>
      </c>
      <c r="AK14" s="708">
        <f>+'Gasolinas 2016'!B24</f>
        <v>26.207500000000003</v>
      </c>
      <c r="AL14" s="897">
        <f>+'Gasolinas 2017'!B24</f>
        <v>27.5275</v>
      </c>
      <c r="AM14" s="897">
        <f>+'Gasolinas 2018'!B24</f>
        <v>29.462499999999999</v>
      </c>
      <c r="AN14" s="897">
        <f>+'Gasolinas 2019'!B24</f>
        <v>29.717500000000001</v>
      </c>
      <c r="AO14" s="897">
        <f>+'Gasolinas 2020'!B24</f>
        <v>24.146000000000001</v>
      </c>
      <c r="AP14" s="897"/>
    </row>
    <row r="15" spans="1:42">
      <c r="A15" s="546" t="s">
        <v>44</v>
      </c>
      <c r="B15" s="944"/>
      <c r="C15" s="944"/>
      <c r="D15" s="944"/>
      <c r="E15" s="944"/>
      <c r="F15" s="944"/>
      <c r="G15" s="944"/>
      <c r="H15" s="944"/>
      <c r="I15" s="944"/>
      <c r="J15" s="944"/>
      <c r="K15" s="944"/>
      <c r="L15" s="944"/>
      <c r="M15" s="944"/>
      <c r="N15" s="944"/>
      <c r="O15" s="944"/>
      <c r="P15" s="944"/>
      <c r="Q15" s="944"/>
      <c r="R15" s="944"/>
      <c r="S15" s="944"/>
      <c r="T15" s="945"/>
      <c r="U15" s="897" t="s">
        <v>541</v>
      </c>
      <c r="V15" s="897">
        <v>14.9125</v>
      </c>
      <c r="W15" s="897">
        <v>15.181999999999999</v>
      </c>
      <c r="X15" s="897">
        <v>17.414999999999999</v>
      </c>
      <c r="Y15" s="708">
        <v>19.16</v>
      </c>
      <c r="Z15" s="897">
        <v>22.695</v>
      </c>
      <c r="AA15" s="708">
        <v>25.357500000000002</v>
      </c>
      <c r="AB15" s="897">
        <v>26.3475</v>
      </c>
      <c r="AC15" s="708">
        <v>32.452500000000001</v>
      </c>
      <c r="AD15" s="897">
        <v>23.045000000000002</v>
      </c>
      <c r="AE15" s="708">
        <v>31.875</v>
      </c>
      <c r="AF15" s="897">
        <v>36.427500000000002</v>
      </c>
      <c r="AG15" s="708">
        <v>38.4</v>
      </c>
      <c r="AH15" s="897">
        <f>+'Gasolinas 2013'!B29</f>
        <v>34.81</v>
      </c>
      <c r="AI15" s="708">
        <v>35.657499999999999</v>
      </c>
      <c r="AJ15" s="897">
        <f>+'Gasolinas 2015'!B31</f>
        <v>35.83</v>
      </c>
      <c r="AK15" s="708">
        <f>+'Gasolinas 2016'!B28</f>
        <v>22.893333333333334</v>
      </c>
      <c r="AL15" s="897">
        <f>+'Gasolinas 2017'!B29</f>
        <v>24.805</v>
      </c>
      <c r="AM15" s="897">
        <f>+'Gasolinas 2018'!B29</f>
        <v>26.914999999999999</v>
      </c>
      <c r="AN15" s="897">
        <f>+'Gasolinas 2019'!B30</f>
        <v>36.58</v>
      </c>
      <c r="AO15" s="897">
        <f>+'Gasolinas 2020'!B29</f>
        <v>19.442500000000003</v>
      </c>
      <c r="AP15" s="897"/>
    </row>
    <row r="16" spans="1:42">
      <c r="A16" s="546" t="s">
        <v>45</v>
      </c>
      <c r="B16" s="944"/>
      <c r="C16" s="944"/>
      <c r="D16" s="944"/>
      <c r="E16" s="944"/>
      <c r="F16" s="944"/>
      <c r="G16" s="944"/>
      <c r="H16" s="944"/>
      <c r="I16" s="944"/>
      <c r="J16" s="944"/>
      <c r="K16" s="944"/>
      <c r="L16" s="944"/>
      <c r="M16" s="944"/>
      <c r="N16" s="944"/>
      <c r="O16" s="944"/>
      <c r="P16" s="944"/>
      <c r="Q16" s="944"/>
      <c r="R16" s="944"/>
      <c r="S16" s="944"/>
      <c r="T16" s="945"/>
      <c r="U16" s="897" t="s">
        <v>541</v>
      </c>
      <c r="V16" s="897">
        <v>16.256666666666671</v>
      </c>
      <c r="W16" s="897">
        <v>15.1875</v>
      </c>
      <c r="X16" s="897">
        <v>16.475000000000001</v>
      </c>
      <c r="Y16" s="708">
        <v>19.484000000000002</v>
      </c>
      <c r="Z16" s="897">
        <v>23.21</v>
      </c>
      <c r="AA16" s="708">
        <v>27.681999999999999</v>
      </c>
      <c r="AB16" s="897">
        <v>28.395999999999997</v>
      </c>
      <c r="AC16" s="708">
        <v>33.927500000000002</v>
      </c>
      <c r="AD16" s="897">
        <v>24.2425</v>
      </c>
      <c r="AE16" s="708">
        <v>30.92</v>
      </c>
      <c r="AF16" s="897">
        <v>36.328000000000003</v>
      </c>
      <c r="AG16" s="708">
        <v>36.5</v>
      </c>
      <c r="AH16" s="897">
        <f>+'Gasolinas 2013'!B34</f>
        <v>34.86</v>
      </c>
      <c r="AI16" s="708">
        <f>+'Gasolinas 2014'!B34</f>
        <v>34.86</v>
      </c>
      <c r="AJ16" s="897">
        <f>+'Gasolinas 2015'!B36</f>
        <v>33.042499999999997</v>
      </c>
      <c r="AK16" s="708">
        <f>+'Gasolinas 2016'!B34</f>
        <v>34.86</v>
      </c>
      <c r="AL16" s="897">
        <f>+'Gasolinas 2017'!B35</f>
        <v>35.429999999999993</v>
      </c>
      <c r="AM16" s="897">
        <f>+'Gasolinas 2018'!B35</f>
        <v>35.429999999999993</v>
      </c>
      <c r="AN16" s="897">
        <f>+'Gasolinas 2019'!B35</f>
        <v>35.142499999999998</v>
      </c>
      <c r="AO16" s="897">
        <f>+'Gasolinas 2020'!B34</f>
        <v>19.362500000000001</v>
      </c>
      <c r="AP16" s="897"/>
    </row>
    <row r="17" spans="1:45">
      <c r="A17" s="546" t="s">
        <v>46</v>
      </c>
      <c r="B17" s="944"/>
      <c r="C17" s="944"/>
      <c r="D17" s="944"/>
      <c r="E17" s="944"/>
      <c r="F17" s="944"/>
      <c r="G17" s="944"/>
      <c r="H17" s="944"/>
      <c r="I17" s="944"/>
      <c r="J17" s="944"/>
      <c r="K17" s="944"/>
      <c r="L17" s="944"/>
      <c r="M17" s="944"/>
      <c r="N17" s="944"/>
      <c r="O17" s="944"/>
      <c r="P17" s="944"/>
      <c r="Q17" s="944"/>
      <c r="R17" s="944"/>
      <c r="S17" s="944"/>
      <c r="T17" s="945"/>
      <c r="U17" s="897" t="s">
        <v>541</v>
      </c>
      <c r="V17" s="897">
        <v>16.309999999999999</v>
      </c>
      <c r="W17" s="897">
        <v>15.0525</v>
      </c>
      <c r="X17" s="897">
        <v>15.68</v>
      </c>
      <c r="Y17" s="708">
        <v>19.899999999999999</v>
      </c>
      <c r="Z17" s="897">
        <v>22.982500000000002</v>
      </c>
      <c r="AA17" s="708">
        <v>27.44</v>
      </c>
      <c r="AB17" s="897">
        <v>29.497499999999999</v>
      </c>
      <c r="AC17" s="708">
        <v>36.384999999999998</v>
      </c>
      <c r="AD17" s="897">
        <v>25.15</v>
      </c>
      <c r="AE17" s="708">
        <v>29.192499999999999</v>
      </c>
      <c r="AF17" s="897">
        <v>35.592500000000001</v>
      </c>
      <c r="AG17" s="708">
        <v>35.592500000000001</v>
      </c>
      <c r="AH17" s="897">
        <f>+'Gasolinas 2013'!B39</f>
        <v>34.842500000000001</v>
      </c>
      <c r="AI17" s="708">
        <f>+'Gasolinas 2014'!B39</f>
        <v>35.897499999999994</v>
      </c>
      <c r="AJ17" s="897">
        <f>+'Gasolinas 2015'!B41</f>
        <v>27.84</v>
      </c>
      <c r="AK17" s="708">
        <f>+'Gasolinas 2016'!B39</f>
        <v>24.310000000000002</v>
      </c>
      <c r="AL17" s="897">
        <f>+'Gasolinas 2017'!B40</f>
        <v>23.934999999999999</v>
      </c>
      <c r="AM17" s="897">
        <f>+'Gasolinas 2018'!B40</f>
        <v>28.602499999999999</v>
      </c>
      <c r="AN17" s="897">
        <f>+'Gasolinas 2019'!B40</f>
        <v>27.089999999999996</v>
      </c>
      <c r="AO17" s="897">
        <f>+'Gasolinas 2020'!B40</f>
        <v>21.57</v>
      </c>
      <c r="AP17" s="897"/>
    </row>
    <row r="18" spans="1:45">
      <c r="A18" s="546" t="s">
        <v>47</v>
      </c>
      <c r="B18" s="944"/>
      <c r="C18" s="944"/>
      <c r="D18" s="944"/>
      <c r="E18" s="944"/>
      <c r="F18" s="944"/>
      <c r="G18" s="944"/>
      <c r="H18" s="944"/>
      <c r="I18" s="944"/>
      <c r="J18" s="944"/>
      <c r="K18" s="944"/>
      <c r="L18" s="944"/>
      <c r="M18" s="944"/>
      <c r="N18" s="944"/>
      <c r="O18" s="944"/>
      <c r="P18" s="944"/>
      <c r="Q18" s="944"/>
      <c r="R18" s="944"/>
      <c r="S18" s="944"/>
      <c r="T18" s="946"/>
      <c r="U18" s="897" t="s">
        <v>541</v>
      </c>
      <c r="V18" s="897">
        <v>15.528</v>
      </c>
      <c r="W18" s="897">
        <v>15.556000000000001</v>
      </c>
      <c r="X18" s="897">
        <v>15.584</v>
      </c>
      <c r="Y18" s="708">
        <v>19.850000000000001</v>
      </c>
      <c r="Z18" s="897">
        <v>23.077500000000001</v>
      </c>
      <c r="AA18" s="708">
        <v>27.27</v>
      </c>
      <c r="AB18" s="897">
        <v>29.192499999999999</v>
      </c>
      <c r="AC18" s="708">
        <v>37.254000000000005</v>
      </c>
      <c r="AD18" s="897">
        <v>27.73</v>
      </c>
      <c r="AE18" s="708">
        <v>28.947500000000002</v>
      </c>
      <c r="AF18" s="897">
        <v>36.04</v>
      </c>
      <c r="AG18" s="708">
        <v>35.573999999999998</v>
      </c>
      <c r="AH18" s="897">
        <f>+'Gasolinas 2013'!B83</f>
        <v>36.275999999999996</v>
      </c>
      <c r="AI18" s="708">
        <f>+'Gasolinas 2014'!B45</f>
        <v>36.130000000000003</v>
      </c>
      <c r="AJ18" s="897">
        <f>+'Gasolinas 2015'!B47</f>
        <v>27.744</v>
      </c>
      <c r="AK18" s="708"/>
      <c r="AL18" s="897">
        <f>+'Gasolinas 2017'!B46</f>
        <v>23.804000000000002</v>
      </c>
      <c r="AM18" s="897">
        <f>+'Gasolinas 2018'!B46</f>
        <v>28.54</v>
      </c>
      <c r="AN18" s="897">
        <f>+'Gasolinas 2019'!B46</f>
        <v>27.748000000000001</v>
      </c>
      <c r="AO18" s="897">
        <f>+'Gasolinas 2020'!B45</f>
        <v>23.177500000000002</v>
      </c>
      <c r="AP18" s="897"/>
    </row>
    <row r="19" spans="1:45">
      <c r="A19" s="546" t="s">
        <v>48</v>
      </c>
      <c r="B19" s="944"/>
      <c r="C19" s="944"/>
      <c r="D19" s="944"/>
      <c r="E19" s="944"/>
      <c r="F19" s="944"/>
      <c r="G19" s="944"/>
      <c r="H19" s="944"/>
      <c r="I19" s="944"/>
      <c r="J19" s="944"/>
      <c r="K19" s="944"/>
      <c r="L19" s="944"/>
      <c r="M19" s="944"/>
      <c r="N19" s="944"/>
      <c r="O19" s="944"/>
      <c r="P19" s="944"/>
      <c r="Q19" s="944"/>
      <c r="R19" s="944"/>
      <c r="S19" s="944"/>
      <c r="T19" s="945"/>
      <c r="U19" s="897" t="s">
        <v>541</v>
      </c>
      <c r="V19" s="897">
        <v>14.748000000000001</v>
      </c>
      <c r="W19" s="897">
        <v>16.3125</v>
      </c>
      <c r="X19" s="897">
        <v>16.055</v>
      </c>
      <c r="Y19" s="708">
        <v>19.690000000000001</v>
      </c>
      <c r="Z19" s="897">
        <v>23.632000000000001</v>
      </c>
      <c r="AA19" s="708">
        <v>28.83</v>
      </c>
      <c r="AB19" s="897">
        <v>28.472000000000001</v>
      </c>
      <c r="AC19" s="708">
        <v>36.619999999999997</v>
      </c>
      <c r="AD19" s="897">
        <v>27.927999999999997</v>
      </c>
      <c r="AE19" s="708">
        <v>29.24</v>
      </c>
      <c r="AF19" s="897">
        <v>35.853999999999999</v>
      </c>
      <c r="AG19" s="708">
        <f>+'Gasolinas 2012'!B88</f>
        <v>36.3125</v>
      </c>
      <c r="AH19" s="897">
        <f>+'Gasolinas 2013'!B88</f>
        <v>36.905000000000001</v>
      </c>
      <c r="AI19" s="708">
        <f>+'Gasolinas 2014'!B50</f>
        <v>34.512500000000003</v>
      </c>
      <c r="AJ19" s="897">
        <f>+'Gasolinas 2015'!B53</f>
        <v>25.812000000000001</v>
      </c>
      <c r="AK19" s="708">
        <f>+'Gasolinas 2016'!B50</f>
        <v>22.988</v>
      </c>
      <c r="AL19" s="897">
        <f>+'Gasolinas 2017'!B51</f>
        <v>24.377500000000001</v>
      </c>
      <c r="AM19" s="897">
        <f>+'Gasolinas 2018'!B51</f>
        <v>28.6</v>
      </c>
      <c r="AN19" s="897">
        <f>+'Gasolinas 2019'!B51</f>
        <v>26.687500000000004</v>
      </c>
      <c r="AO19" s="897">
        <v>22.76</v>
      </c>
      <c r="AP19" s="897"/>
    </row>
    <row r="20" spans="1:45">
      <c r="A20" s="546" t="s">
        <v>49</v>
      </c>
      <c r="B20" s="944"/>
      <c r="C20" s="944"/>
      <c r="D20" s="944"/>
      <c r="E20" s="944"/>
      <c r="F20" s="944"/>
      <c r="G20" s="944"/>
      <c r="H20" s="944"/>
      <c r="I20" s="944"/>
      <c r="J20" s="944"/>
      <c r="K20" s="944"/>
      <c r="L20" s="944"/>
      <c r="M20" s="944"/>
      <c r="N20" s="944"/>
      <c r="O20" s="944"/>
      <c r="P20" s="944"/>
      <c r="Q20" s="944"/>
      <c r="R20" s="944"/>
      <c r="S20" s="946"/>
      <c r="T20" s="947"/>
      <c r="U20" s="897" t="s">
        <v>541</v>
      </c>
      <c r="V20" s="897">
        <v>14.952500000000001</v>
      </c>
      <c r="W20" s="897">
        <v>16.225999999999999</v>
      </c>
      <c r="X20" s="897">
        <v>17.510000000000002</v>
      </c>
      <c r="Y20" s="708">
        <v>19.504999999999999</v>
      </c>
      <c r="Z20" s="897">
        <v>25.797499999999999</v>
      </c>
      <c r="AA20" s="708">
        <v>27.7225</v>
      </c>
      <c r="AB20" s="897">
        <v>27.81</v>
      </c>
      <c r="AC20" s="708">
        <v>35.874000000000002</v>
      </c>
      <c r="AD20" s="897">
        <v>28.002500000000001</v>
      </c>
      <c r="AE20" s="708">
        <v>28.022500000000001</v>
      </c>
      <c r="AF20" s="897">
        <v>35.607500000000002</v>
      </c>
      <c r="AG20" s="708">
        <f>+'Gasolinas 2012'!B93</f>
        <v>38.44</v>
      </c>
      <c r="AH20" s="897">
        <f>+'Gasolinas 2013'!B94</f>
        <v>36.543999999999997</v>
      </c>
      <c r="AI20" s="708">
        <f>+'Gasolinas 2014'!B56</f>
        <v>33.631999999999998</v>
      </c>
      <c r="AJ20" s="897">
        <f>+'Gasolinas 2015'!B58</f>
        <v>23.8325</v>
      </c>
      <c r="AK20" s="708">
        <f>+'Gasolinas 2016'!B55</f>
        <v>23.669999999999998</v>
      </c>
      <c r="AL20" s="897">
        <f>+'Gasolinas 2017'!B56</f>
        <v>25.924999999999997</v>
      </c>
      <c r="AM20" s="897">
        <f>+'Gasolinas 2018'!B56</f>
        <v>28.857500000000002</v>
      </c>
      <c r="AN20" s="897">
        <f>+'Gasolinas 2019'!B57</f>
        <v>26.534000000000002</v>
      </c>
      <c r="AO20" s="897">
        <f>+'Gasolinas 2020'!B56</f>
        <v>22.634999999999998</v>
      </c>
      <c r="AP20" s="897"/>
      <c r="AQ20" s="190"/>
      <c r="AR20" s="190"/>
      <c r="AS20" s="190"/>
    </row>
    <row r="21" spans="1:45">
      <c r="A21" s="546" t="s">
        <v>50</v>
      </c>
      <c r="B21" s="944"/>
      <c r="C21" s="944"/>
      <c r="D21" s="944"/>
      <c r="E21" s="944"/>
      <c r="F21" s="944"/>
      <c r="G21" s="944"/>
      <c r="H21" s="944"/>
      <c r="I21" s="944"/>
      <c r="J21" s="944"/>
      <c r="K21" s="944"/>
      <c r="L21" s="944"/>
      <c r="M21" s="944"/>
      <c r="N21" s="944"/>
      <c r="O21" s="944"/>
      <c r="P21" s="944"/>
      <c r="Q21" s="944"/>
      <c r="R21" s="944"/>
      <c r="S21" s="946"/>
      <c r="T21" s="945"/>
      <c r="U21" s="897" t="s">
        <v>541</v>
      </c>
      <c r="V21" s="897">
        <v>14.942000000000002</v>
      </c>
      <c r="W21" s="897">
        <v>16.62</v>
      </c>
      <c r="X21" s="897">
        <v>17.2</v>
      </c>
      <c r="Y21" s="708">
        <v>20.135000000000002</v>
      </c>
      <c r="Z21" s="897">
        <v>27.832000000000001</v>
      </c>
      <c r="AA21" s="708">
        <v>25.43</v>
      </c>
      <c r="AB21" s="897">
        <v>28.118000000000002</v>
      </c>
      <c r="AC21" s="708">
        <v>32.482500000000002</v>
      </c>
      <c r="AD21" s="897">
        <v>27.357500000000002</v>
      </c>
      <c r="AE21" s="708">
        <v>29.908000000000005</v>
      </c>
      <c r="AF21" s="897">
        <v>35.004000000000005</v>
      </c>
      <c r="AG21" s="708">
        <f>+'Gasolinas 2012'!B99</f>
        <v>37.106000000000002</v>
      </c>
      <c r="AH21" s="897">
        <f>+'Gasolinas 2013'!B99</f>
        <v>34.564999999999998</v>
      </c>
      <c r="AI21" s="708">
        <f>+'Gasolinas 2014'!B61</f>
        <v>31.820000000000004</v>
      </c>
      <c r="AJ21" s="897">
        <f>+'Gasolinas 2015'!B63</f>
        <v>23.5</v>
      </c>
      <c r="AK21" s="708">
        <f>+'Gasolinas 2016'!B61</f>
        <v>24.006</v>
      </c>
      <c r="AL21" s="897">
        <f>+'Gasolinas 2017'!B62</f>
        <v>25.084</v>
      </c>
      <c r="AM21" s="897">
        <f>+'Gasolinas 2018'!B62</f>
        <v>29.143999999999998</v>
      </c>
      <c r="AN21" s="897">
        <f>+'Gasolinas 2019'!F62</f>
        <v>25.21</v>
      </c>
      <c r="AO21" s="897">
        <v>22.76</v>
      </c>
      <c r="AP21" s="897"/>
    </row>
    <row r="22" spans="1:45">
      <c r="A22" s="546" t="s">
        <v>51</v>
      </c>
      <c r="B22" s="944"/>
      <c r="C22" s="944"/>
      <c r="D22" s="944"/>
      <c r="E22" s="944"/>
      <c r="F22" s="944"/>
      <c r="G22" s="944"/>
      <c r="H22" s="944"/>
      <c r="I22" s="944"/>
      <c r="J22" s="944"/>
      <c r="K22" s="944"/>
      <c r="L22" s="944"/>
      <c r="M22" s="944"/>
      <c r="N22" s="944"/>
      <c r="O22" s="944"/>
      <c r="P22" s="944"/>
      <c r="Q22" s="944"/>
      <c r="R22" s="944"/>
      <c r="S22" s="944"/>
      <c r="T22" s="945"/>
      <c r="U22" s="897" t="s">
        <v>541</v>
      </c>
      <c r="V22" s="897">
        <v>14.432499999999999</v>
      </c>
      <c r="W22" s="897">
        <v>16.745000000000001</v>
      </c>
      <c r="X22" s="897">
        <v>16.815000000000001</v>
      </c>
      <c r="Y22" s="708">
        <v>21.026</v>
      </c>
      <c r="Z22" s="897">
        <v>26.6</v>
      </c>
      <c r="AA22" s="708">
        <v>23.83</v>
      </c>
      <c r="AB22" s="897">
        <v>29.15</v>
      </c>
      <c r="AC22" s="708">
        <v>27.452500000000001</v>
      </c>
      <c r="AD22" s="897">
        <v>29.173999999999999</v>
      </c>
      <c r="AE22" s="708">
        <v>30.142000000000003</v>
      </c>
      <c r="AF22" s="897">
        <v>35.43</v>
      </c>
      <c r="AG22" s="708">
        <f>+'Gasolinas 2012'!B104</f>
        <v>34.597500000000004</v>
      </c>
      <c r="AH22" s="897">
        <f>+'Gasolinas 2013'!B104</f>
        <v>33.587499999999999</v>
      </c>
      <c r="AI22" s="708">
        <f>+'Gasolinas 2014'!B66</f>
        <v>29.982500000000002</v>
      </c>
      <c r="AJ22" s="897">
        <f>+'Gasolinas 2015'!B69</f>
        <v>22.54</v>
      </c>
      <c r="AK22" s="708">
        <f>+'Gasolinas 2016'!B66</f>
        <v>23.3125</v>
      </c>
      <c r="AL22" s="897">
        <f>+'Gasolinas 2017'!B67</f>
        <v>25.982499999999998</v>
      </c>
      <c r="AM22" s="897">
        <f>+'Gasolinas 2018'!B67</f>
        <v>26.434999999999999</v>
      </c>
      <c r="AN22" s="897">
        <f>+'Gasolinas 2019'!B67</f>
        <v>26.164999999999999</v>
      </c>
      <c r="AO22" s="897">
        <v>21.762</v>
      </c>
      <c r="AP22" s="897"/>
    </row>
    <row r="23" spans="1:45" ht="13.5" thickBot="1">
      <c r="A23" s="546" t="s">
        <v>52</v>
      </c>
      <c r="B23" s="944"/>
      <c r="C23" s="944"/>
      <c r="D23" s="944"/>
      <c r="E23" s="944"/>
      <c r="F23" s="944"/>
      <c r="G23" s="944"/>
      <c r="H23" s="944"/>
      <c r="I23" s="944"/>
      <c r="J23" s="944"/>
      <c r="K23" s="944"/>
      <c r="L23" s="944"/>
      <c r="M23" s="944"/>
      <c r="N23" s="944"/>
      <c r="O23" s="944"/>
      <c r="P23" s="944"/>
      <c r="Q23" s="944"/>
      <c r="R23" s="944"/>
      <c r="S23" s="944"/>
      <c r="T23" s="945"/>
      <c r="U23" s="897" t="s">
        <v>541</v>
      </c>
      <c r="V23" s="897">
        <v>13.5725</v>
      </c>
      <c r="W23" s="897">
        <v>16.497999999999998</v>
      </c>
      <c r="X23" s="897">
        <v>16.402000000000001</v>
      </c>
      <c r="Y23" s="708">
        <v>20.704999999999998</v>
      </c>
      <c r="Z23" s="897">
        <v>23.925000000000001</v>
      </c>
      <c r="AA23" s="708">
        <v>23.8675</v>
      </c>
      <c r="AB23" s="897">
        <v>29.79</v>
      </c>
      <c r="AC23" s="708">
        <v>23.8</v>
      </c>
      <c r="AD23" s="897">
        <v>28.702500000000001</v>
      </c>
      <c r="AE23" s="708">
        <v>31.0825</v>
      </c>
      <c r="AF23" s="897">
        <v>34.087499999999999</v>
      </c>
      <c r="AG23" s="708"/>
      <c r="AH23" s="897">
        <f>+'Gasolinas 2013'!B110</f>
        <v>35.64</v>
      </c>
      <c r="AI23" s="708">
        <f>+'Gasolinas 2014'!B72</f>
        <v>26.462</v>
      </c>
      <c r="AJ23" s="897">
        <f>+'Gasolinas 2015'!B74</f>
        <v>21.635000000000002</v>
      </c>
      <c r="AK23" s="708">
        <f>+'Gasolinas 2016'!B71</f>
        <v>24.264649122807018</v>
      </c>
      <c r="AL23" s="897">
        <f>+'Gasolinas 2017'!B72</f>
        <v>25.75</v>
      </c>
      <c r="AM23" s="897">
        <f>+'Gasolinas 2018'!B72</f>
        <v>24.495000000000001</v>
      </c>
      <c r="AN23" s="897">
        <f>+'Gasolinas 2019'!B73</f>
        <v>25.963999999999999</v>
      </c>
      <c r="AO23" s="897">
        <f>+'Gasolinas 2020'!B72</f>
        <v>23.357500000000002</v>
      </c>
      <c r="AP23" s="897"/>
    </row>
    <row r="24" spans="1:45" ht="27" customHeight="1" thickBot="1">
      <c r="A24" s="952" t="s">
        <v>7</v>
      </c>
      <c r="B24" s="900"/>
      <c r="C24" s="900"/>
      <c r="D24" s="900"/>
      <c r="E24" s="900"/>
      <c r="F24" s="900"/>
      <c r="G24" s="900"/>
      <c r="H24" s="900"/>
      <c r="I24" s="900"/>
      <c r="J24" s="900"/>
      <c r="K24" s="900"/>
      <c r="L24" s="900"/>
      <c r="M24" s="900"/>
      <c r="N24" s="900"/>
      <c r="O24" s="900"/>
      <c r="P24" s="900"/>
      <c r="Q24" s="900"/>
      <c r="R24" s="900"/>
      <c r="S24" s="900"/>
      <c r="T24" s="900"/>
      <c r="U24" s="953" t="s">
        <v>541</v>
      </c>
      <c r="V24" s="953">
        <f t="shared" ref="V24:AK24" si="0">AVERAGE(V12:V23)</f>
        <v>15.059430555555558</v>
      </c>
      <c r="W24" s="953">
        <f t="shared" si="0"/>
        <v>15.3005</v>
      </c>
      <c r="X24" s="953">
        <f t="shared" si="0"/>
        <v>16.748625000000001</v>
      </c>
      <c r="Y24" s="953">
        <f t="shared" si="0"/>
        <v>19.415625000000002</v>
      </c>
      <c r="Z24" s="953">
        <f t="shared" si="0"/>
        <v>23.271583333333329</v>
      </c>
      <c r="AA24" s="953">
        <f t="shared" si="0"/>
        <v>25.547041666666662</v>
      </c>
      <c r="AB24" s="953">
        <f t="shared" si="0"/>
        <v>27.253416666666666</v>
      </c>
      <c r="AC24" s="953">
        <f t="shared" si="0"/>
        <v>32.173333333333339</v>
      </c>
      <c r="AD24" s="953">
        <f t="shared" si="0"/>
        <v>25.773999999999997</v>
      </c>
      <c r="AE24" s="953">
        <f t="shared" si="0"/>
        <v>29.899749999999997</v>
      </c>
      <c r="AF24" s="953">
        <f t="shared" si="0"/>
        <v>35.086541666666669</v>
      </c>
      <c r="AG24" s="953">
        <f t="shared" si="0"/>
        <v>36.374181818181825</v>
      </c>
      <c r="AH24" s="953">
        <f t="shared" si="0"/>
        <v>35.452002450980395</v>
      </c>
      <c r="AI24" s="953">
        <f t="shared" si="0"/>
        <v>33.623124999999995</v>
      </c>
      <c r="AJ24" s="953">
        <f t="shared" si="0"/>
        <v>26.342150000000004</v>
      </c>
      <c r="AK24" s="953">
        <f t="shared" si="0"/>
        <v>24.322634768740034</v>
      </c>
      <c r="AL24" s="953">
        <f>AVERAGE(AL12:AL23)</f>
        <v>26.036291666666667</v>
      </c>
      <c r="AM24" s="953">
        <f>AVERAGE(AM12:AM23)</f>
        <v>28.267708333333331</v>
      </c>
      <c r="AN24" s="953">
        <f>AVERAGE(AN12:AN23)</f>
        <v>27.925062499999999</v>
      </c>
      <c r="AO24" s="953">
        <f>AVERAGE(AO12:AO23)</f>
        <v>22.688166666666664</v>
      </c>
      <c r="AP24" s="953">
        <f>AVERAGE(AP12:AP23)</f>
        <v>29.444999999999997</v>
      </c>
    </row>
    <row r="25" spans="1:45" ht="6" customHeight="1">
      <c r="A25" s="896"/>
      <c r="B25" s="896"/>
      <c r="C25" s="896"/>
      <c r="D25" s="896"/>
      <c r="E25" s="896"/>
      <c r="F25" s="896"/>
      <c r="G25" s="896"/>
      <c r="H25" s="896"/>
      <c r="I25" s="896"/>
      <c r="J25" s="896"/>
      <c r="K25" s="896"/>
      <c r="L25" s="896"/>
      <c r="M25" s="896"/>
      <c r="N25" s="896"/>
      <c r="O25" s="896"/>
      <c r="P25" s="896"/>
      <c r="Q25" s="896"/>
      <c r="R25" s="896"/>
      <c r="S25" s="896"/>
      <c r="T25" s="896"/>
      <c r="U25" s="896"/>
      <c r="V25" s="896"/>
      <c r="W25" s="888"/>
      <c r="X25" s="888"/>
      <c r="Y25" s="888"/>
      <c r="Z25" s="888"/>
      <c r="AA25" s="888"/>
      <c r="AB25" s="888"/>
      <c r="AC25" s="888"/>
      <c r="AD25" s="888"/>
      <c r="AE25" s="888"/>
      <c r="AF25" s="888"/>
      <c r="AG25" s="888"/>
      <c r="AH25" s="888"/>
      <c r="AI25" s="888"/>
      <c r="AJ25" s="888"/>
      <c r="AK25" s="651"/>
      <c r="AL25" s="651"/>
      <c r="AM25" s="950"/>
      <c r="AN25" s="950"/>
      <c r="AO25" s="950"/>
      <c r="AP25" s="950"/>
    </row>
    <row r="26" spans="1:45" ht="13.5" thickBot="1">
      <c r="A26" s="898" t="s">
        <v>518</v>
      </c>
      <c r="B26" s="898"/>
      <c r="C26" s="898"/>
      <c r="D26" s="898"/>
      <c r="E26" s="898"/>
      <c r="F26" s="898"/>
      <c r="G26" s="898"/>
      <c r="H26" s="898"/>
      <c r="I26" s="898"/>
      <c r="J26" s="898"/>
      <c r="K26" s="898"/>
      <c r="L26" s="898"/>
      <c r="M26" s="898"/>
      <c r="N26" s="898"/>
      <c r="O26" s="898"/>
      <c r="P26" s="898"/>
      <c r="Q26" s="898"/>
      <c r="R26" s="898"/>
      <c r="S26" s="898"/>
      <c r="T26" s="898"/>
      <c r="U26" s="898"/>
      <c r="V26" s="898"/>
      <c r="W26" s="888"/>
      <c r="X26" s="888"/>
      <c r="Y26" s="888"/>
      <c r="Z26" s="888"/>
      <c r="AA26" s="888"/>
      <c r="AB26" s="888"/>
      <c r="AC26" s="888"/>
      <c r="AD26" s="888"/>
      <c r="AE26" s="888"/>
      <c r="AF26" s="888"/>
      <c r="AG26" s="888"/>
      <c r="AH26" s="888"/>
      <c r="AI26" s="888"/>
      <c r="AJ26" s="888"/>
      <c r="AK26" s="651"/>
      <c r="AL26" s="651"/>
      <c r="AM26" s="950"/>
      <c r="AN26" s="950"/>
      <c r="AO26" s="950"/>
      <c r="AP26" s="950"/>
    </row>
    <row r="27" spans="1:45">
      <c r="A27" s="1711" t="s">
        <v>517</v>
      </c>
      <c r="B27" s="1705">
        <v>1981</v>
      </c>
      <c r="C27" s="1705">
        <v>1982</v>
      </c>
      <c r="D27" s="1705">
        <v>1983</v>
      </c>
      <c r="E27" s="1705">
        <v>1984</v>
      </c>
      <c r="F27" s="1705">
        <v>1985</v>
      </c>
      <c r="G27" s="1705">
        <v>1986</v>
      </c>
      <c r="H27" s="1705">
        <v>1987</v>
      </c>
      <c r="I27" s="1705">
        <v>1988</v>
      </c>
      <c r="J27" s="1705">
        <v>1989</v>
      </c>
      <c r="K27" s="1705">
        <v>1990</v>
      </c>
      <c r="L27" s="1705">
        <v>1991</v>
      </c>
      <c r="M27" s="1705">
        <v>1992</v>
      </c>
      <c r="N27" s="1705">
        <v>1993</v>
      </c>
      <c r="O27" s="1705">
        <v>1994</v>
      </c>
      <c r="P27" s="1705">
        <v>1995</v>
      </c>
      <c r="Q27" s="1705">
        <v>1996</v>
      </c>
      <c r="R27" s="1705">
        <v>1997</v>
      </c>
      <c r="S27" s="1705">
        <v>1998</v>
      </c>
      <c r="T27" s="1705">
        <v>1999</v>
      </c>
      <c r="U27" s="1709">
        <v>2000</v>
      </c>
      <c r="V27" s="1709">
        <v>2001</v>
      </c>
      <c r="W27" s="1709">
        <v>2002</v>
      </c>
      <c r="X27" s="1709">
        <v>2003</v>
      </c>
      <c r="Y27" s="1709">
        <v>2004</v>
      </c>
      <c r="Z27" s="1709">
        <v>2005</v>
      </c>
      <c r="AA27" s="1709">
        <v>2006</v>
      </c>
      <c r="AB27" s="1709">
        <v>2007</v>
      </c>
      <c r="AC27" s="1709">
        <v>2008</v>
      </c>
      <c r="AD27" s="1709">
        <v>2009</v>
      </c>
      <c r="AE27" s="1709">
        <v>2010</v>
      </c>
      <c r="AF27" s="1709">
        <v>2011</v>
      </c>
      <c r="AG27" s="1709">
        <f>+AG10</f>
        <v>2012</v>
      </c>
      <c r="AH27" s="1709">
        <v>2013</v>
      </c>
      <c r="AI27" s="1709">
        <v>2014</v>
      </c>
      <c r="AJ27" s="1709">
        <v>2015</v>
      </c>
      <c r="AK27" s="1709">
        <v>2016</v>
      </c>
      <c r="AL27" s="1709">
        <v>2017</v>
      </c>
      <c r="AM27" s="1709">
        <v>2018</v>
      </c>
      <c r="AN27" s="1709">
        <v>2019</v>
      </c>
      <c r="AO27" s="1709">
        <v>2020</v>
      </c>
      <c r="AP27" s="1709">
        <v>2021</v>
      </c>
    </row>
    <row r="28" spans="1:45" ht="13.5" thickBot="1">
      <c r="A28" s="1712"/>
      <c r="B28" s="1706"/>
      <c r="C28" s="1706"/>
      <c r="D28" s="1706"/>
      <c r="E28" s="1706"/>
      <c r="F28" s="1706"/>
      <c r="G28" s="1706"/>
      <c r="H28" s="1706"/>
      <c r="I28" s="1706"/>
      <c r="J28" s="1706"/>
      <c r="K28" s="1706"/>
      <c r="L28" s="1706"/>
      <c r="M28" s="1706"/>
      <c r="N28" s="1706"/>
      <c r="O28" s="1706"/>
      <c r="P28" s="1706"/>
      <c r="Q28" s="1706"/>
      <c r="R28" s="1706"/>
      <c r="S28" s="1706"/>
      <c r="T28" s="1706"/>
      <c r="U28" s="1710"/>
      <c r="V28" s="1713"/>
      <c r="W28" s="1710"/>
      <c r="X28" s="1710"/>
      <c r="Y28" s="1710"/>
      <c r="Z28" s="1710"/>
      <c r="AA28" s="1710"/>
      <c r="AB28" s="1710"/>
      <c r="AC28" s="1710"/>
      <c r="AD28" s="1710"/>
      <c r="AE28" s="1710"/>
      <c r="AF28" s="1710"/>
      <c r="AG28" s="1710"/>
      <c r="AH28" s="1710"/>
      <c r="AI28" s="1710"/>
      <c r="AJ28" s="1710"/>
      <c r="AK28" s="1710"/>
      <c r="AL28" s="1710"/>
      <c r="AM28" s="1710"/>
      <c r="AN28" s="1710"/>
      <c r="AO28" s="1710"/>
      <c r="AP28" s="1710"/>
    </row>
    <row r="29" spans="1:45">
      <c r="A29" s="889" t="s">
        <v>41</v>
      </c>
      <c r="B29" s="944">
        <v>2.09</v>
      </c>
      <c r="C29" s="944">
        <v>2.09</v>
      </c>
      <c r="D29" s="944">
        <v>2.0699999999999998</v>
      </c>
      <c r="E29" s="944">
        <v>2.0699999999999998</v>
      </c>
      <c r="F29" s="944">
        <v>2.0699999999999998</v>
      </c>
      <c r="G29" s="944">
        <v>3.1</v>
      </c>
      <c r="H29" s="944">
        <v>3.1</v>
      </c>
      <c r="I29" s="944">
        <v>3.1</v>
      </c>
      <c r="J29" s="944">
        <v>3.25</v>
      </c>
      <c r="K29" s="944">
        <v>3.9</v>
      </c>
      <c r="L29" s="944">
        <v>9.6</v>
      </c>
      <c r="M29" s="944">
        <v>9.6</v>
      </c>
      <c r="N29" s="944">
        <v>7.95</v>
      </c>
      <c r="O29" s="944">
        <v>7.95</v>
      </c>
      <c r="P29" s="944">
        <v>8.1</v>
      </c>
      <c r="Q29" s="944">
        <v>9.2799999999999994</v>
      </c>
      <c r="R29" s="944">
        <v>10.87</v>
      </c>
      <c r="S29" s="944">
        <v>11.01</v>
      </c>
      <c r="T29" s="945">
        <v>10.42</v>
      </c>
      <c r="U29" s="1097">
        <v>14.07</v>
      </c>
      <c r="V29" s="951">
        <v>14.413999999999998</v>
      </c>
      <c r="W29" s="1101">
        <v>12.94</v>
      </c>
      <c r="X29" s="951">
        <v>15.797499999999999</v>
      </c>
      <c r="Y29" s="708">
        <v>16.237500000000001</v>
      </c>
      <c r="Z29" s="951">
        <v>19.088000000000001</v>
      </c>
      <c r="AA29" s="708">
        <v>22.65</v>
      </c>
      <c r="AB29" s="951">
        <v>22.99</v>
      </c>
      <c r="AC29" s="708">
        <v>28.89</v>
      </c>
      <c r="AD29" s="951">
        <v>21.58</v>
      </c>
      <c r="AE29" s="708">
        <v>28.36</v>
      </c>
      <c r="AF29" s="951">
        <v>30.885000000000002</v>
      </c>
      <c r="AG29" s="708">
        <f>+'Gasolinas 2012'!C14</f>
        <v>33.220000000000006</v>
      </c>
      <c r="AH29" s="951">
        <f>+'Gasolinas 2013'!C14</f>
        <v>33.694000000000003</v>
      </c>
      <c r="AI29" s="708">
        <v>34.835000000000008</v>
      </c>
      <c r="AJ29" s="951">
        <f>+'Gasolinas 2015'!C15</f>
        <v>21.737500000000001</v>
      </c>
      <c r="AK29" s="708">
        <f>+'Gasolinas 2016'!C13</f>
        <v>20.387499999999999</v>
      </c>
      <c r="AL29" s="951">
        <f>+'Gasolinas 2017'!C14</f>
        <v>24.687999999999995</v>
      </c>
      <c r="AM29" s="951">
        <f>+'Gasolinas 2018'!C14</f>
        <v>25.827999999999996</v>
      </c>
      <c r="AN29" s="951">
        <f>+'Gasolinas 2019'!C14</f>
        <v>23.033999999999999</v>
      </c>
      <c r="AO29" s="951">
        <f>+'Gasolinas 2020'!C13</f>
        <v>25.602499999999999</v>
      </c>
      <c r="AP29" s="951">
        <v>23.814999999999998</v>
      </c>
    </row>
    <row r="30" spans="1:45">
      <c r="A30" s="546" t="s">
        <v>42</v>
      </c>
      <c r="B30" s="944">
        <v>2.09</v>
      </c>
      <c r="C30" s="944">
        <v>2.09</v>
      </c>
      <c r="D30" s="944">
        <v>2.0699999999999998</v>
      </c>
      <c r="E30" s="944">
        <v>2.0699999999999998</v>
      </c>
      <c r="F30" s="944">
        <v>2.0699999999999998</v>
      </c>
      <c r="G30" s="944">
        <v>3.1</v>
      </c>
      <c r="H30" s="944">
        <v>3.1</v>
      </c>
      <c r="I30" s="944">
        <v>3.1</v>
      </c>
      <c r="J30" s="944">
        <v>3.25</v>
      </c>
      <c r="K30" s="944">
        <v>3.9</v>
      </c>
      <c r="L30" s="944">
        <v>9.6</v>
      </c>
      <c r="M30" s="944">
        <v>9.6</v>
      </c>
      <c r="N30" s="944">
        <v>7.95</v>
      </c>
      <c r="O30" s="944">
        <v>8.0500000000000007</v>
      </c>
      <c r="P30" s="944">
        <v>8.49</v>
      </c>
      <c r="Q30" s="944">
        <v>9.4700000000000006</v>
      </c>
      <c r="R30" s="944">
        <v>10.95</v>
      </c>
      <c r="S30" s="944">
        <v>10.86</v>
      </c>
      <c r="T30" s="945">
        <v>10.39</v>
      </c>
      <c r="U30" s="1098">
        <v>14.42</v>
      </c>
      <c r="V30" s="897">
        <v>14.657500000000001</v>
      </c>
      <c r="W30" s="1102">
        <v>12.7575</v>
      </c>
      <c r="X30" s="897">
        <v>16.64</v>
      </c>
      <c r="Y30" s="708">
        <v>17.487500000000001</v>
      </c>
      <c r="Z30" s="897">
        <v>18.600000000000001</v>
      </c>
      <c r="AA30" s="708">
        <v>22.35</v>
      </c>
      <c r="AB30" s="897">
        <v>22.037500000000001</v>
      </c>
      <c r="AC30" s="708">
        <v>28.704999999999998</v>
      </c>
      <c r="AD30" s="897">
        <v>21.352499999999999</v>
      </c>
      <c r="AE30" s="708">
        <v>27.99</v>
      </c>
      <c r="AF30" s="897">
        <v>31.857500000000002</v>
      </c>
      <c r="AG30" s="708">
        <f>+'Gasolinas 2012'!C19</f>
        <v>34.797499999999999</v>
      </c>
      <c r="AH30" s="897">
        <f>+'Gasolinas 2013'!C19</f>
        <v>35.4375</v>
      </c>
      <c r="AI30" s="708">
        <v>33.927499999999995</v>
      </c>
      <c r="AJ30" s="897">
        <f>+'Gasolinas 2015'!C20</f>
        <v>38.85</v>
      </c>
      <c r="AK30" s="708">
        <f>+'Gasolinas 2016'!C19</f>
        <v>19.380000000000003</v>
      </c>
      <c r="AL30" s="897">
        <f>+'Gasolinas 2017'!C19</f>
        <v>23.875</v>
      </c>
      <c r="AM30" s="897">
        <f>+'Gasolinas 2018'!C19</f>
        <v>25.779999999999998</v>
      </c>
      <c r="AN30" s="897">
        <f>+'Gasolinas 2019'!C19</f>
        <v>23.865000000000002</v>
      </c>
      <c r="AO30" s="897">
        <f>+'Gasolinas 2020'!C18</f>
        <v>24.505000000000003</v>
      </c>
      <c r="AP30" s="897">
        <f>+'[6]Gasolineras 2022'!C19</f>
        <v>33.842500000000001</v>
      </c>
    </row>
    <row r="31" spans="1:45">
      <c r="A31" s="546" t="s">
        <v>43</v>
      </c>
      <c r="B31" s="944">
        <v>2.09</v>
      </c>
      <c r="C31" s="944">
        <f t="shared" ref="C31:C36" si="1">(14*2.09+16*1.96)/30</f>
        <v>2.0206666666666666</v>
      </c>
      <c r="D31" s="944">
        <v>2.0699999999999998</v>
      </c>
      <c r="E31" s="944">
        <v>2.0699999999999998</v>
      </c>
      <c r="F31" s="944">
        <v>2.0699999999999998</v>
      </c>
      <c r="G31" s="944">
        <v>3.1</v>
      </c>
      <c r="H31" s="944">
        <v>3.1</v>
      </c>
      <c r="I31" s="944">
        <v>3.1</v>
      </c>
      <c r="J31" s="944">
        <v>3.25</v>
      </c>
      <c r="K31" s="944">
        <v>3.9</v>
      </c>
      <c r="L31" s="944">
        <v>9.6</v>
      </c>
      <c r="M31" s="944">
        <v>9.6</v>
      </c>
      <c r="N31" s="944">
        <v>7.95</v>
      </c>
      <c r="O31" s="944">
        <v>8.2200000000000006</v>
      </c>
      <c r="P31" s="944">
        <v>8.64</v>
      </c>
      <c r="Q31" s="944">
        <v>9.5399999999999991</v>
      </c>
      <c r="R31" s="944">
        <v>10.61</v>
      </c>
      <c r="S31" s="944">
        <v>10.77</v>
      </c>
      <c r="T31" s="945">
        <v>10.54</v>
      </c>
      <c r="U31" s="1098">
        <v>14.82</v>
      </c>
      <c r="V31" s="897">
        <v>14.487500000000001</v>
      </c>
      <c r="W31" s="1102">
        <v>13.04</v>
      </c>
      <c r="X31" s="897">
        <v>17.792000000000002</v>
      </c>
      <c r="Y31" s="708">
        <v>18.11</v>
      </c>
      <c r="Z31" s="897">
        <v>19.762499999999999</v>
      </c>
      <c r="AA31" s="708">
        <v>22.16</v>
      </c>
      <c r="AB31" s="897">
        <v>23.127500000000001</v>
      </c>
      <c r="AC31" s="708">
        <v>30.036000000000001</v>
      </c>
      <c r="AD31" s="897">
        <v>21.052</v>
      </c>
      <c r="AE31" s="708">
        <v>29.39</v>
      </c>
      <c r="AF31" s="897">
        <v>34.515000000000001</v>
      </c>
      <c r="AG31" s="708" t="e">
        <f>+'Gasolinas 2012'!#REF!</f>
        <v>#REF!</v>
      </c>
      <c r="AH31" s="897">
        <f>+'Gasolinas 2013'!C24</f>
        <v>35.997500000000002</v>
      </c>
      <c r="AI31" s="708">
        <v>34.256</v>
      </c>
      <c r="AJ31" s="897">
        <f>+'Gasolinas 2015'!C26</f>
        <v>25.470000000000002</v>
      </c>
      <c r="AK31" s="708">
        <f>+'Gasolinas 2016'!C24</f>
        <v>25.79</v>
      </c>
      <c r="AL31" s="897">
        <f>+'Gasolinas 2017'!C24</f>
        <v>27.172499999999999</v>
      </c>
      <c r="AM31" s="897">
        <f>+'Gasolinas 2018'!C24</f>
        <v>29.082499999999996</v>
      </c>
      <c r="AN31" s="897">
        <f>+'Gasolinas 2019'!C24</f>
        <v>29.3</v>
      </c>
      <c r="AO31" s="897">
        <f>+'Gasolinas 2020'!C24</f>
        <v>23.596</v>
      </c>
      <c r="AP31" s="897"/>
    </row>
    <row r="32" spans="1:45">
      <c r="A32" s="546" t="s">
        <v>44</v>
      </c>
      <c r="B32" s="944">
        <v>2.09</v>
      </c>
      <c r="C32" s="944">
        <f t="shared" si="1"/>
        <v>2.0206666666666666</v>
      </c>
      <c r="D32" s="944">
        <v>2.0699999999999998</v>
      </c>
      <c r="E32" s="944">
        <v>2.0699999999999998</v>
      </c>
      <c r="F32" s="944">
        <v>2.0699999999999998</v>
      </c>
      <c r="G32" s="944">
        <v>3.1</v>
      </c>
      <c r="H32" s="944">
        <v>3.1</v>
      </c>
      <c r="I32" s="944">
        <v>3.1</v>
      </c>
      <c r="J32" s="944">
        <v>3.25</v>
      </c>
      <c r="K32" s="944">
        <v>4.8</v>
      </c>
      <c r="L32" s="944">
        <v>9.6</v>
      </c>
      <c r="M32" s="944">
        <v>9.6</v>
      </c>
      <c r="N32" s="944">
        <v>7.95</v>
      </c>
      <c r="O32" s="944">
        <v>8.36</v>
      </c>
      <c r="P32" s="944">
        <v>8.83</v>
      </c>
      <c r="Q32" s="944">
        <v>9.98</v>
      </c>
      <c r="R32" s="944">
        <v>10.61</v>
      </c>
      <c r="S32" s="944">
        <v>10.64</v>
      </c>
      <c r="T32" s="945">
        <v>11.41</v>
      </c>
      <c r="U32" s="1098">
        <v>14.56</v>
      </c>
      <c r="V32" s="897">
        <v>14.4575</v>
      </c>
      <c r="W32" s="1102">
        <v>14.598000000000003</v>
      </c>
      <c r="X32" s="897">
        <v>17.010000000000002</v>
      </c>
      <c r="Y32" s="708">
        <v>18.482500000000002</v>
      </c>
      <c r="Z32" s="897">
        <v>21.942499999999999</v>
      </c>
      <c r="AA32" s="708">
        <v>24.477499999999999</v>
      </c>
      <c r="AB32" s="897">
        <v>25.524999999999999</v>
      </c>
      <c r="AC32" s="708">
        <v>31.692499999999999</v>
      </c>
      <c r="AD32" s="897">
        <v>21.57</v>
      </c>
      <c r="AE32" s="708">
        <v>30.557500000000001</v>
      </c>
      <c r="AF32" s="897">
        <v>35.472499999999997</v>
      </c>
      <c r="AG32" s="708">
        <f>+'Gasolinas 2012'!C29</f>
        <v>37.563000000000002</v>
      </c>
      <c r="AH32" s="897">
        <f>+'Gasolinas 2013'!C29</f>
        <v>34.172499999999999</v>
      </c>
      <c r="AI32" s="708">
        <v>35.082500000000003</v>
      </c>
      <c r="AJ32" s="897">
        <f>+'Gasolinas 2015'!C31</f>
        <v>35.31</v>
      </c>
      <c r="AK32" s="708">
        <f>+'Gasolinas 2016'!C28</f>
        <v>22.24</v>
      </c>
      <c r="AL32" s="897">
        <f>+'Gasolinas 2017'!C29</f>
        <v>24.197500000000002</v>
      </c>
      <c r="AM32" s="897">
        <f>+'Gasolinas 2018'!C29</f>
        <v>26.2775</v>
      </c>
      <c r="AN32" s="897">
        <f>+'Gasolinas 2019'!C30</f>
        <v>36.090000000000003</v>
      </c>
      <c r="AO32" s="897">
        <f>+'Gasolinas 2020'!C29</f>
        <v>18.967500000000001</v>
      </c>
      <c r="AP32" s="897"/>
    </row>
    <row r="33" spans="1:42">
      <c r="A33" s="546" t="s">
        <v>45</v>
      </c>
      <c r="B33" s="944">
        <v>2.09</v>
      </c>
      <c r="C33" s="944">
        <f t="shared" si="1"/>
        <v>2.0206666666666666</v>
      </c>
      <c r="D33" s="944">
        <v>2.0699999999999998</v>
      </c>
      <c r="E33" s="944">
        <v>2.0699999999999998</v>
      </c>
      <c r="F33" s="944">
        <v>2.0699999999999998</v>
      </c>
      <c r="G33" s="944">
        <v>3.1</v>
      </c>
      <c r="H33" s="944">
        <v>3.1</v>
      </c>
      <c r="I33" s="944">
        <v>3.1</v>
      </c>
      <c r="J33" s="944">
        <v>3.25</v>
      </c>
      <c r="K33" s="944">
        <v>4.8</v>
      </c>
      <c r="L33" s="944">
        <v>9.6</v>
      </c>
      <c r="M33" s="944">
        <v>9.6</v>
      </c>
      <c r="N33" s="944">
        <v>7.95</v>
      </c>
      <c r="O33" s="944">
        <v>8.4</v>
      </c>
      <c r="P33" s="944">
        <v>9.44</v>
      </c>
      <c r="Q33" s="944">
        <v>10.36</v>
      </c>
      <c r="R33" s="944">
        <v>10.65</v>
      </c>
      <c r="S33" s="944">
        <v>10.9</v>
      </c>
      <c r="T33" s="945">
        <v>11.91</v>
      </c>
      <c r="U33" s="1098">
        <v>14.97</v>
      </c>
      <c r="V33" s="897">
        <v>15.756666666666668</v>
      </c>
      <c r="W33" s="1102">
        <v>14.645</v>
      </c>
      <c r="X33" s="897">
        <v>15.9175</v>
      </c>
      <c r="Y33" s="708">
        <v>18.893999999999998</v>
      </c>
      <c r="Z33" s="897">
        <v>22.476000000000003</v>
      </c>
      <c r="AA33" s="708">
        <v>26.846</v>
      </c>
      <c r="AB33" s="897">
        <v>27.59</v>
      </c>
      <c r="AC33" s="708">
        <v>33.122500000000002</v>
      </c>
      <c r="AD33" s="897">
        <v>22.8125</v>
      </c>
      <c r="AE33" s="708">
        <v>29.84</v>
      </c>
      <c r="AF33" s="897">
        <v>35.606000000000002</v>
      </c>
      <c r="AG33" s="708">
        <f>+'Gasolinas 2012'!C34</f>
        <v>34.31</v>
      </c>
      <c r="AH33" s="897">
        <f>+'Gasolinas 2013'!C34</f>
        <v>34.31</v>
      </c>
      <c r="AI33" s="708">
        <f>+'Gasolinas 2014'!C34</f>
        <v>34.31</v>
      </c>
      <c r="AJ33" s="897">
        <f>+'Gasolinas 2015'!C36</f>
        <v>32.482500000000002</v>
      </c>
      <c r="AK33" s="708">
        <f>+'Gasolinas 2016'!C34</f>
        <v>34.31</v>
      </c>
      <c r="AL33" s="897">
        <f>+'Gasolinas 2017'!C35</f>
        <v>34.904000000000003</v>
      </c>
      <c r="AM33" s="897">
        <f>+'Gasolinas 2018'!C35</f>
        <v>34.904000000000003</v>
      </c>
      <c r="AN33" s="897">
        <f>+'Gasolinas 2019'!C35</f>
        <v>34.607500000000002</v>
      </c>
      <c r="AO33" s="897">
        <f>+'Gasolinas 2020'!C34</f>
        <v>18.7425</v>
      </c>
      <c r="AP33" s="897"/>
    </row>
    <row r="34" spans="1:42">
      <c r="A34" s="546" t="s">
        <v>46</v>
      </c>
      <c r="B34" s="944">
        <v>2.09</v>
      </c>
      <c r="C34" s="944">
        <f t="shared" si="1"/>
        <v>2.0206666666666666</v>
      </c>
      <c r="D34" s="944">
        <v>2.0699999999999998</v>
      </c>
      <c r="E34" s="944">
        <v>2.0699999999999998</v>
      </c>
      <c r="F34" s="944">
        <v>2.0699999999999998</v>
      </c>
      <c r="G34" s="944">
        <v>3.1</v>
      </c>
      <c r="H34" s="944">
        <v>3.1</v>
      </c>
      <c r="I34" s="944">
        <v>3.1</v>
      </c>
      <c r="J34" s="944">
        <v>3.25</v>
      </c>
      <c r="K34" s="944">
        <v>4.8</v>
      </c>
      <c r="L34" s="944">
        <v>9.6</v>
      </c>
      <c r="M34" s="944">
        <v>9.6</v>
      </c>
      <c r="N34" s="944">
        <v>7.95</v>
      </c>
      <c r="O34" s="944">
        <v>8.4499999999999993</v>
      </c>
      <c r="P34" s="944">
        <v>9.44</v>
      </c>
      <c r="Q34" s="944">
        <v>10.31</v>
      </c>
      <c r="R34" s="944">
        <v>10.71</v>
      </c>
      <c r="S34" s="944">
        <v>11.01</v>
      </c>
      <c r="T34" s="945">
        <v>11.91</v>
      </c>
      <c r="U34" s="1098">
        <v>15.61</v>
      </c>
      <c r="V34" s="897">
        <v>15.76</v>
      </c>
      <c r="W34" s="1102">
        <v>14.4925</v>
      </c>
      <c r="X34" s="897">
        <v>15.0725</v>
      </c>
      <c r="Y34" s="708">
        <v>19.2425</v>
      </c>
      <c r="Z34" s="897">
        <v>22.2225</v>
      </c>
      <c r="AA34" s="708">
        <v>26.765000000000001</v>
      </c>
      <c r="AB34" s="897">
        <v>28.6875</v>
      </c>
      <c r="AC34" s="708">
        <v>35.5075</v>
      </c>
      <c r="AD34" s="897">
        <v>23.91</v>
      </c>
      <c r="AE34" s="708">
        <v>28.032499999999999</v>
      </c>
      <c r="AF34" s="897">
        <v>34.76</v>
      </c>
      <c r="AG34" s="708">
        <f>+'Gasolinas 2012'!C39</f>
        <v>33.715000000000003</v>
      </c>
      <c r="AH34" s="897">
        <f>+'Gasolinas 2013'!C39</f>
        <v>34.247500000000002</v>
      </c>
      <c r="AI34" s="708">
        <f>+'Gasolinas 2014'!C39</f>
        <v>35.36</v>
      </c>
      <c r="AJ34" s="897">
        <f>+'Gasolinas 2015'!C41</f>
        <v>27.095000000000002</v>
      </c>
      <c r="AK34" s="708">
        <f>+'Gasolinas 2016'!C39</f>
        <v>23.66</v>
      </c>
      <c r="AL34" s="897">
        <f>+'Gasolinas 2017'!C40</f>
        <v>23.332500000000003</v>
      </c>
      <c r="AM34" s="897">
        <f>+'Gasolinas 2018'!C40</f>
        <v>27.945</v>
      </c>
      <c r="AN34" s="897">
        <f>+'Gasolinas 2019'!C40</f>
        <v>26.4375</v>
      </c>
      <c r="AO34" s="897">
        <f>+'Gasolinas 2020'!C40</f>
        <v>21.082000000000001</v>
      </c>
      <c r="AP34" s="897"/>
    </row>
    <row r="35" spans="1:42">
      <c r="A35" s="546" t="s">
        <v>47</v>
      </c>
      <c r="B35" s="944">
        <v>2.09</v>
      </c>
      <c r="C35" s="944">
        <f t="shared" si="1"/>
        <v>2.0206666666666666</v>
      </c>
      <c r="D35" s="944">
        <v>2.0699999999999998</v>
      </c>
      <c r="E35" s="944">
        <v>2.0699999999999998</v>
      </c>
      <c r="F35" s="944">
        <v>2.0699999999999998</v>
      </c>
      <c r="G35" s="944">
        <v>3.1</v>
      </c>
      <c r="H35" s="944">
        <v>3.1</v>
      </c>
      <c r="I35" s="944">
        <v>3.35</v>
      </c>
      <c r="J35" s="944">
        <v>3.25</v>
      </c>
      <c r="K35" s="944">
        <v>4.8</v>
      </c>
      <c r="L35" s="944">
        <v>9.6</v>
      </c>
      <c r="M35" s="944">
        <v>7.95</v>
      </c>
      <c r="N35" s="944">
        <v>7.95</v>
      </c>
      <c r="O35" s="944">
        <v>8.5500000000000007</v>
      </c>
      <c r="P35" s="944">
        <v>9.1999999999999993</v>
      </c>
      <c r="Q35" s="944">
        <v>10.210000000000001</v>
      </c>
      <c r="R35" s="944">
        <v>10.57</v>
      </c>
      <c r="S35" s="944">
        <v>10.9</v>
      </c>
      <c r="T35" s="946">
        <v>12.15</v>
      </c>
      <c r="U35" s="1098">
        <v>15.8</v>
      </c>
      <c r="V35" s="897">
        <v>15.12</v>
      </c>
      <c r="W35" s="1102">
        <v>14.863999999999999</v>
      </c>
      <c r="X35" s="897">
        <v>15.097999999999999</v>
      </c>
      <c r="Y35" s="708">
        <v>19.157499999999999</v>
      </c>
      <c r="Z35" s="897">
        <v>22.232500000000002</v>
      </c>
      <c r="AA35" s="708">
        <v>26.577999999999999</v>
      </c>
      <c r="AB35" s="897">
        <v>28.405000000000001</v>
      </c>
      <c r="AC35" s="708">
        <v>36.42</v>
      </c>
      <c r="AD35" s="897">
        <v>26.556000000000001</v>
      </c>
      <c r="AE35" s="708">
        <v>27.93</v>
      </c>
      <c r="AF35" s="897">
        <v>34.972499999999997</v>
      </c>
      <c r="AG35" s="708">
        <f>+'Gasolinas 2012'!C83</f>
        <v>34.713999999999999</v>
      </c>
      <c r="AH35" s="897">
        <f>+'Gasolinas 2013'!C83</f>
        <v>35.644000000000005</v>
      </c>
      <c r="AI35" s="708">
        <f>+'Gasolinas 2014'!C45</f>
        <v>35.606000000000009</v>
      </c>
      <c r="AJ35" s="897">
        <f>+'Gasolinas 2015'!C47</f>
        <v>27.143999999999998</v>
      </c>
      <c r="AK35" s="708">
        <f>+'Gasolinas 2016'!C44</f>
        <v>22.53</v>
      </c>
      <c r="AL35" s="897">
        <f>+'Gasolinas 2017'!C46</f>
        <v>23.148000000000003</v>
      </c>
      <c r="AM35" s="897">
        <f>+'Gasolinas 2018'!C46</f>
        <v>27.868000000000002</v>
      </c>
      <c r="AN35" s="897">
        <f>+'Gasolinas 2019'!C46</f>
        <v>27.129999999999995</v>
      </c>
      <c r="AO35" s="897">
        <f>+'Gasolinas 2020'!C45</f>
        <v>22.555</v>
      </c>
      <c r="AP35" s="897"/>
    </row>
    <row r="36" spans="1:42">
      <c r="A36" s="546" t="s">
        <v>48</v>
      </c>
      <c r="B36" s="944">
        <v>2.09</v>
      </c>
      <c r="C36" s="944">
        <f t="shared" si="1"/>
        <v>2.0206666666666666</v>
      </c>
      <c r="D36" s="944">
        <v>2.0699999999999998</v>
      </c>
      <c r="E36" s="944">
        <v>2.0699999999999998</v>
      </c>
      <c r="F36" s="944">
        <v>3.1</v>
      </c>
      <c r="G36" s="944">
        <v>3.1</v>
      </c>
      <c r="H36" s="944">
        <v>3.1</v>
      </c>
      <c r="I36" s="944">
        <v>3.25</v>
      </c>
      <c r="J36" s="944">
        <v>3.31</v>
      </c>
      <c r="K36" s="944">
        <v>4.8</v>
      </c>
      <c r="L36" s="944">
        <v>9.6</v>
      </c>
      <c r="M36" s="944">
        <v>7.95</v>
      </c>
      <c r="N36" s="944">
        <v>7.95</v>
      </c>
      <c r="O36" s="944">
        <v>8.67</v>
      </c>
      <c r="P36" s="944">
        <v>8.84</v>
      </c>
      <c r="Q36" s="944">
        <v>10.199999999999999</v>
      </c>
      <c r="R36" s="944">
        <v>10.69</v>
      </c>
      <c r="S36" s="944">
        <v>10.8</v>
      </c>
      <c r="T36" s="945">
        <v>12.7</v>
      </c>
      <c r="U36" s="1098">
        <v>14.77</v>
      </c>
      <c r="V36" s="897">
        <v>14.321000000000002</v>
      </c>
      <c r="W36" s="1102">
        <v>15.68</v>
      </c>
      <c r="X36" s="897">
        <v>15.54</v>
      </c>
      <c r="Y36" s="708">
        <v>19.04</v>
      </c>
      <c r="Z36" s="897">
        <v>22.89</v>
      </c>
      <c r="AA36" s="708">
        <v>28.12</v>
      </c>
      <c r="AB36" s="897">
        <v>27.905999999999999</v>
      </c>
      <c r="AC36" s="708">
        <v>35.774999999999999</v>
      </c>
      <c r="AD36" s="897">
        <v>26.582000000000001</v>
      </c>
      <c r="AE36" s="708">
        <v>28.133999999999997</v>
      </c>
      <c r="AF36" s="897">
        <v>35.137999999999998</v>
      </c>
      <c r="AG36" s="708">
        <f>+'Gasolinas 2012'!C88</f>
        <v>35.274999999999999</v>
      </c>
      <c r="AH36" s="897">
        <f>+'Gasolinas 2013'!C88</f>
        <v>36.325000000000003</v>
      </c>
      <c r="AI36" s="708">
        <f>+'Gasolinas 2014'!C50</f>
        <v>34.024999999999999</v>
      </c>
      <c r="AJ36" s="897">
        <f>+'Gasolinas 2015'!C53</f>
        <v>25.2</v>
      </c>
      <c r="AK36" s="708">
        <f>+'Gasolinas 2016'!C50</f>
        <v>22.344000000000001</v>
      </c>
      <c r="AL36" s="897">
        <f>+'Gasolinas 2017'!C51</f>
        <v>23.727499999999999</v>
      </c>
      <c r="AM36" s="897">
        <f>+'Gasolinas 2018'!C51</f>
        <v>27.945</v>
      </c>
      <c r="AN36" s="897">
        <f>+'Gasolinas 2019'!C51</f>
        <v>26.07</v>
      </c>
      <c r="AO36" s="897">
        <v>22.33</v>
      </c>
      <c r="AP36" s="897"/>
    </row>
    <row r="37" spans="1:42">
      <c r="A37" s="546" t="s">
        <v>49</v>
      </c>
      <c r="B37" s="944">
        <v>2.09</v>
      </c>
      <c r="C37" s="944">
        <f>(27*1.96+3*1.95)/30</f>
        <v>1.9590000000000001</v>
      </c>
      <c r="D37" s="944">
        <v>2.0699999999999998</v>
      </c>
      <c r="E37" s="944">
        <v>2.0699999999999998</v>
      </c>
      <c r="F37" s="944">
        <v>3.1</v>
      </c>
      <c r="G37" s="944">
        <v>3.1</v>
      </c>
      <c r="H37" s="944">
        <v>3.1</v>
      </c>
      <c r="I37" s="944">
        <v>3.25</v>
      </c>
      <c r="J37" s="944">
        <v>3.31</v>
      </c>
      <c r="K37" s="944">
        <v>6.95</v>
      </c>
      <c r="L37" s="944">
        <v>9.6</v>
      </c>
      <c r="M37" s="944">
        <v>7.95</v>
      </c>
      <c r="N37" s="944">
        <v>7.95</v>
      </c>
      <c r="O37" s="944">
        <v>8.8000000000000007</v>
      </c>
      <c r="P37" s="944">
        <v>8.89</v>
      </c>
      <c r="Q37" s="944">
        <v>10.25</v>
      </c>
      <c r="R37" s="944">
        <v>11.02</v>
      </c>
      <c r="S37" s="946">
        <v>10.76</v>
      </c>
      <c r="T37" s="947">
        <v>12.98</v>
      </c>
      <c r="U37" s="1098">
        <v>14.96</v>
      </c>
      <c r="V37" s="897">
        <v>14.5025</v>
      </c>
      <c r="W37" s="1102">
        <v>15.625999999999999</v>
      </c>
      <c r="X37" s="897">
        <v>16.808</v>
      </c>
      <c r="Y37" s="708">
        <v>18.912500000000001</v>
      </c>
      <c r="Z37" s="897">
        <v>25.272500000000001</v>
      </c>
      <c r="AA37" s="708">
        <v>27.285</v>
      </c>
      <c r="AB37" s="897">
        <v>27.155000000000001</v>
      </c>
      <c r="AC37" s="708">
        <v>34.832000000000001</v>
      </c>
      <c r="AD37" s="897">
        <v>26.71</v>
      </c>
      <c r="AE37" s="708">
        <v>27.2225</v>
      </c>
      <c r="AF37" s="897">
        <v>34.7425</v>
      </c>
      <c r="AG37" s="708">
        <f>+'Gasolinas 2012'!C93</f>
        <v>37.665000000000006</v>
      </c>
      <c r="AH37" s="897">
        <f>+'Gasolinas 2013'!C94</f>
        <v>36.027999999999999</v>
      </c>
      <c r="AI37" s="708">
        <f>+'Gasolinas 2014'!C56</f>
        <v>33.11</v>
      </c>
      <c r="AJ37" s="897">
        <f>+'Gasolinas 2015'!C58</f>
        <v>23.270000000000003</v>
      </c>
      <c r="AK37" s="708">
        <f>+'Gasolinas 2016'!C55</f>
        <v>22.985000000000003</v>
      </c>
      <c r="AL37" s="897">
        <f>+'Gasolinas 2017'!C56</f>
        <v>25.32</v>
      </c>
      <c r="AM37" s="897">
        <f>+'Gasolinas 2018'!C56</f>
        <v>28.21</v>
      </c>
      <c r="AN37" s="897">
        <f>+'Gasolinas 2019'!C57</f>
        <v>25.854000000000003</v>
      </c>
      <c r="AO37" s="897">
        <f>+'Gasolinas 2020'!C56</f>
        <v>22.134999999999998</v>
      </c>
      <c r="AP37" s="897"/>
    </row>
    <row r="38" spans="1:42">
      <c r="A38" s="546" t="s">
        <v>50</v>
      </c>
      <c r="B38" s="944">
        <v>2.09</v>
      </c>
      <c r="C38" s="944">
        <v>1.95</v>
      </c>
      <c r="D38" s="944">
        <v>2.0699999999999998</v>
      </c>
      <c r="E38" s="944">
        <v>2.0699999999999998</v>
      </c>
      <c r="F38" s="944">
        <v>3.1</v>
      </c>
      <c r="G38" s="944">
        <v>3.1</v>
      </c>
      <c r="H38" s="944">
        <v>3.1</v>
      </c>
      <c r="I38" s="944">
        <v>3.25</v>
      </c>
      <c r="J38" s="944">
        <v>3.31</v>
      </c>
      <c r="K38" s="944">
        <v>6.95</v>
      </c>
      <c r="L38" s="944">
        <v>9.6</v>
      </c>
      <c r="M38" s="944">
        <v>7.95</v>
      </c>
      <c r="N38" s="944">
        <v>7.95</v>
      </c>
      <c r="O38" s="944">
        <v>8.56</v>
      </c>
      <c r="P38" s="944">
        <v>8.89</v>
      </c>
      <c r="Q38" s="944">
        <v>10.28</v>
      </c>
      <c r="R38" s="944">
        <v>10.77</v>
      </c>
      <c r="S38" s="946">
        <v>10.87</v>
      </c>
      <c r="T38" s="945">
        <v>13.6</v>
      </c>
      <c r="U38" s="1098">
        <v>15.398</v>
      </c>
      <c r="V38" s="897">
        <v>14.478</v>
      </c>
      <c r="W38" s="1102">
        <v>15.994999999999999</v>
      </c>
      <c r="X38" s="897">
        <v>16.594999999999999</v>
      </c>
      <c r="Y38" s="708">
        <v>19.477499999999999</v>
      </c>
      <c r="Z38" s="897">
        <v>27.218</v>
      </c>
      <c r="AA38" s="708">
        <v>24.73</v>
      </c>
      <c r="AB38" s="897">
        <v>27.344000000000001</v>
      </c>
      <c r="AC38" s="708">
        <v>31.285</v>
      </c>
      <c r="AD38" s="897">
        <v>26.02</v>
      </c>
      <c r="AE38" s="708">
        <v>28.802000000000003</v>
      </c>
      <c r="AF38" s="897">
        <v>34.113999999999997</v>
      </c>
      <c r="AG38" s="708">
        <f>+'Gasolinas 2012'!C99</f>
        <v>36.686</v>
      </c>
      <c r="AH38" s="897">
        <f>+'Gasolinas 2013'!C99</f>
        <v>34.137500000000003</v>
      </c>
      <c r="AI38" s="708">
        <f>+'Gasolinas 2014'!C61</f>
        <v>31.352499999999999</v>
      </c>
      <c r="AJ38" s="897">
        <f>+'Gasolinas 2015'!C63</f>
        <v>22.854999999999997</v>
      </c>
      <c r="AK38" s="708">
        <f>+'Gasolinas 2016'!C61</f>
        <v>23.355999999999998</v>
      </c>
      <c r="AL38" s="897">
        <f>+'Gasolinas 2017'!C62</f>
        <v>24.437999999999999</v>
      </c>
      <c r="AM38" s="897">
        <f>+'Gasolinas 2018'!C62</f>
        <v>28.542000000000002</v>
      </c>
      <c r="AN38" s="897">
        <f>+'Gasolinas 2019'!C62</f>
        <v>25.612499999999997</v>
      </c>
      <c r="AO38" s="897">
        <v>22.297499999999999</v>
      </c>
      <c r="AP38" s="897"/>
    </row>
    <row r="39" spans="1:42">
      <c r="A39" s="546" t="s">
        <v>51</v>
      </c>
      <c r="B39" s="944">
        <v>2.09</v>
      </c>
      <c r="C39" s="944">
        <f>(14*1.95+16*2.07)/30</f>
        <v>2.0140000000000002</v>
      </c>
      <c r="D39" s="944">
        <v>2.0699999999999998</v>
      </c>
      <c r="E39" s="944">
        <v>2.0699999999999998</v>
      </c>
      <c r="F39" s="944">
        <v>3.1</v>
      </c>
      <c r="G39" s="944">
        <v>3.1</v>
      </c>
      <c r="H39" s="944">
        <v>3.1</v>
      </c>
      <c r="I39" s="944">
        <v>3.25</v>
      </c>
      <c r="J39" s="944">
        <v>3.9</v>
      </c>
      <c r="K39" s="944">
        <v>6.95</v>
      </c>
      <c r="L39" s="944">
        <v>9.6</v>
      </c>
      <c r="M39" s="944">
        <v>7.95</v>
      </c>
      <c r="N39" s="944">
        <v>7.95</v>
      </c>
      <c r="O39" s="944">
        <v>8.44</v>
      </c>
      <c r="P39" s="944">
        <v>8.83</v>
      </c>
      <c r="Q39" s="944">
        <v>10.4</v>
      </c>
      <c r="R39" s="944">
        <v>10.58</v>
      </c>
      <c r="S39" s="944">
        <v>10.9</v>
      </c>
      <c r="T39" s="945">
        <v>13.51</v>
      </c>
      <c r="U39" s="1098">
        <v>15.2125</v>
      </c>
      <c r="V39" s="897">
        <v>13.984999999999999</v>
      </c>
      <c r="W39" s="1102">
        <v>16.1175</v>
      </c>
      <c r="X39" s="897">
        <v>16.274999999999999</v>
      </c>
      <c r="Y39" s="708">
        <v>20.306000000000001</v>
      </c>
      <c r="Z39" s="897">
        <v>25.95</v>
      </c>
      <c r="AA39" s="708">
        <v>23.18</v>
      </c>
      <c r="AB39" s="897">
        <v>28.237500000000001</v>
      </c>
      <c r="AC39" s="708">
        <v>26.29</v>
      </c>
      <c r="AD39" s="897">
        <v>27.731999999999999</v>
      </c>
      <c r="AE39" s="708">
        <v>28.957999999999998</v>
      </c>
      <c r="AF39" s="897">
        <v>34.555</v>
      </c>
      <c r="AG39" s="708">
        <f>+'Gasolinas 2012'!C104</f>
        <v>33.879999999999995</v>
      </c>
      <c r="AH39" s="897">
        <f>+'Gasolinas 2013'!C104</f>
        <v>32.957499999999996</v>
      </c>
      <c r="AI39" s="708">
        <f>+'Gasolinas 2014'!C66</f>
        <v>29.375</v>
      </c>
      <c r="AJ39" s="897">
        <f>+'Gasolinas 2015'!C69</f>
        <v>21.97</v>
      </c>
      <c r="AK39" s="708">
        <f>+'Gasolinas 2016'!C66</f>
        <v>22.68</v>
      </c>
      <c r="AL39" s="897">
        <f>+'Gasolinas 2017'!C67</f>
        <v>25.365000000000002</v>
      </c>
      <c r="AM39" s="897">
        <f>+'Gasolinas 2018'!C67</f>
        <v>25.87</v>
      </c>
      <c r="AN39" s="897">
        <f>+'Gasolinas 2019'!C67</f>
        <v>25.537500000000001</v>
      </c>
      <c r="AO39" s="897">
        <v>21.21</v>
      </c>
      <c r="AP39" s="897"/>
    </row>
    <row r="40" spans="1:42" ht="13.5" thickBot="1">
      <c r="A40" s="546" t="s">
        <v>52</v>
      </c>
      <c r="B40" s="944">
        <v>2.09</v>
      </c>
      <c r="C40" s="944">
        <v>2.0699999999999998</v>
      </c>
      <c r="D40" s="944">
        <v>2.0699999999999998</v>
      </c>
      <c r="E40" s="944">
        <v>2.0699999999999998</v>
      </c>
      <c r="F40" s="944">
        <v>3.1</v>
      </c>
      <c r="G40" s="944">
        <v>3.1</v>
      </c>
      <c r="H40" s="944">
        <v>3.1</v>
      </c>
      <c r="I40" s="944">
        <v>3.25</v>
      </c>
      <c r="J40" s="944">
        <v>3.9</v>
      </c>
      <c r="K40" s="944">
        <v>9.6</v>
      </c>
      <c r="L40" s="944">
        <v>9.6</v>
      </c>
      <c r="M40" s="944">
        <v>7.95</v>
      </c>
      <c r="N40" s="944">
        <v>7.95</v>
      </c>
      <c r="O40" s="944">
        <v>8.2799999999999994</v>
      </c>
      <c r="P40" s="944">
        <v>8.84</v>
      </c>
      <c r="Q40" s="944">
        <v>10.58</v>
      </c>
      <c r="R40" s="944">
        <v>10.56</v>
      </c>
      <c r="S40" s="944">
        <v>10.62</v>
      </c>
      <c r="T40" s="945">
        <v>14.13</v>
      </c>
      <c r="U40" s="1098">
        <v>15.0375</v>
      </c>
      <c r="V40" s="1096">
        <v>13.205</v>
      </c>
      <c r="W40" s="1102">
        <v>15.898</v>
      </c>
      <c r="X40" s="897">
        <v>15.885999999999999</v>
      </c>
      <c r="Y40" s="708">
        <v>20.03</v>
      </c>
      <c r="Z40" s="897">
        <v>23.2925</v>
      </c>
      <c r="AA40" s="708">
        <v>23.15</v>
      </c>
      <c r="AB40" s="897">
        <v>29.0425</v>
      </c>
      <c r="AC40" s="708">
        <v>22.545999999999999</v>
      </c>
      <c r="AD40" s="897">
        <v>27.4175</v>
      </c>
      <c r="AE40" s="708">
        <v>29.815000000000001</v>
      </c>
      <c r="AF40" s="897">
        <v>33.372500000000002</v>
      </c>
      <c r="AG40" s="708">
        <f>+'Gasolinas 2012'!C109</f>
        <v>33.865000000000002</v>
      </c>
      <c r="AH40" s="897">
        <f>+'Gasolinas 2013'!C110</f>
        <v>35.049999999999997</v>
      </c>
      <c r="AI40" s="708">
        <f>+'Gasolinas 2014'!C72</f>
        <v>25.881999999999998</v>
      </c>
      <c r="AJ40" s="897">
        <f>+'Gasolinas 2015'!C74</f>
        <v>21.03</v>
      </c>
      <c r="AK40" s="708">
        <f>+'Gasolinas 2016'!C71</f>
        <v>23.605</v>
      </c>
      <c r="AL40" s="897">
        <f>+'Gasolinas 2017'!C72</f>
        <v>25.112500000000001</v>
      </c>
      <c r="AM40" s="897">
        <f>+'Gasolinas 2018'!C72</f>
        <v>23.81</v>
      </c>
      <c r="AN40" s="897">
        <f>+'Gasolinas 2019'!C73</f>
        <v>25.387999999999998</v>
      </c>
      <c r="AO40" s="897">
        <f>+'Gasolinas 2020'!C72</f>
        <v>22.757499999999997</v>
      </c>
      <c r="AP40" s="897"/>
    </row>
    <row r="41" spans="1:42" ht="23.25" customHeight="1" thickBot="1">
      <c r="A41" s="952" t="s">
        <v>7</v>
      </c>
      <c r="B41" s="900">
        <f>AVERAGE(B29:B40)</f>
        <v>2.09</v>
      </c>
      <c r="C41" s="900">
        <f t="shared" ref="C41:T41" si="2">AVERAGE(C29:C40)</f>
        <v>2.02475</v>
      </c>
      <c r="D41" s="900">
        <f t="shared" si="2"/>
        <v>2.0699999999999998</v>
      </c>
      <c r="E41" s="900">
        <f t="shared" si="2"/>
        <v>2.0699999999999998</v>
      </c>
      <c r="F41" s="900">
        <f t="shared" si="2"/>
        <v>2.499166666666667</v>
      </c>
      <c r="G41" s="900">
        <f t="shared" si="2"/>
        <v>3.100000000000001</v>
      </c>
      <c r="H41" s="900">
        <f t="shared" si="2"/>
        <v>3.100000000000001</v>
      </c>
      <c r="I41" s="900">
        <f t="shared" si="2"/>
        <v>3.1833333333333336</v>
      </c>
      <c r="J41" s="900">
        <f t="shared" si="2"/>
        <v>3.3733333333333331</v>
      </c>
      <c r="K41" s="900">
        <f t="shared" si="2"/>
        <v>5.5125000000000002</v>
      </c>
      <c r="L41" s="900">
        <f t="shared" si="2"/>
        <v>9.5999999999999979</v>
      </c>
      <c r="M41" s="900">
        <f t="shared" si="2"/>
        <v>8.7750000000000004</v>
      </c>
      <c r="N41" s="900">
        <f t="shared" si="2"/>
        <v>7.950000000000002</v>
      </c>
      <c r="O41" s="900">
        <f t="shared" si="2"/>
        <v>8.3941666666666652</v>
      </c>
      <c r="P41" s="900">
        <f t="shared" si="2"/>
        <v>8.8691666666666666</v>
      </c>
      <c r="Q41" s="900">
        <f t="shared" si="2"/>
        <v>10.071666666666667</v>
      </c>
      <c r="R41" s="900">
        <f t="shared" si="2"/>
        <v>10.715833333333331</v>
      </c>
      <c r="S41" s="900">
        <f t="shared" si="2"/>
        <v>10.836666666666668</v>
      </c>
      <c r="T41" s="900">
        <f t="shared" si="2"/>
        <v>12.137500000000001</v>
      </c>
      <c r="U41" s="953">
        <f t="shared" ref="U41:AK41" si="3">AVERAGE(U29:U40)</f>
        <v>14.968999999999999</v>
      </c>
      <c r="V41" s="953">
        <f t="shared" si="3"/>
        <v>14.595388888888893</v>
      </c>
      <c r="W41" s="953">
        <f t="shared" si="3"/>
        <v>14.721125000000001</v>
      </c>
      <c r="X41" s="953">
        <f t="shared" si="3"/>
        <v>16.202625000000001</v>
      </c>
      <c r="Y41" s="953">
        <f t="shared" si="3"/>
        <v>18.781458333333333</v>
      </c>
      <c r="Z41" s="953">
        <f t="shared" si="3"/>
        <v>22.578916666666668</v>
      </c>
      <c r="AA41" s="953">
        <f t="shared" si="3"/>
        <v>24.857624999999995</v>
      </c>
      <c r="AB41" s="953">
        <f t="shared" si="3"/>
        <v>26.50395833333334</v>
      </c>
      <c r="AC41" s="953">
        <f t="shared" si="3"/>
        <v>31.258458333333333</v>
      </c>
      <c r="AD41" s="953">
        <f t="shared" si="3"/>
        <v>24.441208333333336</v>
      </c>
      <c r="AE41" s="953">
        <f t="shared" si="3"/>
        <v>28.752624999999998</v>
      </c>
      <c r="AF41" s="953">
        <f t="shared" si="3"/>
        <v>34.165875</v>
      </c>
      <c r="AG41" s="953" t="e">
        <f t="shared" si="3"/>
        <v>#REF!</v>
      </c>
      <c r="AH41" s="953">
        <f t="shared" si="3"/>
        <v>34.833416666666672</v>
      </c>
      <c r="AI41" s="953">
        <f t="shared" si="3"/>
        <v>33.093458333333338</v>
      </c>
      <c r="AJ41" s="953">
        <f t="shared" si="3"/>
        <v>26.867833333333333</v>
      </c>
      <c r="AK41" s="953">
        <f t="shared" si="3"/>
        <v>23.605625000000003</v>
      </c>
      <c r="AL41" s="953">
        <f>AVERAGE(AL29:AL40)</f>
        <v>25.440041666666669</v>
      </c>
      <c r="AM41" s="953">
        <f>AVERAGE(AM29:AM40)</f>
        <v>27.671833333333328</v>
      </c>
      <c r="AN41" s="953">
        <f>AVERAGE(AN29:AN40)</f>
        <v>27.410499999999999</v>
      </c>
      <c r="AO41" s="953">
        <f>AVERAGE(AO29:AO40)</f>
        <v>22.148375000000001</v>
      </c>
      <c r="AP41" s="953">
        <f>AVERAGE(AP29:AP40)</f>
        <v>28.828749999999999</v>
      </c>
    </row>
    <row r="42" spans="1:42">
      <c r="A42" s="546" t="s">
        <v>519</v>
      </c>
      <c r="B42" s="895"/>
      <c r="C42" s="895"/>
      <c r="D42" s="895"/>
      <c r="E42" s="895"/>
      <c r="F42" s="895"/>
      <c r="G42" s="895"/>
      <c r="H42" s="895"/>
      <c r="I42" s="895"/>
      <c r="J42" s="895"/>
      <c r="K42" s="895"/>
      <c r="L42" s="895"/>
      <c r="M42" s="895"/>
      <c r="N42" s="895"/>
      <c r="O42" s="895"/>
      <c r="P42" s="895"/>
      <c r="Q42" s="895"/>
      <c r="R42" s="895"/>
      <c r="S42" s="895"/>
      <c r="T42" s="895"/>
      <c r="U42" s="759"/>
      <c r="V42" s="759"/>
      <c r="W42" s="759"/>
      <c r="X42" s="759"/>
      <c r="Y42" s="759"/>
      <c r="Z42" s="759"/>
      <c r="AA42" s="759"/>
      <c r="AB42" s="759"/>
      <c r="AC42" s="759"/>
      <c r="AD42" s="759"/>
      <c r="AE42" s="759"/>
      <c r="AF42" s="759"/>
      <c r="AG42" s="759"/>
      <c r="AH42" s="759"/>
      <c r="AI42" s="759"/>
      <c r="AJ42" s="759"/>
      <c r="AK42" s="759"/>
      <c r="AL42" s="548"/>
      <c r="AM42" s="564"/>
      <c r="AN42" s="564"/>
      <c r="AO42" s="564"/>
      <c r="AP42" s="564"/>
    </row>
    <row r="43" spans="1:42">
      <c r="A43" s="1707"/>
      <c r="B43" s="1707"/>
      <c r="C43" s="1707"/>
      <c r="D43" s="1707"/>
      <c r="E43" s="1707"/>
      <c r="F43" s="1707"/>
      <c r="G43" s="1707"/>
      <c r="H43" s="1707"/>
      <c r="I43" s="1707"/>
      <c r="J43" s="1707"/>
      <c r="K43" s="1707"/>
      <c r="L43" s="1707"/>
      <c r="M43" s="1707"/>
      <c r="N43" s="1707"/>
      <c r="O43" s="1707"/>
      <c r="P43" s="1707"/>
      <c r="Q43" s="1707"/>
      <c r="R43" s="1707"/>
      <c r="S43" s="1707"/>
      <c r="T43" s="1707"/>
      <c r="U43" s="1708"/>
      <c r="V43" s="1708"/>
      <c r="W43" s="1708"/>
      <c r="X43" s="1708"/>
      <c r="Y43" s="1708"/>
      <c r="Z43" s="1708"/>
      <c r="AA43" s="1708"/>
      <c r="AB43" s="1708"/>
      <c r="AC43" s="1708"/>
      <c r="AD43" s="1708"/>
      <c r="AE43" s="1708"/>
      <c r="AF43" s="1708"/>
      <c r="AG43" s="1708"/>
      <c r="AH43" s="1708"/>
      <c r="AI43" s="1708"/>
      <c r="AJ43" s="1708"/>
      <c r="AK43" s="1708"/>
      <c r="AL43" s="548"/>
      <c r="AM43" s="548"/>
      <c r="AN43" s="548"/>
      <c r="AO43" s="548"/>
      <c r="AP43" s="548"/>
    </row>
    <row r="44" spans="1:42" ht="13.5" thickBot="1">
      <c r="A44" s="948" t="s">
        <v>520</v>
      </c>
      <c r="B44" s="948"/>
      <c r="C44" s="948"/>
      <c r="D44" s="948"/>
      <c r="E44" s="948"/>
      <c r="F44" s="948"/>
      <c r="G44" s="948"/>
      <c r="H44" s="948"/>
      <c r="I44" s="948"/>
      <c r="J44" s="948"/>
      <c r="K44" s="948"/>
      <c r="L44" s="948"/>
      <c r="M44" s="948"/>
      <c r="N44" s="948"/>
      <c r="O44" s="948"/>
      <c r="P44" s="948"/>
      <c r="Q44" s="948"/>
      <c r="R44" s="948"/>
      <c r="S44" s="948"/>
      <c r="T44" s="948"/>
      <c r="U44" s="948"/>
      <c r="V44" s="948"/>
      <c r="W44" s="888"/>
      <c r="X44" s="888"/>
      <c r="Y44" s="888"/>
      <c r="Z44" s="888"/>
      <c r="AA44" s="888"/>
      <c r="AB44" s="888"/>
      <c r="AC44" s="888"/>
      <c r="AD44" s="888"/>
      <c r="AE44" s="888"/>
      <c r="AF44" s="888"/>
      <c r="AG44" s="888"/>
      <c r="AH44" s="888"/>
      <c r="AI44" s="888"/>
      <c r="AJ44" s="888"/>
      <c r="AK44" s="548"/>
      <c r="AL44" s="548"/>
      <c r="AM44" s="548"/>
      <c r="AN44" s="548"/>
      <c r="AO44" s="548"/>
      <c r="AP44" s="548"/>
    </row>
    <row r="45" spans="1:42">
      <c r="A45" s="1709" t="s">
        <v>517</v>
      </c>
      <c r="B45" s="1709">
        <v>1981</v>
      </c>
      <c r="C45" s="1709">
        <v>1982</v>
      </c>
      <c r="D45" s="1709">
        <v>1983</v>
      </c>
      <c r="E45" s="1709">
        <v>1984</v>
      </c>
      <c r="F45" s="1709">
        <v>1985</v>
      </c>
      <c r="G45" s="1709">
        <v>1986</v>
      </c>
      <c r="H45" s="1709">
        <v>1987</v>
      </c>
      <c r="I45" s="1709">
        <v>1988</v>
      </c>
      <c r="J45" s="1709">
        <v>1989</v>
      </c>
      <c r="K45" s="1709">
        <v>1990</v>
      </c>
      <c r="L45" s="1709">
        <v>1991</v>
      </c>
      <c r="M45" s="1709">
        <v>1992</v>
      </c>
      <c r="N45" s="1709">
        <v>1993</v>
      </c>
      <c r="O45" s="1709">
        <v>1994</v>
      </c>
      <c r="P45" s="1709">
        <v>1995</v>
      </c>
      <c r="Q45" s="1709">
        <v>1996</v>
      </c>
      <c r="R45" s="1709">
        <v>1997</v>
      </c>
      <c r="S45" s="1709">
        <v>1998</v>
      </c>
      <c r="T45" s="1709">
        <v>1999</v>
      </c>
      <c r="U45" s="1709">
        <v>2000</v>
      </c>
      <c r="V45" s="1709">
        <v>2001</v>
      </c>
      <c r="W45" s="1709">
        <v>2002</v>
      </c>
      <c r="X45" s="1709">
        <v>2003</v>
      </c>
      <c r="Y45" s="1709">
        <v>2004</v>
      </c>
      <c r="Z45" s="1709">
        <v>2005</v>
      </c>
      <c r="AA45" s="1709">
        <v>2006</v>
      </c>
      <c r="AB45" s="1709">
        <v>2007</v>
      </c>
      <c r="AC45" s="1709">
        <v>2008</v>
      </c>
      <c r="AD45" s="1709">
        <v>2009</v>
      </c>
      <c r="AE45" s="1709">
        <v>2010</v>
      </c>
      <c r="AF45" s="1709">
        <v>2011</v>
      </c>
      <c r="AG45" s="1709">
        <f>+AG10</f>
        <v>2012</v>
      </c>
      <c r="AH45" s="1709">
        <v>2013</v>
      </c>
      <c r="AI45" s="1709">
        <v>2014</v>
      </c>
      <c r="AJ45" s="1709">
        <v>2015</v>
      </c>
      <c r="AK45" s="1709">
        <v>2016</v>
      </c>
      <c r="AL45" s="1709">
        <v>2017</v>
      </c>
      <c r="AM45" s="1709">
        <v>2018</v>
      </c>
      <c r="AN45" s="1709">
        <v>2019</v>
      </c>
      <c r="AO45" s="1709">
        <v>2020</v>
      </c>
      <c r="AP45" s="1709">
        <v>2021</v>
      </c>
    </row>
    <row r="46" spans="1:42" ht="13.5" thickBot="1">
      <c r="A46" s="1710"/>
      <c r="B46" s="1710"/>
      <c r="C46" s="1710"/>
      <c r="D46" s="1710"/>
      <c r="E46" s="1710"/>
      <c r="F46" s="1710"/>
      <c r="G46" s="1710"/>
      <c r="H46" s="1710"/>
      <c r="I46" s="1710"/>
      <c r="J46" s="1710"/>
      <c r="K46" s="1710"/>
      <c r="L46" s="1710"/>
      <c r="M46" s="1710"/>
      <c r="N46" s="1710"/>
      <c r="O46" s="1710"/>
      <c r="P46" s="1710"/>
      <c r="Q46" s="1710"/>
      <c r="R46" s="1710"/>
      <c r="S46" s="1710"/>
      <c r="T46" s="1710"/>
      <c r="U46" s="1710"/>
      <c r="V46" s="1710"/>
      <c r="W46" s="1710"/>
      <c r="X46" s="1710"/>
      <c r="Y46" s="1710"/>
      <c r="Z46" s="1710"/>
      <c r="AA46" s="1710"/>
      <c r="AB46" s="1710"/>
      <c r="AC46" s="1710"/>
      <c r="AD46" s="1710"/>
      <c r="AE46" s="1710"/>
      <c r="AF46" s="1710"/>
      <c r="AG46" s="1710"/>
      <c r="AH46" s="1710"/>
      <c r="AI46" s="1710"/>
      <c r="AJ46" s="1710"/>
      <c r="AK46" s="1710"/>
      <c r="AL46" s="1710"/>
      <c r="AM46" s="1710"/>
      <c r="AN46" s="1710"/>
      <c r="AO46" s="1710"/>
      <c r="AP46" s="1710"/>
    </row>
    <row r="47" spans="1:42">
      <c r="A47" s="951" t="s">
        <v>41</v>
      </c>
      <c r="B47" s="708">
        <v>2.04</v>
      </c>
      <c r="C47" s="951">
        <v>2.04</v>
      </c>
      <c r="D47" s="951">
        <v>1.9</v>
      </c>
      <c r="E47" s="708">
        <v>1.9</v>
      </c>
      <c r="F47" s="951">
        <v>1.9</v>
      </c>
      <c r="G47" s="708">
        <v>2.9</v>
      </c>
      <c r="H47" s="951">
        <v>2.9</v>
      </c>
      <c r="I47" s="708">
        <v>2.9</v>
      </c>
      <c r="J47" s="951">
        <v>3.05</v>
      </c>
      <c r="K47" s="708">
        <v>3.7</v>
      </c>
      <c r="L47" s="951">
        <v>8.9499999999999993</v>
      </c>
      <c r="M47" s="708">
        <v>8.9499999999999993</v>
      </c>
      <c r="N47" s="951">
        <v>7.75</v>
      </c>
      <c r="O47" s="708">
        <v>7.75</v>
      </c>
      <c r="P47" s="951">
        <v>7.84</v>
      </c>
      <c r="Q47" s="708">
        <v>8.86</v>
      </c>
      <c r="R47" s="951">
        <v>10.4</v>
      </c>
      <c r="S47" s="951">
        <v>10.68</v>
      </c>
      <c r="T47" s="951">
        <v>10.029999999999999</v>
      </c>
      <c r="U47" s="951">
        <v>13.52</v>
      </c>
      <c r="V47" s="708">
        <v>14.15</v>
      </c>
      <c r="W47" s="951">
        <v>12.566000000000001</v>
      </c>
      <c r="X47" s="951">
        <v>15.3675</v>
      </c>
      <c r="Y47" s="708">
        <v>15.795</v>
      </c>
      <c r="Z47" s="951">
        <v>18.52</v>
      </c>
      <c r="AA47" s="708">
        <v>22.15</v>
      </c>
      <c r="AB47" s="951">
        <v>22.484000000000002</v>
      </c>
      <c r="AC47" s="708">
        <v>28.28</v>
      </c>
      <c r="AD47" s="951">
        <v>20.68</v>
      </c>
      <c r="AE47" s="708">
        <v>27.43</v>
      </c>
      <c r="AF47" s="951">
        <v>29.9025</v>
      </c>
      <c r="AG47" s="708">
        <f>+'Gasolinas 2012'!D14</f>
        <v>32.570000000000007</v>
      </c>
      <c r="AH47" s="951">
        <f>+'Gasolinas 2013'!D14</f>
        <v>32.718000000000004</v>
      </c>
      <c r="AI47" s="708">
        <v>33.33</v>
      </c>
      <c r="AJ47" s="951">
        <f>+'Gasolinas 2015'!D15</f>
        <v>20.274999999999999</v>
      </c>
      <c r="AK47" s="708">
        <f>+'Gasolinas 2016'!D13</f>
        <v>18.902500000000003</v>
      </c>
      <c r="AL47" s="951">
        <f>+'Gasolinas 2017'!D14</f>
        <v>23.187999999999999</v>
      </c>
      <c r="AM47" s="951">
        <f>+'Gasolinas 2018'!D14</f>
        <v>24.772000000000002</v>
      </c>
      <c r="AN47" s="951">
        <f>+'Gasolinas 2019'!D14</f>
        <v>21.868000000000002</v>
      </c>
      <c r="AO47" s="951">
        <f>+'Gasolinas 2020'!D13</f>
        <v>24.585000000000001</v>
      </c>
      <c r="AP47" s="951">
        <v>23.005000000000003</v>
      </c>
    </row>
    <row r="48" spans="1:42">
      <c r="A48" s="897" t="s">
        <v>42</v>
      </c>
      <c r="B48" s="708">
        <v>2.04</v>
      </c>
      <c r="C48" s="897">
        <v>2.04</v>
      </c>
      <c r="D48" s="897">
        <v>1.9</v>
      </c>
      <c r="E48" s="708">
        <v>1.9</v>
      </c>
      <c r="F48" s="897">
        <v>1.9</v>
      </c>
      <c r="G48" s="708">
        <v>2.9</v>
      </c>
      <c r="H48" s="897">
        <v>2.9</v>
      </c>
      <c r="I48" s="708">
        <v>2.9</v>
      </c>
      <c r="J48" s="897">
        <v>3.05</v>
      </c>
      <c r="K48" s="708">
        <v>3.7</v>
      </c>
      <c r="L48" s="897">
        <v>8.9499999999999993</v>
      </c>
      <c r="M48" s="708">
        <v>8.9499999999999993</v>
      </c>
      <c r="N48" s="897">
        <v>7.75</v>
      </c>
      <c r="O48" s="708">
        <v>7.87</v>
      </c>
      <c r="P48" s="897">
        <v>8.1199999999999992</v>
      </c>
      <c r="Q48" s="708">
        <v>9.08</v>
      </c>
      <c r="R48" s="897">
        <v>10.5</v>
      </c>
      <c r="S48" s="897">
        <v>10.53</v>
      </c>
      <c r="T48" s="897">
        <v>10.02</v>
      </c>
      <c r="U48" s="897">
        <v>13.88</v>
      </c>
      <c r="V48" s="708">
        <v>14.282500000000001</v>
      </c>
      <c r="W48" s="897">
        <v>12.36</v>
      </c>
      <c r="X48" s="897">
        <v>16.184999999999999</v>
      </c>
      <c r="Y48" s="708">
        <v>17.077500000000001</v>
      </c>
      <c r="Z48" s="897">
        <v>18.072500000000002</v>
      </c>
      <c r="AA48" s="708">
        <v>21.864999999999998</v>
      </c>
      <c r="AB48" s="897">
        <v>21.522500000000001</v>
      </c>
      <c r="AC48" s="708">
        <v>28.18</v>
      </c>
      <c r="AD48" s="897">
        <v>20.462499999999999</v>
      </c>
      <c r="AE48" s="708">
        <v>27.142499999999998</v>
      </c>
      <c r="AF48" s="897">
        <v>30.895</v>
      </c>
      <c r="AG48" s="708">
        <f>+'Gasolinas 2012'!D19</f>
        <v>34.835000000000001</v>
      </c>
      <c r="AH48" s="897">
        <f>+'Gasolinas 2013'!D19</f>
        <v>34.004999999999995</v>
      </c>
      <c r="AI48" s="708">
        <v>32.457500000000003</v>
      </c>
      <c r="AJ48" s="897">
        <f>+'Gasolinas 2015'!D20</f>
        <v>38.24</v>
      </c>
      <c r="AK48" s="708">
        <f>+'Gasolinas 2016'!D19</f>
        <v>17.908000000000001</v>
      </c>
      <c r="AL48" s="897">
        <f>+'Gasolinas 2017'!D19</f>
        <v>22.38</v>
      </c>
      <c r="AM48" s="897">
        <f>+'Gasolinas 2018'!D19</f>
        <v>24.692499999999999</v>
      </c>
      <c r="AN48" s="897">
        <f>+'Gasolinas 2019'!D19</f>
        <v>22.675000000000001</v>
      </c>
      <c r="AO48" s="897">
        <f>+'Gasolinas 2020'!D18</f>
        <v>23.479999999999997</v>
      </c>
      <c r="AP48" s="897">
        <f>+'[6]Gasolineras 2022'!D19</f>
        <v>33.077500000000001</v>
      </c>
    </row>
    <row r="49" spans="1:45">
      <c r="A49" s="897" t="s">
        <v>43</v>
      </c>
      <c r="B49" s="708">
        <v>2.04</v>
      </c>
      <c r="C49" s="897">
        <v>1.9653333333333334</v>
      </c>
      <c r="D49" s="897">
        <v>1.9</v>
      </c>
      <c r="E49" s="708">
        <v>1.9</v>
      </c>
      <c r="F49" s="897">
        <v>1.9</v>
      </c>
      <c r="G49" s="708">
        <v>2.9</v>
      </c>
      <c r="H49" s="897">
        <v>2.9</v>
      </c>
      <c r="I49" s="708">
        <v>2.9</v>
      </c>
      <c r="J49" s="897">
        <v>3.05</v>
      </c>
      <c r="K49" s="708">
        <v>3.7</v>
      </c>
      <c r="L49" s="897">
        <v>8.9499999999999993</v>
      </c>
      <c r="M49" s="708">
        <v>8.9499999999999993</v>
      </c>
      <c r="N49" s="897">
        <v>7.75</v>
      </c>
      <c r="O49" s="708">
        <v>7.86</v>
      </c>
      <c r="P49" s="897">
        <v>8.2899999999999991</v>
      </c>
      <c r="Q49" s="708">
        <v>9.2100000000000009</v>
      </c>
      <c r="R49" s="897">
        <v>10.29</v>
      </c>
      <c r="S49" s="897">
        <v>10.46</v>
      </c>
      <c r="T49" s="897">
        <v>10.18</v>
      </c>
      <c r="U49" s="897">
        <v>14.39</v>
      </c>
      <c r="V49" s="708">
        <v>14.1325</v>
      </c>
      <c r="W49" s="897">
        <v>12.647500000000001</v>
      </c>
      <c r="X49" s="897">
        <v>17.265999999999998</v>
      </c>
      <c r="Y49" s="708">
        <v>17.706</v>
      </c>
      <c r="Z49" s="897">
        <v>19.245000000000001</v>
      </c>
      <c r="AA49" s="708">
        <v>21.69</v>
      </c>
      <c r="AB49" s="897">
        <v>22.607500000000002</v>
      </c>
      <c r="AC49" s="708">
        <v>29.546000000000003</v>
      </c>
      <c r="AD49" s="897">
        <v>20.178000000000001</v>
      </c>
      <c r="AE49" s="708">
        <v>28.286799999999999</v>
      </c>
      <c r="AF49" s="897">
        <v>33.822499999999998</v>
      </c>
      <c r="AG49" s="708" t="e">
        <f>+'Gasolinas 2012'!#REF!</f>
        <v>#REF!</v>
      </c>
      <c r="AH49" s="897">
        <f>+'Gasolinas 2013'!D24</f>
        <v>34.754999999999995</v>
      </c>
      <c r="AI49" s="708">
        <v>32.770000000000003</v>
      </c>
      <c r="AJ49" s="897">
        <f>+'Gasolinas 2015'!D26</f>
        <v>24.005600000000001</v>
      </c>
      <c r="AK49" s="708">
        <f>+'Gasolinas 2016'!D24</f>
        <v>24.524999999999999</v>
      </c>
      <c r="AL49" s="897">
        <f>+'Gasolinas 2017'!D24</f>
        <v>25.917499999999997</v>
      </c>
      <c r="AM49" s="897">
        <f>+'Gasolinas 2018'!D24</f>
        <v>28.110000000000003</v>
      </c>
      <c r="AN49" s="897">
        <f>+'Gasolinas 2019'!D24</f>
        <v>28.25</v>
      </c>
      <c r="AO49" s="897">
        <f>+'Gasolinas 2020'!D24</f>
        <v>22.578000000000003</v>
      </c>
      <c r="AP49" s="897"/>
    </row>
    <row r="50" spans="1:45">
      <c r="A50" s="897" t="s">
        <v>44</v>
      </c>
      <c r="B50" s="708">
        <v>2.04</v>
      </c>
      <c r="C50" s="897">
        <v>1.9</v>
      </c>
      <c r="D50" s="897">
        <v>1.9</v>
      </c>
      <c r="E50" s="708">
        <v>1.9</v>
      </c>
      <c r="F50" s="897">
        <v>1.9</v>
      </c>
      <c r="G50" s="708">
        <v>2.9</v>
      </c>
      <c r="H50" s="897">
        <v>2.9</v>
      </c>
      <c r="I50" s="708">
        <v>2.9</v>
      </c>
      <c r="J50" s="897">
        <v>3.05</v>
      </c>
      <c r="K50" s="708">
        <v>4.5999999999999996</v>
      </c>
      <c r="L50" s="897">
        <v>8.9499999999999993</v>
      </c>
      <c r="M50" s="708">
        <v>8.9499999999999993</v>
      </c>
      <c r="N50" s="897">
        <v>7.75</v>
      </c>
      <c r="O50" s="708">
        <v>7.9</v>
      </c>
      <c r="P50" s="897">
        <v>8.49</v>
      </c>
      <c r="Q50" s="708">
        <v>9.69</v>
      </c>
      <c r="R50" s="897">
        <v>10.29</v>
      </c>
      <c r="S50" s="897">
        <v>10.37</v>
      </c>
      <c r="T50" s="897">
        <v>11.03</v>
      </c>
      <c r="U50" s="897">
        <v>14.09</v>
      </c>
      <c r="V50" s="708">
        <v>14.1</v>
      </c>
      <c r="W50" s="897">
        <v>14.224</v>
      </c>
      <c r="X50" s="897">
        <v>16.502500000000001</v>
      </c>
      <c r="Y50" s="708">
        <v>18.07</v>
      </c>
      <c r="Z50" s="897">
        <v>21.42</v>
      </c>
      <c r="AA50" s="708">
        <v>23.984999999999999</v>
      </c>
      <c r="AB50" s="897">
        <v>25.01</v>
      </c>
      <c r="AC50" s="708">
        <v>30.984999999999999</v>
      </c>
      <c r="AD50" s="897">
        <v>20.664999999999999</v>
      </c>
      <c r="AE50" s="708">
        <v>29.33</v>
      </c>
      <c r="AF50" s="897">
        <v>34.902500000000003</v>
      </c>
      <c r="AG50" s="708">
        <f>+'Gasolinas 2012'!D29</f>
        <v>37.0105</v>
      </c>
      <c r="AH50" s="897">
        <f>+'Gasolinas 2013'!D29</f>
        <v>32.712499999999999</v>
      </c>
      <c r="AI50" s="708">
        <v>33.587499999999999</v>
      </c>
      <c r="AJ50" s="897">
        <f>+'Gasolinas 2015'!D31</f>
        <v>33.79</v>
      </c>
      <c r="AK50" s="708">
        <f>+'Gasolinas 2016'!D28</f>
        <v>20.773333333333333</v>
      </c>
      <c r="AL50" s="897">
        <f>+'Gasolinas 2017'!D29</f>
        <v>22.717499999999998</v>
      </c>
      <c r="AM50" s="897">
        <f>+'Gasolinas 2018'!D29</f>
        <v>25.082500000000003</v>
      </c>
      <c r="AN50" s="897">
        <f>+'Gasolinas 2019'!D30</f>
        <v>34.47</v>
      </c>
      <c r="AO50" s="897">
        <f>+'Gasolinas 2020'!D29</f>
        <v>17.955000000000002</v>
      </c>
      <c r="AP50" s="897"/>
    </row>
    <row r="51" spans="1:45">
      <c r="A51" s="897" t="s">
        <v>45</v>
      </c>
      <c r="B51" s="708">
        <v>2.04</v>
      </c>
      <c r="C51" s="897">
        <v>1.9</v>
      </c>
      <c r="D51" s="897">
        <v>1.9</v>
      </c>
      <c r="E51" s="708">
        <v>1.9</v>
      </c>
      <c r="F51" s="897">
        <v>1.9</v>
      </c>
      <c r="G51" s="708">
        <v>2.9</v>
      </c>
      <c r="H51" s="897">
        <v>2.9</v>
      </c>
      <c r="I51" s="708">
        <v>2.9</v>
      </c>
      <c r="J51" s="897">
        <v>3.05</v>
      </c>
      <c r="K51" s="708">
        <v>4.5999999999999996</v>
      </c>
      <c r="L51" s="897">
        <v>8.9499999999999993</v>
      </c>
      <c r="M51" s="708">
        <v>8.9499999999999993</v>
      </c>
      <c r="N51" s="897">
        <v>7.75</v>
      </c>
      <c r="O51" s="708">
        <v>7.95</v>
      </c>
      <c r="P51" s="897">
        <v>9.0399999999999991</v>
      </c>
      <c r="Q51" s="708">
        <v>9.99</v>
      </c>
      <c r="R51" s="897">
        <v>10.33</v>
      </c>
      <c r="S51" s="897">
        <v>10.57</v>
      </c>
      <c r="T51" s="897">
        <v>11.54</v>
      </c>
      <c r="U51" s="897">
        <v>14.38</v>
      </c>
      <c r="V51" s="708">
        <v>15.211666666666668</v>
      </c>
      <c r="W51" s="897">
        <v>14.285</v>
      </c>
      <c r="X51" s="897">
        <v>15.432499999999999</v>
      </c>
      <c r="Y51" s="708">
        <v>18.446000000000002</v>
      </c>
      <c r="Z51" s="897">
        <v>21.971999999999998</v>
      </c>
      <c r="AA51" s="708">
        <v>26.366</v>
      </c>
      <c r="AB51" s="897">
        <v>26.992000000000001</v>
      </c>
      <c r="AC51" s="708">
        <v>32.4375</v>
      </c>
      <c r="AD51" s="897">
        <v>21.89</v>
      </c>
      <c r="AE51" s="708">
        <v>28.832000000000001</v>
      </c>
      <c r="AF51" s="897">
        <v>35.032000000000004</v>
      </c>
      <c r="AG51" s="708">
        <f>+'Gasolinas 2012'!D34</f>
        <v>32.97</v>
      </c>
      <c r="AH51" s="897">
        <f>+'Gasolinas 2013'!D34</f>
        <v>32.97</v>
      </c>
      <c r="AI51" s="708">
        <f>+'Gasolinas 2014'!D34</f>
        <v>32.97</v>
      </c>
      <c r="AJ51" s="897">
        <f>+'Gasolinas 2015'!D36</f>
        <v>31.0625</v>
      </c>
      <c r="AK51" s="708">
        <f>+'Gasolinas 2016'!D34</f>
        <v>32.97</v>
      </c>
      <c r="AL51" s="897">
        <f>+'Gasolinas 2017'!D35</f>
        <v>33.433999999999997</v>
      </c>
      <c r="AM51" s="897">
        <f>+'Gasolinas 2018'!D35</f>
        <v>33.433999999999997</v>
      </c>
      <c r="AN51" s="897">
        <f>+'Gasolinas 2019'!D35</f>
        <v>33.174999999999997</v>
      </c>
      <c r="AO51" s="897">
        <f>+'Gasolinas 2020'!D34</f>
        <v>17.7075</v>
      </c>
      <c r="AP51" s="897"/>
      <c r="AQ51" s="75"/>
      <c r="AR51" s="75"/>
      <c r="AS51" s="75"/>
    </row>
    <row r="52" spans="1:45">
      <c r="A52" s="897" t="s">
        <v>46</v>
      </c>
      <c r="B52" s="708">
        <v>2.04</v>
      </c>
      <c r="C52" s="897">
        <v>1.9</v>
      </c>
      <c r="D52" s="897">
        <v>1.9</v>
      </c>
      <c r="E52" s="708">
        <v>1.9</v>
      </c>
      <c r="F52" s="897">
        <v>1.9</v>
      </c>
      <c r="G52" s="708">
        <v>2.9</v>
      </c>
      <c r="H52" s="897">
        <v>2.9</v>
      </c>
      <c r="I52" s="708">
        <v>2.9</v>
      </c>
      <c r="J52" s="897">
        <v>3.05</v>
      </c>
      <c r="K52" s="708">
        <v>4.5999999999999996</v>
      </c>
      <c r="L52" s="897">
        <v>8.9499999999999993</v>
      </c>
      <c r="M52" s="708">
        <v>8.9499999999999993</v>
      </c>
      <c r="N52" s="897">
        <v>7.75</v>
      </c>
      <c r="O52" s="708">
        <v>8</v>
      </c>
      <c r="P52" s="897">
        <v>9.0500000000000007</v>
      </c>
      <c r="Q52" s="708">
        <v>9.92</v>
      </c>
      <c r="R52" s="897">
        <v>10.4</v>
      </c>
      <c r="S52" s="897">
        <v>10.65</v>
      </c>
      <c r="T52" s="897">
        <v>11.53</v>
      </c>
      <c r="U52" s="897">
        <v>15.09</v>
      </c>
      <c r="V52" s="708">
        <v>15.272500000000001</v>
      </c>
      <c r="W52" s="897">
        <v>14.135</v>
      </c>
      <c r="X52" s="897">
        <v>14.6425</v>
      </c>
      <c r="Y52" s="708">
        <v>18.774999999999999</v>
      </c>
      <c r="Z52" s="897">
        <v>21.737500000000001</v>
      </c>
      <c r="AA52" s="708">
        <v>26.26</v>
      </c>
      <c r="AB52" s="897">
        <v>28.024999999999999</v>
      </c>
      <c r="AC52" s="708">
        <v>34.82</v>
      </c>
      <c r="AD52" s="897">
        <v>22.94</v>
      </c>
      <c r="AE52" s="708">
        <v>27.035</v>
      </c>
      <c r="AF52" s="897">
        <v>34.172499999999999</v>
      </c>
      <c r="AG52" s="708">
        <f>+'Gasolinas 2012'!D39</f>
        <v>33.052499999999995</v>
      </c>
      <c r="AH52" s="897">
        <f>+'Gasolinas 2013'!D39</f>
        <v>32.774999999999999</v>
      </c>
      <c r="AI52" s="708">
        <f>+'Gasolinas 2014'!D39</f>
        <v>33.835000000000001</v>
      </c>
      <c r="AJ52" s="897">
        <f>+'Gasolinas 2015'!D41</f>
        <v>25.604999999999997</v>
      </c>
      <c r="AK52" s="708">
        <f>+'Gasolinas 2016'!D39</f>
        <v>22.184999999999999</v>
      </c>
      <c r="AL52" s="897">
        <f>+'Gasolinas 2017'!D40</f>
        <v>21.827500000000001</v>
      </c>
      <c r="AM52" s="897">
        <f>+'Gasolinas 2018'!D40</f>
        <v>26.844999999999999</v>
      </c>
      <c r="AN52" s="897">
        <f>+'Gasolinas 2019'!D40</f>
        <v>25.252500000000001</v>
      </c>
      <c r="AO52" s="897">
        <f>+'Gasolinas 2020'!D40</f>
        <v>20.203999999999997</v>
      </c>
      <c r="AP52" s="897"/>
      <c r="AQ52" s="706"/>
      <c r="AR52" s="706"/>
      <c r="AS52" s="706"/>
    </row>
    <row r="53" spans="1:45">
      <c r="A53" s="897" t="s">
        <v>47</v>
      </c>
      <c r="B53" s="708">
        <v>2.04</v>
      </c>
      <c r="C53" s="897">
        <v>1.9</v>
      </c>
      <c r="D53" s="897">
        <v>1.9</v>
      </c>
      <c r="E53" s="708">
        <v>1.9</v>
      </c>
      <c r="F53" s="897">
        <v>2.9</v>
      </c>
      <c r="G53" s="708">
        <v>2.9</v>
      </c>
      <c r="H53" s="897">
        <v>2.9</v>
      </c>
      <c r="I53" s="708">
        <v>3.15</v>
      </c>
      <c r="J53" s="897">
        <v>3.05</v>
      </c>
      <c r="K53" s="708">
        <v>4.5999999999999996</v>
      </c>
      <c r="L53" s="897">
        <v>8.9499999999999993</v>
      </c>
      <c r="M53" s="708">
        <v>7.75</v>
      </c>
      <c r="N53" s="897">
        <v>7.75</v>
      </c>
      <c r="O53" s="708">
        <v>8.1300000000000008</v>
      </c>
      <c r="P53" s="897">
        <v>8.81</v>
      </c>
      <c r="Q53" s="708">
        <v>9.82</v>
      </c>
      <c r="R53" s="897">
        <v>10.26</v>
      </c>
      <c r="S53" s="897">
        <v>10.56</v>
      </c>
      <c r="T53" s="897">
        <v>11.71</v>
      </c>
      <c r="U53" s="897">
        <v>15.11</v>
      </c>
      <c r="V53" s="708">
        <v>14.7</v>
      </c>
      <c r="W53" s="897">
        <v>14.52</v>
      </c>
      <c r="X53" s="897">
        <v>14.581999999999999</v>
      </c>
      <c r="Y53" s="708">
        <v>18.695</v>
      </c>
      <c r="Z53" s="897">
        <v>21.732500000000002</v>
      </c>
      <c r="AA53" s="708">
        <v>26.068000000000001</v>
      </c>
      <c r="AB53" s="897">
        <v>27.767499999999998</v>
      </c>
      <c r="AC53" s="708">
        <v>35.765999999999998</v>
      </c>
      <c r="AD53" s="897">
        <v>25.574000000000002</v>
      </c>
      <c r="AE53" s="708">
        <v>26.912500000000001</v>
      </c>
      <c r="AF53" s="897">
        <v>34.384999999999998</v>
      </c>
      <c r="AG53" s="708">
        <f>+'Gasolinas 2012'!D83</f>
        <v>34.001999999999995</v>
      </c>
      <c r="AH53" s="897">
        <f>+'Gasolinas 2013'!D83</f>
        <v>34.188000000000002</v>
      </c>
      <c r="AI53" s="708">
        <f>+'Gasolinas 2014'!D45</f>
        <v>34.106000000000002</v>
      </c>
      <c r="AJ53" s="897">
        <f>+'Gasolinas 2015'!D47</f>
        <v>25.673999999999999</v>
      </c>
      <c r="AK53" s="708">
        <f>+'Gasolinas 2016'!D44</f>
        <v>21.035</v>
      </c>
      <c r="AL53" s="897">
        <f>+'Gasolinas 2017'!D46</f>
        <v>21.763999999999999</v>
      </c>
      <c r="AM53" s="897">
        <f>+'Gasolinas 2018'!D46</f>
        <v>26.774000000000001</v>
      </c>
      <c r="AN53" s="897">
        <f>+'Gasolinas 2019'!D46</f>
        <v>25.929999999999996</v>
      </c>
      <c r="AO53" s="897">
        <f>+'Gasolinas 2020'!D45</f>
        <v>21.747499999999999</v>
      </c>
      <c r="AP53" s="897"/>
    </row>
    <row r="54" spans="1:45">
      <c r="A54" s="897" t="s">
        <v>48</v>
      </c>
      <c r="B54" s="708">
        <v>2.04</v>
      </c>
      <c r="C54" s="897">
        <v>1.9</v>
      </c>
      <c r="D54" s="897">
        <v>1.9</v>
      </c>
      <c r="E54" s="708">
        <v>1.9</v>
      </c>
      <c r="F54" s="897">
        <v>2.9</v>
      </c>
      <c r="G54" s="708">
        <v>2.9</v>
      </c>
      <c r="H54" s="897">
        <v>2.9</v>
      </c>
      <c r="I54" s="708">
        <v>3.05</v>
      </c>
      <c r="J54" s="897">
        <v>3.11</v>
      </c>
      <c r="K54" s="708">
        <v>4.5999999999999996</v>
      </c>
      <c r="L54" s="897">
        <v>8.9499999999999993</v>
      </c>
      <c r="M54" s="708">
        <v>7.75</v>
      </c>
      <c r="N54" s="897">
        <v>7.75</v>
      </c>
      <c r="O54" s="708">
        <v>8.2200000000000006</v>
      </c>
      <c r="P54" s="897">
        <v>8.49</v>
      </c>
      <c r="Q54" s="708">
        <v>9.8000000000000007</v>
      </c>
      <c r="R54" s="897">
        <v>10.36</v>
      </c>
      <c r="S54" s="897">
        <v>10.45</v>
      </c>
      <c r="T54" s="897">
        <v>12.19</v>
      </c>
      <c r="U54" s="897">
        <v>14.09</v>
      </c>
      <c r="V54" s="708">
        <v>13.913999999999998</v>
      </c>
      <c r="W54" s="897">
        <v>15.285</v>
      </c>
      <c r="X54" s="897">
        <v>15.01</v>
      </c>
      <c r="Y54" s="708">
        <v>18.57</v>
      </c>
      <c r="Z54" s="897">
        <v>22.378</v>
      </c>
      <c r="AA54" s="708">
        <v>27.62</v>
      </c>
      <c r="AB54" s="897">
        <v>27.207999999999998</v>
      </c>
      <c r="AC54" s="708">
        <v>35.122500000000002</v>
      </c>
      <c r="AD54" s="897">
        <v>25.62</v>
      </c>
      <c r="AE54" s="708">
        <v>27.13</v>
      </c>
      <c r="AF54" s="897">
        <v>34.561999999999998</v>
      </c>
      <c r="AG54" s="708">
        <f>+'Gasolinas 2012'!D88</f>
        <v>34.552499999999995</v>
      </c>
      <c r="AH54" s="897">
        <f>+'Gasolinas 2013'!D88</f>
        <v>34.83</v>
      </c>
      <c r="AI54" s="708">
        <f>+'Gasolinas 2014'!D50</f>
        <v>32.537499999999994</v>
      </c>
      <c r="AJ54" s="897">
        <f>+'Gasolinas 2015'!D53</f>
        <v>23.740000000000002</v>
      </c>
      <c r="AK54" s="708">
        <f>+'Gasolinas 2016'!D50</f>
        <v>20.848000000000003</v>
      </c>
      <c r="AL54" s="897">
        <f>+'Gasolinas 2017'!D51</f>
        <v>22.434999999999999</v>
      </c>
      <c r="AM54" s="897">
        <f>+'Gasolinas 2018'!D51</f>
        <v>26.807499999999997</v>
      </c>
      <c r="AN54" s="897">
        <f>+'Gasolinas 2019'!D51</f>
        <v>24.872499999999999</v>
      </c>
      <c r="AO54" s="897">
        <f>+'Gasolinas 2020'!D51</f>
        <v>21.401999999999997</v>
      </c>
      <c r="AP54" s="897"/>
    </row>
    <row r="55" spans="1:45">
      <c r="A55" s="897" t="s">
        <v>49</v>
      </c>
      <c r="B55" s="708">
        <v>2.04</v>
      </c>
      <c r="C55" s="897">
        <v>1.9</v>
      </c>
      <c r="D55" s="897">
        <v>1.9</v>
      </c>
      <c r="E55" s="708">
        <v>1.9</v>
      </c>
      <c r="F55" s="897">
        <v>2.9</v>
      </c>
      <c r="G55" s="708">
        <v>2.9</v>
      </c>
      <c r="H55" s="897">
        <v>2.9</v>
      </c>
      <c r="I55" s="708">
        <v>3.05</v>
      </c>
      <c r="J55" s="897">
        <v>3.11</v>
      </c>
      <c r="K55" s="708">
        <v>6.75</v>
      </c>
      <c r="L55" s="897">
        <v>8.9499999999999993</v>
      </c>
      <c r="M55" s="708">
        <v>7.75</v>
      </c>
      <c r="N55" s="897">
        <v>7.75</v>
      </c>
      <c r="O55" s="708">
        <v>8.34</v>
      </c>
      <c r="P55" s="897">
        <v>8.5299999999999994</v>
      </c>
      <c r="Q55" s="708">
        <v>9.84</v>
      </c>
      <c r="R55" s="897">
        <v>10.63</v>
      </c>
      <c r="S55" s="897">
        <v>10.35</v>
      </c>
      <c r="T55" s="897">
        <v>12.42</v>
      </c>
      <c r="U55" s="897">
        <v>14.36</v>
      </c>
      <c r="V55" s="708">
        <v>14.08</v>
      </c>
      <c r="W55" s="897">
        <v>15.214000000000002</v>
      </c>
      <c r="X55" s="897">
        <v>16.315999999999999</v>
      </c>
      <c r="Y55" s="708">
        <v>18.422499999999999</v>
      </c>
      <c r="Z55" s="897">
        <v>24.74</v>
      </c>
      <c r="AA55" s="708">
        <v>26.767499999999998</v>
      </c>
      <c r="AB55" s="897">
        <v>26.204999999999998</v>
      </c>
      <c r="AC55" s="708">
        <v>34.200000000000003</v>
      </c>
      <c r="AD55" s="897">
        <v>25.762499999999999</v>
      </c>
      <c r="AE55" s="708">
        <v>26.23</v>
      </c>
      <c r="AF55" s="897">
        <v>34.147500000000001</v>
      </c>
      <c r="AG55" s="708">
        <f>+'Gasolinas 2012'!D93</f>
        <v>36.842500000000001</v>
      </c>
      <c r="AH55" s="897">
        <f>+'Gasolinas 2013'!D94</f>
        <v>34.514000000000003</v>
      </c>
      <c r="AI55" s="708">
        <f>+'Gasolinas 2014'!D56</f>
        <v>31.607999999999997</v>
      </c>
      <c r="AJ55" s="897">
        <f>+'Gasolinas 2015'!D58</f>
        <v>21.794999999999998</v>
      </c>
      <c r="AK55" s="708">
        <f>+'Gasolinas 2016'!D55</f>
        <v>21.497499999999995</v>
      </c>
      <c r="AL55" s="897">
        <f>+'Gasolinas 2017'!D56</f>
        <v>24.024999999999999</v>
      </c>
      <c r="AM55" s="897">
        <f>+'Gasolinas 2018'!D56</f>
        <v>27.017500000000002</v>
      </c>
      <c r="AN55" s="897">
        <f>+'Gasolinas 2019'!D57</f>
        <v>24.659999999999997</v>
      </c>
      <c r="AO55" s="897">
        <f>+'Gasolinas 2020'!D56</f>
        <v>21.314999999999998</v>
      </c>
      <c r="AP55" s="897"/>
    </row>
    <row r="56" spans="1:45">
      <c r="A56" s="897" t="s">
        <v>50</v>
      </c>
      <c r="B56" s="708">
        <v>2.04</v>
      </c>
      <c r="C56" s="897">
        <v>1.9</v>
      </c>
      <c r="D56" s="897">
        <v>1.9</v>
      </c>
      <c r="E56" s="708">
        <v>1.9</v>
      </c>
      <c r="F56" s="897">
        <v>2.9</v>
      </c>
      <c r="G56" s="708">
        <v>2.9</v>
      </c>
      <c r="H56" s="897">
        <v>2.9</v>
      </c>
      <c r="I56" s="708">
        <v>3.05</v>
      </c>
      <c r="J56" s="897">
        <v>3.11</v>
      </c>
      <c r="K56" s="708">
        <v>6.75</v>
      </c>
      <c r="L56" s="897">
        <v>8.9499999999999993</v>
      </c>
      <c r="M56" s="708">
        <v>7.75</v>
      </c>
      <c r="N56" s="897">
        <v>7.75</v>
      </c>
      <c r="O56" s="708">
        <v>8.23</v>
      </c>
      <c r="P56" s="897">
        <v>8.5500000000000007</v>
      </c>
      <c r="Q56" s="708">
        <v>9.8699999999999992</v>
      </c>
      <c r="R56" s="897">
        <v>10.41</v>
      </c>
      <c r="S56" s="897">
        <v>10.43</v>
      </c>
      <c r="T56" s="897">
        <v>12.87</v>
      </c>
      <c r="U56" s="897">
        <v>14.85</v>
      </c>
      <c r="V56" s="708">
        <v>14.056000000000001</v>
      </c>
      <c r="W56" s="897">
        <v>15.5725</v>
      </c>
      <c r="X56" s="897">
        <v>16.137499999999999</v>
      </c>
      <c r="Y56" s="708">
        <v>19.0275</v>
      </c>
      <c r="Z56" s="897">
        <v>26.717999999999996</v>
      </c>
      <c r="AA56" s="708">
        <v>24.25</v>
      </c>
      <c r="AB56" s="897">
        <v>26.405999999999995</v>
      </c>
      <c r="AC56" s="708">
        <v>30.475000000000001</v>
      </c>
      <c r="AD56" s="897">
        <v>25.087499999999999</v>
      </c>
      <c r="AE56" s="708">
        <v>27.798000000000002</v>
      </c>
      <c r="AF56" s="897">
        <v>33.47</v>
      </c>
      <c r="AG56" s="708">
        <f>+'Gasolinas 2012'!D99</f>
        <v>35.869999999999997</v>
      </c>
      <c r="AH56" s="897">
        <f>+'Gasolinas 2013'!D99</f>
        <v>32.637500000000003</v>
      </c>
      <c r="AI56" s="708">
        <f>+'Gasolinas 2014'!D61</f>
        <v>29.857499999999998</v>
      </c>
      <c r="AJ56" s="897">
        <f>+'Gasolinas 2015'!D63</f>
        <v>21.3675</v>
      </c>
      <c r="AK56" s="708">
        <f>+'Gasolinas 2016'!D61</f>
        <v>21.871999999999996</v>
      </c>
      <c r="AL56" s="897">
        <f>+'Gasolinas 2017'!D62</f>
        <v>23.152000000000001</v>
      </c>
      <c r="AM56" s="897">
        <f>+'Gasolinas 2018'!D62</f>
        <v>27.355999999999995</v>
      </c>
      <c r="AN56" s="897">
        <f>+'Gasolinas 2019'!D62</f>
        <v>24.4925</v>
      </c>
      <c r="AO56" s="897">
        <v>21.494999999999997</v>
      </c>
      <c r="AP56" s="897"/>
    </row>
    <row r="57" spans="1:45">
      <c r="A57" s="897" t="s">
        <v>51</v>
      </c>
      <c r="B57" s="708">
        <v>2.04</v>
      </c>
      <c r="C57" s="897">
        <v>1.9</v>
      </c>
      <c r="D57" s="897">
        <v>1.9</v>
      </c>
      <c r="E57" s="708">
        <v>1.9</v>
      </c>
      <c r="F57" s="897">
        <v>2.9</v>
      </c>
      <c r="G57" s="708">
        <v>2.9</v>
      </c>
      <c r="H57" s="897">
        <v>2.9</v>
      </c>
      <c r="I57" s="708">
        <v>3.05</v>
      </c>
      <c r="J57" s="897">
        <v>3.7</v>
      </c>
      <c r="K57" s="708">
        <v>6.75</v>
      </c>
      <c r="L57" s="897">
        <v>8.9499999999999993</v>
      </c>
      <c r="M57" s="708">
        <v>7.75</v>
      </c>
      <c r="N57" s="897">
        <v>7.75</v>
      </c>
      <c r="O57" s="708">
        <v>8.1</v>
      </c>
      <c r="P57" s="897">
        <v>8.5</v>
      </c>
      <c r="Q57" s="708">
        <v>9.9600000000000009</v>
      </c>
      <c r="R57" s="897">
        <v>10.27</v>
      </c>
      <c r="S57" s="897">
        <v>10.46</v>
      </c>
      <c r="T57" s="897">
        <v>12.89</v>
      </c>
      <c r="U57" s="897">
        <v>14.755000000000001</v>
      </c>
      <c r="V57" s="708">
        <v>13.565</v>
      </c>
      <c r="W57" s="897">
        <v>15.69</v>
      </c>
      <c r="X57" s="897">
        <v>15.8025</v>
      </c>
      <c r="Y57" s="708">
        <v>19.821999999999999</v>
      </c>
      <c r="Z57" s="897">
        <v>25.47</v>
      </c>
      <c r="AA57" s="708">
        <v>22.71</v>
      </c>
      <c r="AB57" s="897">
        <v>27.3</v>
      </c>
      <c r="AC57" s="708">
        <v>25.35</v>
      </c>
      <c r="AD57" s="897">
        <v>26.757999999999999</v>
      </c>
      <c r="AE57" s="708">
        <v>27.97</v>
      </c>
      <c r="AF57" s="897">
        <v>33.93</v>
      </c>
      <c r="AG57" s="708">
        <f>+'Gasolinas 2012'!D104</f>
        <v>32.93</v>
      </c>
      <c r="AH57" s="897">
        <f>+'Gasolinas 2013'!D104</f>
        <v>31.4925</v>
      </c>
      <c r="AI57" s="708">
        <f>+'Gasolinas 2014'!D66</f>
        <v>27.869999999999997</v>
      </c>
      <c r="AJ57" s="897">
        <f>+'Gasolinas 2015'!D69</f>
        <v>20.47</v>
      </c>
      <c r="AK57" s="708">
        <f>+'Gasolinas 2016'!D66</f>
        <v>21.202500000000001</v>
      </c>
      <c r="AL57" s="897">
        <f>+'Gasolinas 2017'!D67</f>
        <v>24.09</v>
      </c>
      <c r="AM57" s="897">
        <f>+'Gasolinas 2018'!D67</f>
        <v>24.675000000000001</v>
      </c>
      <c r="AN57" s="897">
        <f>+'Gasolinas 2019'!D67</f>
        <v>24.434999999999995</v>
      </c>
      <c r="AO57" s="897">
        <v>20.399999999999999</v>
      </c>
      <c r="AP57" s="897"/>
      <c r="AR57" s="190"/>
    </row>
    <row r="58" spans="1:45" ht="13.5" thickBot="1">
      <c r="A58" s="897" t="s">
        <v>52</v>
      </c>
      <c r="B58" s="708">
        <v>2.04</v>
      </c>
      <c r="C58" s="897">
        <v>1.9</v>
      </c>
      <c r="D58" s="897">
        <v>1.9</v>
      </c>
      <c r="E58" s="708">
        <v>1.9</v>
      </c>
      <c r="F58" s="897">
        <v>2.9</v>
      </c>
      <c r="G58" s="708">
        <v>2.9</v>
      </c>
      <c r="H58" s="897">
        <v>2.9</v>
      </c>
      <c r="I58" s="708">
        <v>3.05</v>
      </c>
      <c r="J58" s="897">
        <v>3.7</v>
      </c>
      <c r="K58" s="708">
        <v>9.4</v>
      </c>
      <c r="L58" s="897">
        <v>8.9499999999999993</v>
      </c>
      <c r="M58" s="708">
        <v>7.75</v>
      </c>
      <c r="N58" s="897">
        <v>7.75</v>
      </c>
      <c r="O58" s="708">
        <v>8.02</v>
      </c>
      <c r="P58" s="897">
        <v>8.51</v>
      </c>
      <c r="Q58" s="708">
        <v>10.16</v>
      </c>
      <c r="R58" s="897">
        <v>10.27</v>
      </c>
      <c r="S58" s="897">
        <v>10.210000000000001</v>
      </c>
      <c r="T58" s="897">
        <v>13.53</v>
      </c>
      <c r="U58" s="897">
        <v>14.7475</v>
      </c>
      <c r="V58" s="708">
        <v>12.8375</v>
      </c>
      <c r="W58" s="897">
        <v>15.463999999999999</v>
      </c>
      <c r="X58" s="897">
        <f>+'Gasolinas 2018'!H51</f>
        <v>25.92</v>
      </c>
      <c r="Y58" s="708">
        <v>19.535</v>
      </c>
      <c r="Z58" s="897">
        <v>22.795000000000002</v>
      </c>
      <c r="AA58" s="708">
        <v>22.637499999999999</v>
      </c>
      <c r="AB58" s="897">
        <v>28.25</v>
      </c>
      <c r="AC58" s="708">
        <v>21.808</v>
      </c>
      <c r="AD58" s="897">
        <v>26.452500000000001</v>
      </c>
      <c r="AE58" s="708">
        <v>28.835000000000001</v>
      </c>
      <c r="AF58" s="897">
        <v>32.752499999999998</v>
      </c>
      <c r="AG58" s="708">
        <f>+'Gasolinas 2012'!D109</f>
        <v>32.900000000000006</v>
      </c>
      <c r="AH58" s="897">
        <f>+'Gasolinas 2013'!D110</f>
        <v>33.58</v>
      </c>
      <c r="AI58" s="708">
        <f>+'Gasolinas 2014'!D72</f>
        <v>24.41</v>
      </c>
      <c r="AJ58" s="897">
        <f>+'Gasolinas 2015'!D74</f>
        <v>19.5425</v>
      </c>
      <c r="AK58" s="708">
        <f>+'Gasolinas 2016'!D71</f>
        <v>22.115000000000002</v>
      </c>
      <c r="AL58" s="897">
        <f>+'Gasolinas 2017'!D72</f>
        <v>24.105</v>
      </c>
      <c r="AM58" s="897">
        <f>+'Gasolinas 2018'!D72</f>
        <v>22.62</v>
      </c>
      <c r="AN58" s="897">
        <f>+'Gasolinas 2019'!D73</f>
        <v>24.367999999999999</v>
      </c>
      <c r="AO58" s="897">
        <f>+'Gasolinas 2020'!D72</f>
        <v>21.935000000000002</v>
      </c>
      <c r="AP58" s="897"/>
    </row>
    <row r="59" spans="1:45" ht="13.5" thickBot="1">
      <c r="A59" s="953" t="s">
        <v>7</v>
      </c>
      <c r="B59" s="953">
        <f t="shared" ref="B59:T59" si="4">AVERAGE(B47:B58)</f>
        <v>2.0399999999999996</v>
      </c>
      <c r="C59" s="953">
        <f t="shared" si="4"/>
        <v>1.9287777777777775</v>
      </c>
      <c r="D59" s="953">
        <f t="shared" si="4"/>
        <v>1.8999999999999997</v>
      </c>
      <c r="E59" s="953">
        <f t="shared" si="4"/>
        <v>1.8999999999999997</v>
      </c>
      <c r="F59" s="953">
        <f t="shared" si="4"/>
        <v>2.3999999999999995</v>
      </c>
      <c r="G59" s="953">
        <f t="shared" si="4"/>
        <v>2.899999999999999</v>
      </c>
      <c r="H59" s="953">
        <f t="shared" si="4"/>
        <v>2.899999999999999</v>
      </c>
      <c r="I59" s="953">
        <f t="shared" si="4"/>
        <v>2.9833333333333329</v>
      </c>
      <c r="J59" s="953">
        <f t="shared" si="4"/>
        <v>3.1733333333333338</v>
      </c>
      <c r="K59" s="953">
        <f t="shared" si="4"/>
        <v>5.3125</v>
      </c>
      <c r="L59" s="953">
        <f t="shared" si="4"/>
        <v>8.9500000000000011</v>
      </c>
      <c r="M59" s="953">
        <f t="shared" si="4"/>
        <v>8.35</v>
      </c>
      <c r="N59" s="953">
        <f t="shared" si="4"/>
        <v>7.75</v>
      </c>
      <c r="O59" s="953">
        <f t="shared" si="4"/>
        <v>8.0308333333333337</v>
      </c>
      <c r="P59" s="953">
        <f t="shared" si="4"/>
        <v>8.5183333333333326</v>
      </c>
      <c r="Q59" s="953">
        <f t="shared" si="4"/>
        <v>9.6833333333333318</v>
      </c>
      <c r="R59" s="953">
        <f t="shared" si="4"/>
        <v>10.367499999999998</v>
      </c>
      <c r="S59" s="953">
        <f t="shared" si="4"/>
        <v>10.476666666666667</v>
      </c>
      <c r="T59" s="953">
        <f t="shared" si="4"/>
        <v>11.661666666666667</v>
      </c>
      <c r="U59" s="953">
        <f t="shared" ref="U59:AM59" si="5">AVERAGE(U47:U58)</f>
        <v>14.438541666666666</v>
      </c>
      <c r="V59" s="953">
        <f t="shared" si="5"/>
        <v>14.191805555555559</v>
      </c>
      <c r="W59" s="953">
        <f t="shared" si="5"/>
        <v>14.330249999999999</v>
      </c>
      <c r="X59" s="953">
        <f t="shared" si="5"/>
        <v>16.596999999999998</v>
      </c>
      <c r="Y59" s="953">
        <f t="shared" si="5"/>
        <v>18.328458333333334</v>
      </c>
      <c r="Z59" s="953">
        <f t="shared" si="5"/>
        <v>22.066708333333334</v>
      </c>
      <c r="AA59" s="953">
        <f t="shared" si="5"/>
        <v>24.36408333333333</v>
      </c>
      <c r="AB59" s="953">
        <f t="shared" si="5"/>
        <v>25.814791666666668</v>
      </c>
      <c r="AC59" s="953">
        <f t="shared" si="5"/>
        <v>30.580833333333334</v>
      </c>
      <c r="AD59" s="953">
        <f t="shared" si="5"/>
        <v>23.505833333333332</v>
      </c>
      <c r="AE59" s="953">
        <f t="shared" si="5"/>
        <v>27.744316666666666</v>
      </c>
      <c r="AF59" s="953">
        <f t="shared" si="5"/>
        <v>33.49783333333334</v>
      </c>
      <c r="AG59" s="953" t="e">
        <f t="shared" si="5"/>
        <v>#REF!</v>
      </c>
      <c r="AH59" s="953">
        <f t="shared" si="5"/>
        <v>33.431458333333332</v>
      </c>
      <c r="AI59" s="953">
        <f t="shared" si="5"/>
        <v>31.611583333333339</v>
      </c>
      <c r="AJ59" s="953">
        <f t="shared" si="5"/>
        <v>25.463925</v>
      </c>
      <c r="AK59" s="953">
        <f t="shared" si="5"/>
        <v>22.152819444444447</v>
      </c>
      <c r="AL59" s="953">
        <f t="shared" si="5"/>
        <v>24.086291666666668</v>
      </c>
      <c r="AM59" s="953">
        <f t="shared" si="5"/>
        <v>26.515500000000003</v>
      </c>
      <c r="AN59" s="953">
        <f>AVERAGE(AN47:AN58)</f>
        <v>26.204041666666665</v>
      </c>
      <c r="AO59" s="953">
        <f>AVERAGE(AO47:AO58)</f>
        <v>21.233666666666664</v>
      </c>
      <c r="AP59" s="953">
        <f>AVERAGE(AP47:AP58)</f>
        <v>28.041250000000002</v>
      </c>
    </row>
    <row r="60" spans="1:45">
      <c r="A60" s="548"/>
      <c r="B60" s="548"/>
      <c r="C60" s="548"/>
      <c r="D60" s="548"/>
      <c r="E60" s="548"/>
      <c r="F60" s="548"/>
      <c r="G60" s="548"/>
      <c r="H60" s="548"/>
      <c r="I60" s="548"/>
      <c r="J60" s="548"/>
      <c r="K60" s="548"/>
      <c r="L60" s="548"/>
      <c r="M60" s="548"/>
      <c r="N60" s="548"/>
      <c r="O60" s="548"/>
      <c r="P60" s="548"/>
      <c r="Q60" s="548"/>
      <c r="R60" s="548"/>
      <c r="S60" s="548"/>
      <c r="T60" s="548"/>
      <c r="U60" s="548"/>
      <c r="V60" s="548"/>
      <c r="W60" s="548"/>
      <c r="X60" s="548"/>
      <c r="Y60" s="548"/>
      <c r="Z60" s="548"/>
      <c r="AA60" s="548"/>
      <c r="AB60" s="548"/>
      <c r="AC60" s="548"/>
      <c r="AD60" s="548"/>
      <c r="AE60" s="548"/>
      <c r="AF60" s="548"/>
      <c r="AG60" s="548"/>
      <c r="AH60" s="548"/>
      <c r="AI60" s="548"/>
      <c r="AJ60" s="548"/>
      <c r="AK60" s="548"/>
      <c r="AL60" s="651"/>
      <c r="AM60" s="548"/>
      <c r="AN60" s="548"/>
      <c r="AO60" s="548"/>
      <c r="AP60" s="548"/>
    </row>
    <row r="61" spans="1:45" ht="13.5" thickBot="1">
      <c r="A61" s="949" t="s">
        <v>521</v>
      </c>
      <c r="B61" s="949"/>
      <c r="C61" s="949"/>
      <c r="D61" s="949"/>
      <c r="E61" s="949"/>
      <c r="F61" s="949"/>
      <c r="G61" s="949"/>
      <c r="H61" s="949"/>
      <c r="I61" s="949"/>
      <c r="J61" s="949"/>
      <c r="K61" s="949"/>
      <c r="L61" s="949"/>
      <c r="M61" s="949"/>
      <c r="N61" s="949"/>
      <c r="O61" s="949"/>
      <c r="P61" s="949"/>
      <c r="Q61" s="949"/>
      <c r="R61" s="949"/>
      <c r="S61" s="949"/>
      <c r="T61" s="949"/>
      <c r="U61" s="949"/>
      <c r="V61" s="949"/>
      <c r="W61" s="888"/>
      <c r="X61" s="888"/>
      <c r="Y61" s="888"/>
      <c r="Z61" s="888"/>
      <c r="AA61" s="888"/>
      <c r="AB61" s="888"/>
      <c r="AC61" s="888"/>
      <c r="AD61" s="888"/>
      <c r="AE61" s="888"/>
      <c r="AF61" s="888"/>
      <c r="AG61" s="888"/>
      <c r="AH61" s="888"/>
      <c r="AI61" s="888"/>
      <c r="AJ61" s="888"/>
      <c r="AK61" s="548"/>
      <c r="AL61" s="651"/>
      <c r="AM61" s="548"/>
      <c r="AN61" s="548"/>
      <c r="AO61" s="548"/>
      <c r="AP61" s="548"/>
    </row>
    <row r="62" spans="1:45">
      <c r="A62" s="1711" t="s">
        <v>517</v>
      </c>
      <c r="B62" s="1705">
        <v>1981</v>
      </c>
      <c r="C62" s="1705">
        <v>1982</v>
      </c>
      <c r="D62" s="1705">
        <v>1983</v>
      </c>
      <c r="E62" s="1705">
        <v>1984</v>
      </c>
      <c r="F62" s="1705">
        <v>1985</v>
      </c>
      <c r="G62" s="1705">
        <v>1986</v>
      </c>
      <c r="H62" s="1705">
        <v>1987</v>
      </c>
      <c r="I62" s="1705">
        <v>1988</v>
      </c>
      <c r="J62" s="1705">
        <v>1989</v>
      </c>
      <c r="K62" s="1705">
        <v>1990</v>
      </c>
      <c r="L62" s="1705">
        <v>1991</v>
      </c>
      <c r="M62" s="1705">
        <v>1992</v>
      </c>
      <c r="N62" s="1705">
        <v>1993</v>
      </c>
      <c r="O62" s="1705">
        <v>1994</v>
      </c>
      <c r="P62" s="1705">
        <v>1995</v>
      </c>
      <c r="Q62" s="1705">
        <v>1996</v>
      </c>
      <c r="R62" s="1705">
        <v>1997</v>
      </c>
      <c r="S62" s="1705">
        <v>1998</v>
      </c>
      <c r="T62" s="1705">
        <v>1999</v>
      </c>
      <c r="U62" s="1709">
        <v>2000</v>
      </c>
      <c r="V62" s="1709">
        <v>2001</v>
      </c>
      <c r="W62" s="1709">
        <v>2002</v>
      </c>
      <c r="X62" s="1709">
        <v>2003</v>
      </c>
      <c r="Y62" s="1709">
        <v>2004</v>
      </c>
      <c r="Z62" s="1709">
        <v>2005</v>
      </c>
      <c r="AA62" s="1709">
        <v>2006</v>
      </c>
      <c r="AB62" s="1709">
        <v>2007</v>
      </c>
      <c r="AC62" s="1709">
        <v>2008</v>
      </c>
      <c r="AD62" s="1709">
        <v>2009</v>
      </c>
      <c r="AE62" s="1709">
        <v>2010</v>
      </c>
      <c r="AF62" s="1709">
        <v>2011</v>
      </c>
      <c r="AG62" s="1709">
        <f>+AG10</f>
        <v>2012</v>
      </c>
      <c r="AH62" s="1709">
        <v>2013</v>
      </c>
      <c r="AI62" s="1709">
        <v>2014</v>
      </c>
      <c r="AJ62" s="1709">
        <v>2015</v>
      </c>
      <c r="AK62" s="1709">
        <v>2016</v>
      </c>
      <c r="AL62" s="1709">
        <v>2017</v>
      </c>
      <c r="AM62" s="1709">
        <v>2018</v>
      </c>
      <c r="AN62" s="1709">
        <v>2019</v>
      </c>
      <c r="AO62" s="1709">
        <v>2020</v>
      </c>
      <c r="AP62" s="1709">
        <v>2021</v>
      </c>
    </row>
    <row r="63" spans="1:45" ht="13.5" thickBot="1">
      <c r="A63" s="1712"/>
      <c r="B63" s="1706"/>
      <c r="C63" s="1706"/>
      <c r="D63" s="1706"/>
      <c r="E63" s="1706"/>
      <c r="F63" s="1706"/>
      <c r="G63" s="1706"/>
      <c r="H63" s="1706"/>
      <c r="I63" s="1706"/>
      <c r="J63" s="1706"/>
      <c r="K63" s="1706"/>
      <c r="L63" s="1706"/>
      <c r="M63" s="1706"/>
      <c r="N63" s="1706"/>
      <c r="O63" s="1706"/>
      <c r="P63" s="1706"/>
      <c r="Q63" s="1706"/>
      <c r="R63" s="1706"/>
      <c r="S63" s="1706"/>
      <c r="T63" s="1706"/>
      <c r="U63" s="1710"/>
      <c r="V63" s="1710"/>
      <c r="W63" s="1710"/>
      <c r="X63" s="1710"/>
      <c r="Y63" s="1710"/>
      <c r="Z63" s="1710"/>
      <c r="AA63" s="1710"/>
      <c r="AB63" s="1710"/>
      <c r="AC63" s="1710"/>
      <c r="AD63" s="1710"/>
      <c r="AE63" s="1710"/>
      <c r="AF63" s="1710"/>
      <c r="AG63" s="1710"/>
      <c r="AH63" s="1710"/>
      <c r="AI63" s="1710"/>
      <c r="AJ63" s="1710"/>
      <c r="AK63" s="1710"/>
      <c r="AL63" s="1710"/>
      <c r="AM63" s="1710"/>
      <c r="AN63" s="1710"/>
      <c r="AO63" s="1710"/>
      <c r="AP63" s="1710"/>
    </row>
    <row r="64" spans="1:45">
      <c r="A64" s="889" t="s">
        <v>41</v>
      </c>
      <c r="B64" s="944">
        <v>1.19</v>
      </c>
      <c r="C64" s="944">
        <v>1.24</v>
      </c>
      <c r="D64" s="944">
        <v>1.2</v>
      </c>
      <c r="E64" s="944">
        <v>1.17</v>
      </c>
      <c r="F64" s="944">
        <v>1.17</v>
      </c>
      <c r="G64" s="944">
        <v>1.17</v>
      </c>
      <c r="H64" s="944">
        <v>1.7</v>
      </c>
      <c r="I64" s="944">
        <v>1.7</v>
      </c>
      <c r="J64" s="944">
        <v>2.25</v>
      </c>
      <c r="K64" s="944">
        <v>2.7</v>
      </c>
      <c r="L64" s="944">
        <v>5.95</v>
      </c>
      <c r="M64" s="944">
        <v>5.95</v>
      </c>
      <c r="N64" s="944">
        <v>5.95</v>
      </c>
      <c r="O64" s="944">
        <v>5.95</v>
      </c>
      <c r="P64" s="944">
        <v>6.54</v>
      </c>
      <c r="Q64" s="944">
        <v>7.39</v>
      </c>
      <c r="R64" s="944">
        <v>9.09</v>
      </c>
      <c r="S64" s="944">
        <v>8.2799999999999994</v>
      </c>
      <c r="T64" s="945">
        <v>7.14</v>
      </c>
      <c r="U64" s="1097">
        <v>10.28</v>
      </c>
      <c r="V64" s="951">
        <v>11.638</v>
      </c>
      <c r="W64" s="1101">
        <v>9.2899999999999991</v>
      </c>
      <c r="X64" s="951">
        <v>10.895</v>
      </c>
      <c r="Y64" s="708">
        <v>11.64</v>
      </c>
      <c r="Z64" s="951">
        <v>15.928000000000001</v>
      </c>
      <c r="AA64" s="708">
        <v>19.82</v>
      </c>
      <c r="AB64" s="951">
        <v>18.89</v>
      </c>
      <c r="AC64" s="708">
        <v>26.24</v>
      </c>
      <c r="AD64" s="951">
        <v>19.510000000000002</v>
      </c>
      <c r="AE64" s="708">
        <v>24.49</v>
      </c>
      <c r="AF64" s="951">
        <v>27.807500000000001</v>
      </c>
      <c r="AG64" s="708">
        <f>+'Gasolinas 2012'!E14</f>
        <v>31.120000000000005</v>
      </c>
      <c r="AH64" s="951">
        <f>+'Gasolinas 2013'!E14</f>
        <v>32.296000000000006</v>
      </c>
      <c r="AI64" s="708">
        <v>32.024999999999999</v>
      </c>
      <c r="AJ64" s="951">
        <f>+'Gasolinas 2015'!E15</f>
        <v>19.667499999999997</v>
      </c>
      <c r="AK64" s="708">
        <f>+'Gasolinas 2016'!E13</f>
        <v>14.467500000000001</v>
      </c>
      <c r="AL64" s="951">
        <f>+'Gasolinas 2017'!E14</f>
        <v>19.154</v>
      </c>
      <c r="AM64" s="951">
        <f>+'Gasolinas 2018'!E14</f>
        <v>21.619999999999997</v>
      </c>
      <c r="AN64" s="951">
        <f>+'Gasolinas 2019'!E14</f>
        <v>20.731999999999999</v>
      </c>
      <c r="AO64" s="951">
        <f>+'Gasolinas 2020'!E13</f>
        <v>21.934999999999999</v>
      </c>
      <c r="AP64" s="951">
        <v>19.094999999999999</v>
      </c>
    </row>
    <row r="65" spans="1:42">
      <c r="A65" s="546" t="s">
        <v>42</v>
      </c>
      <c r="B65" s="944">
        <v>1.19</v>
      </c>
      <c r="C65" s="944">
        <v>1.24</v>
      </c>
      <c r="D65" s="944">
        <v>1.2</v>
      </c>
      <c r="E65" s="944">
        <v>1.17</v>
      </c>
      <c r="F65" s="944">
        <v>1.17</v>
      </c>
      <c r="G65" s="944">
        <v>1.17</v>
      </c>
      <c r="H65" s="944">
        <v>1.7</v>
      </c>
      <c r="I65" s="944">
        <v>1.7</v>
      </c>
      <c r="J65" s="944">
        <v>2.25</v>
      </c>
      <c r="K65" s="944">
        <v>2.7</v>
      </c>
      <c r="L65" s="944">
        <v>5.95</v>
      </c>
      <c r="M65" s="944">
        <v>5.95</v>
      </c>
      <c r="N65" s="944">
        <v>5.95</v>
      </c>
      <c r="O65" s="944">
        <v>6.3</v>
      </c>
      <c r="P65" s="944">
        <v>6.63</v>
      </c>
      <c r="Q65" s="944">
        <v>7.58</v>
      </c>
      <c r="R65" s="944">
        <v>9.15</v>
      </c>
      <c r="S65" s="944">
        <v>7.88</v>
      </c>
      <c r="T65" s="945">
        <v>7.14</v>
      </c>
      <c r="U65" s="1098">
        <v>10.66</v>
      </c>
      <c r="V65" s="897">
        <v>11.422499999999999</v>
      </c>
      <c r="W65" s="1102">
        <v>9.0124999999999993</v>
      </c>
      <c r="X65" s="897">
        <v>11.86</v>
      </c>
      <c r="Y65" s="708">
        <v>12.592499999999999</v>
      </c>
      <c r="Z65" s="897">
        <v>15.345000000000001</v>
      </c>
      <c r="AA65" s="708">
        <v>19.28</v>
      </c>
      <c r="AB65" s="897">
        <v>17.885000000000002</v>
      </c>
      <c r="AC65" s="708">
        <v>26.31</v>
      </c>
      <c r="AD65" s="897">
        <v>18.350000000000001</v>
      </c>
      <c r="AE65" s="708">
        <v>24.032499999999999</v>
      </c>
      <c r="AF65" s="897">
        <v>28.692499999999999</v>
      </c>
      <c r="AG65" s="708">
        <f>+'Gasolinas 2012'!E19</f>
        <v>32.612499999999997</v>
      </c>
      <c r="AH65" s="897">
        <f>+'Gasolinas 2013'!E19</f>
        <v>32.93</v>
      </c>
      <c r="AI65" s="708">
        <v>31.265000000000001</v>
      </c>
      <c r="AJ65" s="897">
        <f>+'Gasolinas 2015'!E20</f>
        <v>36.93</v>
      </c>
      <c r="AK65" s="708">
        <f>+'Gasolinas 2016'!E19</f>
        <v>13.803999999999998</v>
      </c>
      <c r="AL65" s="897">
        <f>+'Gasolinas 2017'!E19</f>
        <v>18.695</v>
      </c>
      <c r="AM65" s="897">
        <f>++'Gasolinas 2018'!E19</f>
        <v>21.282499999999999</v>
      </c>
      <c r="AN65" s="897">
        <f>+'Gasolinas 2019'!E19</f>
        <v>21.9375</v>
      </c>
      <c r="AO65" s="897">
        <f>+'Gasolinas 2020'!E18</f>
        <v>19.57</v>
      </c>
      <c r="AP65" s="897">
        <f>+'[6]Gasolineras 2022'!E19</f>
        <v>30.195</v>
      </c>
    </row>
    <row r="66" spans="1:42">
      <c r="A66" s="546" t="s">
        <v>43</v>
      </c>
      <c r="B66" s="944">
        <v>1.19</v>
      </c>
      <c r="C66" s="944">
        <v>1.2186666666666668</v>
      </c>
      <c r="D66" s="944">
        <v>1.2</v>
      </c>
      <c r="E66" s="944">
        <v>1.17</v>
      </c>
      <c r="F66" s="944">
        <v>1.17</v>
      </c>
      <c r="G66" s="944">
        <v>1.17</v>
      </c>
      <c r="H66" s="944">
        <v>1.7</v>
      </c>
      <c r="I66" s="944">
        <v>1.7</v>
      </c>
      <c r="J66" s="944">
        <v>2.25</v>
      </c>
      <c r="K66" s="944">
        <v>2.7</v>
      </c>
      <c r="L66" s="944">
        <v>5.95</v>
      </c>
      <c r="M66" s="944">
        <v>5.95</v>
      </c>
      <c r="N66" s="944">
        <v>5.95</v>
      </c>
      <c r="O66" s="944">
        <v>6.3</v>
      </c>
      <c r="P66" s="944">
        <v>6.59</v>
      </c>
      <c r="Q66" s="944">
        <v>7.71</v>
      </c>
      <c r="R66" s="944">
        <v>8.81</v>
      </c>
      <c r="S66" s="944">
        <v>7.84</v>
      </c>
      <c r="T66" s="945">
        <v>7.26</v>
      </c>
      <c r="U66" s="1098">
        <v>10.8</v>
      </c>
      <c r="V66" s="897">
        <v>11.1975</v>
      </c>
      <c r="W66" s="1102">
        <v>9.1</v>
      </c>
      <c r="X66" s="897">
        <v>13.125999999999999</v>
      </c>
      <c r="Y66" s="708">
        <v>12.918000000000001</v>
      </c>
      <c r="Z66" s="897">
        <v>16.25</v>
      </c>
      <c r="AA66" s="708">
        <v>18.71</v>
      </c>
      <c r="AB66" s="897">
        <v>18.9375</v>
      </c>
      <c r="AC66" s="708">
        <v>28.042000000000002</v>
      </c>
      <c r="AD66" s="897">
        <v>17.175999999999998</v>
      </c>
      <c r="AE66" s="708">
        <v>24.288</v>
      </c>
      <c r="AF66" s="897">
        <v>31.67</v>
      </c>
      <c r="AG66" s="708" t="e">
        <f>+'Gasolinas 2012'!#REF!</f>
        <v>#REF!</v>
      </c>
      <c r="AH66" s="897">
        <f>+'Gasolinas 2013'!E24</f>
        <v>32.96</v>
      </c>
      <c r="AI66" s="708">
        <v>30.948</v>
      </c>
      <c r="AJ66" s="897">
        <f>+'Gasolinas 2015'!E26</f>
        <v>21.702000000000002</v>
      </c>
      <c r="AK66" s="708">
        <f>+'Gasolinas 2016'!E24</f>
        <v>21.2775</v>
      </c>
      <c r="AL66" s="897">
        <f>+'Gasolinas 2017'!E24</f>
        <v>22.954999999999998</v>
      </c>
      <c r="AM66" s="897">
        <f>+'Gasolinas 2018'!E24</f>
        <v>24.91</v>
      </c>
      <c r="AN66" s="897">
        <f>+'Gasolinas 2019'!E24</f>
        <v>26.279999999999998</v>
      </c>
      <c r="AO66" s="897">
        <f>+'Gasolinas 2020'!E34</f>
        <v>15.058499999999999</v>
      </c>
      <c r="AP66" s="897"/>
    </row>
    <row r="67" spans="1:42">
      <c r="A67" s="546" t="s">
        <v>44</v>
      </c>
      <c r="B67" s="944">
        <v>1.19</v>
      </c>
      <c r="C67" s="944">
        <v>1.2</v>
      </c>
      <c r="D67" s="944">
        <v>1.2</v>
      </c>
      <c r="E67" s="944">
        <v>1.17</v>
      </c>
      <c r="F67" s="944">
        <v>1.17</v>
      </c>
      <c r="G67" s="944">
        <v>1.17</v>
      </c>
      <c r="H67" s="944">
        <v>1.7</v>
      </c>
      <c r="I67" s="944">
        <v>1.7</v>
      </c>
      <c r="J67" s="944">
        <v>2.25</v>
      </c>
      <c r="K67" s="944">
        <v>2.8</v>
      </c>
      <c r="L67" s="944">
        <v>5.95</v>
      </c>
      <c r="M67" s="944">
        <v>5.95</v>
      </c>
      <c r="N67" s="944">
        <v>5.95</v>
      </c>
      <c r="O67" s="944">
        <v>6.26</v>
      </c>
      <c r="P67" s="944">
        <v>6.62</v>
      </c>
      <c r="Q67" s="944">
        <v>8.0500000000000007</v>
      </c>
      <c r="R67" s="944">
        <v>8.66</v>
      </c>
      <c r="S67" s="944">
        <v>7.81</v>
      </c>
      <c r="T67" s="945">
        <v>7.9</v>
      </c>
      <c r="U67" s="1098">
        <v>10.43</v>
      </c>
      <c r="V67" s="897">
        <v>10.9625</v>
      </c>
      <c r="W67" s="1102">
        <v>9.7440000000000015</v>
      </c>
      <c r="X67" s="897">
        <v>12.6325</v>
      </c>
      <c r="Y67" s="708">
        <v>12.54</v>
      </c>
      <c r="Z67" s="897">
        <v>18.0075</v>
      </c>
      <c r="AA67" s="708">
        <v>19.625</v>
      </c>
      <c r="AB67" s="897">
        <v>20.48</v>
      </c>
      <c r="AC67" s="708">
        <v>30.682500000000001</v>
      </c>
      <c r="AD67" s="897">
        <f>+'Gasolinas 2009'!D33</f>
        <v>17.674999999999997</v>
      </c>
      <c r="AE67" s="708">
        <v>24.932500000000001</v>
      </c>
      <c r="AF67" s="897">
        <v>32.515000000000001</v>
      </c>
      <c r="AG67" s="708">
        <f>+'Gasolinas 2012'!E29</f>
        <v>33.150500000000001</v>
      </c>
      <c r="AH67" s="897">
        <f>+'Gasolinas 2013'!E29</f>
        <v>29.740000000000002</v>
      </c>
      <c r="AI67" s="708">
        <f>+'Gasolinas 2014'!D29</f>
        <v>33.814500000000002</v>
      </c>
      <c r="AJ67" s="897">
        <f>+'Gasolinas 2015'!E31</f>
        <v>28.67</v>
      </c>
      <c r="AK67" s="708">
        <f>+'Gasolinas 2016'!E28</f>
        <v>15.843333333333334</v>
      </c>
      <c r="AL67" s="897">
        <f>+'Gasolinas 2017'!E29</f>
        <v>18.424999999999997</v>
      </c>
      <c r="AM67" s="897">
        <f>+'Gasolinas 2018'!E29</f>
        <v>21.1875</v>
      </c>
      <c r="AN67" s="897">
        <f>+'Gasolinas 2019'!E30</f>
        <v>29.47</v>
      </c>
      <c r="AO67" s="897">
        <f>+'Gasolinas 2020'!E29</f>
        <v>15.952499999999999</v>
      </c>
      <c r="AP67" s="897"/>
    </row>
    <row r="68" spans="1:42">
      <c r="A68" s="546" t="s">
        <v>45</v>
      </c>
      <c r="B68" s="944">
        <v>1.19</v>
      </c>
      <c r="C68" s="944">
        <v>1.2</v>
      </c>
      <c r="D68" s="944">
        <v>1.2</v>
      </c>
      <c r="E68" s="944">
        <v>1.17</v>
      </c>
      <c r="F68" s="944">
        <v>1.17</v>
      </c>
      <c r="G68" s="944">
        <v>1.17</v>
      </c>
      <c r="H68" s="944">
        <v>1.7</v>
      </c>
      <c r="I68" s="944">
        <v>1.7</v>
      </c>
      <c r="J68" s="944">
        <v>2.25</v>
      </c>
      <c r="K68" s="944">
        <v>2.8</v>
      </c>
      <c r="L68" s="944">
        <v>5.95</v>
      </c>
      <c r="M68" s="944">
        <v>5.95</v>
      </c>
      <c r="N68" s="944">
        <v>5.95</v>
      </c>
      <c r="O68" s="944">
        <v>6.48</v>
      </c>
      <c r="P68" s="944">
        <v>6.78</v>
      </c>
      <c r="Q68" s="944">
        <v>8.14</v>
      </c>
      <c r="R68" s="944">
        <v>8.43</v>
      </c>
      <c r="S68" s="944">
        <v>7.85</v>
      </c>
      <c r="T68" s="945">
        <v>8.1300000000000008</v>
      </c>
      <c r="U68" s="1098">
        <v>10.27</v>
      </c>
      <c r="V68" s="897">
        <v>11.0175</v>
      </c>
      <c r="W68" s="1102">
        <v>9.7974999999999994</v>
      </c>
      <c r="X68" s="897">
        <v>11.1275</v>
      </c>
      <c r="Y68" s="708">
        <v>12.698000000000002</v>
      </c>
      <c r="Z68" s="897">
        <v>18.504000000000001</v>
      </c>
      <c r="AA68" s="708">
        <v>20.603999999999999</v>
      </c>
      <c r="AB68" s="897">
        <v>21.082000000000001</v>
      </c>
      <c r="AC68" s="708">
        <v>32.57</v>
      </c>
      <c r="AD68" s="897">
        <f>+'Gasolinas 2009'!D38</f>
        <v>19.8125</v>
      </c>
      <c r="AE68" s="708">
        <v>24.848000000000003</v>
      </c>
      <c r="AF68" s="897">
        <v>32.271999999999998</v>
      </c>
      <c r="AG68" s="708">
        <f>+'Gasolinas 2012'!E34</f>
        <v>27.99</v>
      </c>
      <c r="AH68" s="897">
        <f>+'Gasolinas 2013'!E34</f>
        <v>27.99</v>
      </c>
      <c r="AI68" s="708">
        <f>+'Gasolinas 2014'!E34</f>
        <v>27.99</v>
      </c>
      <c r="AJ68" s="897">
        <f>+'Gasolinas 2015'!E36</f>
        <v>26.544999999999998</v>
      </c>
      <c r="AK68" s="708">
        <f>+'Gasolinas 2016'!E34</f>
        <v>27.99</v>
      </c>
      <c r="AL68" s="897">
        <f>+'Gasolinas 2017'!E35</f>
        <v>28.442</v>
      </c>
      <c r="AM68" s="897">
        <f>+'Gasolinas 2018'!E35</f>
        <v>28.442</v>
      </c>
      <c r="AN68" s="897">
        <f>+'Gasolinas 2019'!E35</f>
        <v>28.184999999999999</v>
      </c>
      <c r="AO68" s="897">
        <f>+'Gasolinas 2020'!E34</f>
        <v>15.058499999999999</v>
      </c>
      <c r="AP68" s="897"/>
    </row>
    <row r="69" spans="1:42">
      <c r="A69" s="546" t="s">
        <v>46</v>
      </c>
      <c r="B69" s="944">
        <v>1.19</v>
      </c>
      <c r="C69" s="944">
        <v>1.2</v>
      </c>
      <c r="D69" s="944">
        <v>1.2</v>
      </c>
      <c r="E69" s="944">
        <v>1.17</v>
      </c>
      <c r="F69" s="944">
        <v>1.17</v>
      </c>
      <c r="G69" s="944">
        <v>1.5409999999999999</v>
      </c>
      <c r="H69" s="944">
        <v>1.7</v>
      </c>
      <c r="I69" s="944">
        <v>1.7</v>
      </c>
      <c r="J69" s="944">
        <v>2.25</v>
      </c>
      <c r="K69" s="944">
        <v>2.8</v>
      </c>
      <c r="L69" s="944">
        <v>5.95</v>
      </c>
      <c r="M69" s="944">
        <v>5.95</v>
      </c>
      <c r="N69" s="944">
        <v>5.95</v>
      </c>
      <c r="O69" s="944">
        <v>6.46</v>
      </c>
      <c r="P69" s="944">
        <v>6.77</v>
      </c>
      <c r="Q69" s="944">
        <v>8.02</v>
      </c>
      <c r="R69" s="944">
        <v>8.4499999999999993</v>
      </c>
      <c r="S69" s="944">
        <v>7.78</v>
      </c>
      <c r="T69" s="945">
        <v>8.1199999999999992</v>
      </c>
      <c r="U69" s="1098">
        <v>10.27</v>
      </c>
      <c r="V69" s="897">
        <v>10.932499999999999</v>
      </c>
      <c r="W69" s="1102">
        <v>9.7249999999999996</v>
      </c>
      <c r="X69" s="897">
        <v>9.91</v>
      </c>
      <c r="Y69" s="708">
        <v>12.567500000000001</v>
      </c>
      <c r="Z69" s="897">
        <v>17.247499999999999</v>
      </c>
      <c r="AA69" s="708">
        <v>20.69</v>
      </c>
      <c r="AB69" s="897">
        <v>21.53</v>
      </c>
      <c r="AC69" s="708">
        <v>36.397500000000001</v>
      </c>
      <c r="AD69" s="897">
        <f>+'Gasolinas 2009'!D44</f>
        <v>20.667999999999999</v>
      </c>
      <c r="AE69" s="708">
        <v>23.182500000000001</v>
      </c>
      <c r="AF69" s="897">
        <v>31.285</v>
      </c>
      <c r="AG69" s="708">
        <f>+'Gasolinas 2012'!E39</f>
        <v>29.202500000000001</v>
      </c>
      <c r="AH69" s="897">
        <f>+'Gasolinas 2013'!E39</f>
        <v>28.675000000000001</v>
      </c>
      <c r="AI69" s="708">
        <f>+'Gasolinas 2014'!E39</f>
        <v>31.037500000000001</v>
      </c>
      <c r="AJ69" s="897">
        <f>+'Gasolinas 2015'!E41</f>
        <v>21.565000000000001</v>
      </c>
      <c r="AK69" s="708">
        <f>+'Gasolinas 2016'!E39</f>
        <v>17.982500000000002</v>
      </c>
      <c r="AL69" s="897">
        <f>+'Gasolinas 2017'!E40</f>
        <v>17.327500000000001</v>
      </c>
      <c r="AM69" s="897">
        <f>+'Gasolinas 2018'!E40</f>
        <v>22.965000000000003</v>
      </c>
      <c r="AN69" s="897">
        <f>+'Gasolinas 2019'!E40</f>
        <v>21.63</v>
      </c>
      <c r="AO69" s="897">
        <f>+'Gasolinas 2020'!E40</f>
        <v>16.392000000000003</v>
      </c>
      <c r="AP69" s="897"/>
    </row>
    <row r="70" spans="1:42">
      <c r="A70" s="546" t="s">
        <v>47</v>
      </c>
      <c r="B70" s="944">
        <v>1.24</v>
      </c>
      <c r="C70" s="944">
        <v>1.2</v>
      </c>
      <c r="D70" s="944">
        <v>1.196</v>
      </c>
      <c r="E70" s="944">
        <v>1.17</v>
      </c>
      <c r="F70" s="944">
        <v>1.17</v>
      </c>
      <c r="G70" s="944">
        <v>1.7</v>
      </c>
      <c r="H70" s="944">
        <v>1.7</v>
      </c>
      <c r="I70" s="944">
        <v>2.35</v>
      </c>
      <c r="J70" s="944">
        <v>2.25</v>
      </c>
      <c r="K70" s="944">
        <v>2.8</v>
      </c>
      <c r="L70" s="944">
        <v>5.95</v>
      </c>
      <c r="M70" s="944">
        <v>5.95</v>
      </c>
      <c r="N70" s="944">
        <v>5.95</v>
      </c>
      <c r="O70" s="944">
        <v>6.46</v>
      </c>
      <c r="P70" s="944">
        <v>6.61</v>
      </c>
      <c r="Q70" s="944">
        <v>7.9</v>
      </c>
      <c r="R70" s="944">
        <v>8.2799999999999994</v>
      </c>
      <c r="S70" s="944">
        <v>7.58</v>
      </c>
      <c r="T70" s="946">
        <v>8.2799999999999994</v>
      </c>
      <c r="U70" s="1098">
        <v>10.46</v>
      </c>
      <c r="V70" s="897">
        <v>10.698</v>
      </c>
      <c r="W70" s="1102">
        <v>9.8780000000000001</v>
      </c>
      <c r="X70" s="897">
        <v>9.9079999999999995</v>
      </c>
      <c r="Y70" s="708">
        <v>12.5525</v>
      </c>
      <c r="Z70" s="897">
        <v>17.247499999999999</v>
      </c>
      <c r="AA70" s="708">
        <v>20.76</v>
      </c>
      <c r="AB70" s="897">
        <v>21.622499999999999</v>
      </c>
      <c r="AC70" s="708">
        <v>37.167999999999999</v>
      </c>
      <c r="AD70" s="897">
        <v>20.752000000000002</v>
      </c>
      <c r="AE70" s="708">
        <v>23.3825</v>
      </c>
      <c r="AF70" s="897">
        <v>31.477499999999999</v>
      </c>
      <c r="AG70" s="708">
        <f>+'Gasolinas 2012'!E83</f>
        <v>29.806000000000001</v>
      </c>
      <c r="AH70" s="897">
        <f>+'Gasolinas 2013'!E83</f>
        <v>30.983999999999998</v>
      </c>
      <c r="AI70" s="708">
        <f>+'Gasolinas 2014'!E45</f>
        <v>30.934000000000005</v>
      </c>
      <c r="AJ70" s="897">
        <f>+'Gasolinas 2015'!E47</f>
        <v>20.338000000000001</v>
      </c>
      <c r="AK70" s="708">
        <f>+'Gasolinas 2016'!E44</f>
        <v>17.145000000000003</v>
      </c>
      <c r="AL70" s="897">
        <f>+'Gasolinas 2017'!E46</f>
        <v>17.472000000000001</v>
      </c>
      <c r="AM70" s="897">
        <f>+'Gasolinas 2018'!E46</f>
        <v>22.928000000000001</v>
      </c>
      <c r="AN70" s="897">
        <f>+'Gasolinas 2019'!E46</f>
        <v>21.854000000000003</v>
      </c>
      <c r="AO70" s="897">
        <f>+'Gasolinas 2020'!E45</f>
        <v>17.3825</v>
      </c>
      <c r="AP70" s="897"/>
    </row>
    <row r="71" spans="1:42">
      <c r="A71" s="546" t="s">
        <v>48</v>
      </c>
      <c r="B71" s="944">
        <v>1.24</v>
      </c>
      <c r="C71" s="944">
        <v>1.2</v>
      </c>
      <c r="D71" s="944">
        <v>1.17</v>
      </c>
      <c r="E71" s="944">
        <v>1.17</v>
      </c>
      <c r="F71" s="944">
        <v>1.17</v>
      </c>
      <c r="G71" s="944">
        <v>1.7</v>
      </c>
      <c r="H71" s="944">
        <v>1.7</v>
      </c>
      <c r="I71" s="944">
        <v>2.25</v>
      </c>
      <c r="J71" s="944">
        <v>2.31</v>
      </c>
      <c r="K71" s="944">
        <v>2.8</v>
      </c>
      <c r="L71" s="944">
        <v>5.95</v>
      </c>
      <c r="M71" s="944">
        <v>5.95</v>
      </c>
      <c r="N71" s="944">
        <v>5.95</v>
      </c>
      <c r="O71" s="944">
        <v>6.47</v>
      </c>
      <c r="P71" s="944">
        <v>6.53</v>
      </c>
      <c r="Q71" s="944">
        <v>7.89</v>
      </c>
      <c r="R71" s="944">
        <v>8.2200000000000006</v>
      </c>
      <c r="S71" s="944">
        <v>7.45</v>
      </c>
      <c r="T71" s="945">
        <v>8.6</v>
      </c>
      <c r="U71" s="1098">
        <v>10.43</v>
      </c>
      <c r="V71" s="897">
        <v>10.503</v>
      </c>
      <c r="W71" s="1102">
        <v>10.28</v>
      </c>
      <c r="X71" s="897">
        <v>10.477499999999999</v>
      </c>
      <c r="Y71" s="708">
        <v>12.952500000000001</v>
      </c>
      <c r="Z71" s="897">
        <v>17.795999999999999</v>
      </c>
      <c r="AA71" s="708">
        <v>21.5625</v>
      </c>
      <c r="AB71" s="897">
        <v>21.834</v>
      </c>
      <c r="AC71" s="708">
        <v>35.337499999999999</v>
      </c>
      <c r="AD71" s="897">
        <v>21.748000000000001</v>
      </c>
      <c r="AE71" s="708">
        <v>23.598000000000003</v>
      </c>
      <c r="AF71" s="897">
        <v>31.603999999999996</v>
      </c>
      <c r="AG71" s="708">
        <f>+'Gasolinas 2012'!E88</f>
        <v>31.862500000000001</v>
      </c>
      <c r="AH71" s="897">
        <f>+'Gasolinas 2013'!E88</f>
        <v>31.395</v>
      </c>
      <c r="AI71" s="708">
        <f>+'Gasolinas 2014'!E50</f>
        <v>30.414999999999999</v>
      </c>
      <c r="AJ71" s="897">
        <f>+'Gasolinas 2015'!E53</f>
        <v>18.238</v>
      </c>
      <c r="AK71" s="708">
        <f>+'Gasolinas 2016'!E50</f>
        <v>16.971999999999998</v>
      </c>
      <c r="AL71" s="897">
        <f>+'Gasolinas 2017'!E51</f>
        <v>18.434999999999999</v>
      </c>
      <c r="AM71" s="897">
        <f>+'Gasolinas 2018'!E51</f>
        <v>22.9175</v>
      </c>
      <c r="AN71" s="897">
        <f>+'Gasolinas 2019'!E51</f>
        <v>21.107500000000002</v>
      </c>
      <c r="AO71" s="897">
        <f>+'Gasolinas 2020'!E51</f>
        <v>17.606000000000002</v>
      </c>
      <c r="AP71" s="897"/>
    </row>
    <row r="72" spans="1:42">
      <c r="A72" s="546" t="s">
        <v>49</v>
      </c>
      <c r="B72" s="944">
        <v>1.24</v>
      </c>
      <c r="C72" s="944">
        <v>1.2</v>
      </c>
      <c r="D72" s="944">
        <v>1.17</v>
      </c>
      <c r="E72" s="944">
        <v>1.17</v>
      </c>
      <c r="F72" s="944">
        <v>1.17</v>
      </c>
      <c r="G72" s="944">
        <v>1.7</v>
      </c>
      <c r="H72" s="944">
        <v>1.7</v>
      </c>
      <c r="I72" s="944">
        <v>2.25</v>
      </c>
      <c r="J72" s="944">
        <v>2.31</v>
      </c>
      <c r="K72" s="944">
        <v>2.8</v>
      </c>
      <c r="L72" s="944">
        <v>5.95</v>
      </c>
      <c r="M72" s="944">
        <v>5.95</v>
      </c>
      <c r="N72" s="944">
        <v>5.95</v>
      </c>
      <c r="O72" s="944">
        <v>6.52</v>
      </c>
      <c r="P72" s="944">
        <v>6.65</v>
      </c>
      <c r="Q72" s="944">
        <v>7.99</v>
      </c>
      <c r="R72" s="944">
        <v>8.31</v>
      </c>
      <c r="S72" s="946">
        <v>7.35</v>
      </c>
      <c r="T72" s="947">
        <v>8.99</v>
      </c>
      <c r="U72" s="1098">
        <v>11.04</v>
      </c>
      <c r="V72" s="897">
        <v>10.595000000000001</v>
      </c>
      <c r="W72" s="1102">
        <v>10.244</v>
      </c>
      <c r="X72" s="897">
        <v>11.144</v>
      </c>
      <c r="Y72" s="708">
        <v>13.875</v>
      </c>
      <c r="Z72" s="897">
        <v>19.055</v>
      </c>
      <c r="AA72" s="708">
        <v>21.155000000000001</v>
      </c>
      <c r="AB72" s="897">
        <v>21.535</v>
      </c>
      <c r="AC72" s="708">
        <v>32.873999999999995</v>
      </c>
      <c r="AD72" s="897">
        <v>21.855</v>
      </c>
      <c r="AE72" s="708">
        <v>22.89</v>
      </c>
      <c r="AF72" s="897">
        <v>31.17</v>
      </c>
      <c r="AG72" s="708">
        <f>+'Gasolinas 2012'!E93</f>
        <v>33.504999999999995</v>
      </c>
      <c r="AH72" s="897">
        <f>+'Gasolinas 2013'!E94</f>
        <v>32.454000000000001</v>
      </c>
      <c r="AI72" s="708">
        <f>+'Gasolinas 2014'!E56</f>
        <v>29.528000000000002</v>
      </c>
      <c r="AJ72" s="897">
        <f>+'Gasolinas 2015'!E58</f>
        <v>18.432499999999997</v>
      </c>
      <c r="AK72" s="708">
        <f>+'Gasolinas 2016'!E55</f>
        <v>17.667499999999997</v>
      </c>
      <c r="AL72" s="897">
        <f>+'Gasolinas 2017'!E56</f>
        <v>19.182500000000001</v>
      </c>
      <c r="AM72" s="897">
        <f>+'Gasolinas 2018'!E56</f>
        <v>23.837499999999999</v>
      </c>
      <c r="AN72" s="897">
        <f>+'Gasolinas 2019'!E57</f>
        <v>21.832000000000001</v>
      </c>
      <c r="AO72" s="897">
        <f>+'Gasolinas 2020'!E56</f>
        <v>16.509999999999998</v>
      </c>
      <c r="AP72" s="897"/>
    </row>
    <row r="73" spans="1:42">
      <c r="A73" s="546" t="s">
        <v>50</v>
      </c>
      <c r="B73" s="944">
        <v>1.24</v>
      </c>
      <c r="C73" s="944">
        <v>1.2</v>
      </c>
      <c r="D73" s="944">
        <v>1.17</v>
      </c>
      <c r="E73" s="944">
        <v>1.17</v>
      </c>
      <c r="F73" s="944">
        <v>1.17</v>
      </c>
      <c r="G73" s="944">
        <v>1.7</v>
      </c>
      <c r="H73" s="944">
        <v>1.7</v>
      </c>
      <c r="I73" s="944">
        <v>2.25</v>
      </c>
      <c r="J73" s="944">
        <v>2.31</v>
      </c>
      <c r="K73" s="944">
        <v>2.8</v>
      </c>
      <c r="L73" s="944">
        <v>5.95</v>
      </c>
      <c r="M73" s="944">
        <v>5.95</v>
      </c>
      <c r="N73" s="944">
        <v>5.95</v>
      </c>
      <c r="O73" s="944">
        <v>6.58</v>
      </c>
      <c r="P73" s="944">
        <v>6.71</v>
      </c>
      <c r="Q73" s="944">
        <v>8.24</v>
      </c>
      <c r="R73" s="944">
        <v>8.31</v>
      </c>
      <c r="S73" s="946">
        <v>7.48</v>
      </c>
      <c r="T73" s="945">
        <v>9.36</v>
      </c>
      <c r="U73" s="1098">
        <v>11.956</v>
      </c>
      <c r="V73" s="897">
        <v>10.608000000000001</v>
      </c>
      <c r="W73" s="1102">
        <v>10.56</v>
      </c>
      <c r="X73" s="897">
        <v>10.817500000000001</v>
      </c>
      <c r="Y73" s="708">
        <v>15.805</v>
      </c>
      <c r="Z73" s="897">
        <v>20.502000000000002</v>
      </c>
      <c r="AA73" s="708">
        <v>19.91</v>
      </c>
      <c r="AB73" s="897">
        <v>22.862000000000002</v>
      </c>
      <c r="AC73" s="708">
        <v>29.344999999999999</v>
      </c>
      <c r="AD73" s="897">
        <v>21.3825</v>
      </c>
      <c r="AE73" s="708">
        <v>24.827999999999996</v>
      </c>
      <c r="AF73" s="897">
        <v>30.836000000000002</v>
      </c>
      <c r="AG73" s="708">
        <f>+'Gasolinas 2012'!E99</f>
        <v>33</v>
      </c>
      <c r="AH73" s="897">
        <f>+'Gasolinas 2013'!E99</f>
        <v>31.32</v>
      </c>
      <c r="AI73" s="708">
        <f>+'Gasolinas 2014'!E61</f>
        <v>27.707500000000003</v>
      </c>
      <c r="AJ73" s="897">
        <f>+'Gasolinas 2015'!E63</f>
        <v>18.4725</v>
      </c>
      <c r="AK73" s="708">
        <f>+'Gasolinas 2016'!E61</f>
        <v>18.346</v>
      </c>
      <c r="AL73" s="897">
        <f>+'Gasolinas 2017'!E62</f>
        <v>19.975999999999999</v>
      </c>
      <c r="AM73" s="897">
        <f>+'Gasolinas 2018'!E62</f>
        <v>25.044</v>
      </c>
      <c r="AN73" s="897">
        <f>+'Gasolinas 2019'!E62</f>
        <v>22.0625</v>
      </c>
      <c r="AO73" s="897">
        <v>16.1525</v>
      </c>
      <c r="AP73" s="897"/>
    </row>
    <row r="74" spans="1:42">
      <c r="A74" s="546" t="s">
        <v>51</v>
      </c>
      <c r="B74" s="944">
        <v>1.24</v>
      </c>
      <c r="C74" s="944">
        <v>1.2</v>
      </c>
      <c r="D74" s="944">
        <v>1.17</v>
      </c>
      <c r="E74" s="944">
        <v>1.17</v>
      </c>
      <c r="F74" s="944">
        <v>1.17</v>
      </c>
      <c r="G74" s="944">
        <v>1.7</v>
      </c>
      <c r="H74" s="944">
        <v>1.7</v>
      </c>
      <c r="I74" s="944">
        <v>2.25</v>
      </c>
      <c r="J74" s="944">
        <v>2.7</v>
      </c>
      <c r="K74" s="944">
        <v>2.8</v>
      </c>
      <c r="L74" s="944">
        <v>5.95</v>
      </c>
      <c r="M74" s="944">
        <v>5.95</v>
      </c>
      <c r="N74" s="944">
        <v>5.95</v>
      </c>
      <c r="O74" s="944">
        <v>6.64</v>
      </c>
      <c r="P74" s="944">
        <v>6.77</v>
      </c>
      <c r="Q74" s="944">
        <v>8.7100000000000009</v>
      </c>
      <c r="R74" s="944">
        <v>8.36</v>
      </c>
      <c r="S74" s="944">
        <v>7.56</v>
      </c>
      <c r="T74" s="945">
        <v>9.44</v>
      </c>
      <c r="U74" s="1098">
        <v>12.13</v>
      </c>
      <c r="V74" s="897">
        <v>10.3925</v>
      </c>
      <c r="W74" s="1102">
        <f>+'Gasolinas 2017'!I40</f>
        <v>16.445</v>
      </c>
      <c r="X74" s="897">
        <v>10.98</v>
      </c>
      <c r="Y74" s="708">
        <v>17.151999999999997</v>
      </c>
      <c r="Z74" s="897">
        <v>21.08</v>
      </c>
      <c r="AA74" s="708">
        <v>18.920000000000002</v>
      </c>
      <c r="AB74" s="897">
        <v>25.157499999999999</v>
      </c>
      <c r="AC74" s="708">
        <v>25.215</v>
      </c>
      <c r="AD74" s="897">
        <v>23.5</v>
      </c>
      <c r="AE74" s="708">
        <v>25.684000000000005</v>
      </c>
      <c r="AF74" s="897">
        <v>32.217500000000001</v>
      </c>
      <c r="AG74" s="708">
        <f>+'Gasolinas 2012'!E104</f>
        <v>31.467500000000001</v>
      </c>
      <c r="AH74" s="897">
        <f>+'Gasolinas 2013'!I104</f>
        <v>30.477499999999999</v>
      </c>
      <c r="AI74" s="708">
        <f>+'Gasolinas 2014'!E66</f>
        <v>25.970000000000002</v>
      </c>
      <c r="AJ74" s="897">
        <f>+'Gasolinas 2015'!E69</f>
        <v>18.042000000000002</v>
      </c>
      <c r="AK74" s="708">
        <f>+'Gasolinas 2016'!E66</f>
        <v>17.987500000000001</v>
      </c>
      <c r="AL74" s="897">
        <f>+'Gasolinas 2017'!E67</f>
        <v>20.805</v>
      </c>
      <c r="AM74" s="897">
        <f>+'Gasolinas 2018'!E67</f>
        <v>23.7775</v>
      </c>
      <c r="AN74" s="897">
        <f>+'Gasolinas 2019'!E67</f>
        <v>21.795000000000002</v>
      </c>
      <c r="AO74" s="897">
        <v>16.149999999999999</v>
      </c>
      <c r="AP74" s="897"/>
    </row>
    <row r="75" spans="1:42" ht="13.5" thickBot="1">
      <c r="A75" s="546" t="s">
        <v>52</v>
      </c>
      <c r="B75" s="944">
        <v>1.24</v>
      </c>
      <c r="C75" s="944">
        <v>1.2</v>
      </c>
      <c r="D75" s="944">
        <v>1.17</v>
      </c>
      <c r="E75" s="944">
        <v>1.17</v>
      </c>
      <c r="F75" s="944">
        <v>1.17</v>
      </c>
      <c r="G75" s="944">
        <v>1.7</v>
      </c>
      <c r="H75" s="944">
        <v>1.7</v>
      </c>
      <c r="I75" s="944">
        <v>2.25</v>
      </c>
      <c r="J75" s="944">
        <v>2.7</v>
      </c>
      <c r="K75" s="944">
        <v>5.95</v>
      </c>
      <c r="L75" s="944">
        <v>5.95</v>
      </c>
      <c r="M75" s="944">
        <v>5.95</v>
      </c>
      <c r="N75" s="944">
        <v>5.95</v>
      </c>
      <c r="O75" s="944">
        <v>6.77</v>
      </c>
      <c r="P75" s="944">
        <v>6.97</v>
      </c>
      <c r="Q75" s="944">
        <v>8.89</v>
      </c>
      <c r="R75" s="944">
        <v>8.58</v>
      </c>
      <c r="S75" s="944">
        <v>7.35</v>
      </c>
      <c r="T75" s="945">
        <v>10.1</v>
      </c>
      <c r="U75" s="1098">
        <v>12.205</v>
      </c>
      <c r="V75" s="1096">
        <v>9.7899999999999991</v>
      </c>
      <c r="W75" s="1102">
        <v>10.562000000000001</v>
      </c>
      <c r="X75" s="897">
        <v>11.251999999999999</v>
      </c>
      <c r="Y75" s="708">
        <v>16.877500000000001</v>
      </c>
      <c r="Z75" s="897">
        <v>20.612500000000001</v>
      </c>
      <c r="AA75" s="708">
        <v>18.805</v>
      </c>
      <c r="AB75" s="897">
        <v>26.114999999999998</v>
      </c>
      <c r="AC75" s="708">
        <v>21.212</v>
      </c>
      <c r="AD75" s="897">
        <v>23.47</v>
      </c>
      <c r="AE75" s="708">
        <v>26.88</v>
      </c>
      <c r="AF75" s="897">
        <v>31.072500000000002</v>
      </c>
      <c r="AG75" s="708">
        <f>+'Gasolinas 2012'!E109</f>
        <v>32.715000000000003</v>
      </c>
      <c r="AH75" s="897">
        <f>+'Gasolinas 2013'!I110</f>
        <v>31.6</v>
      </c>
      <c r="AI75" s="708">
        <f>+'Gasolinas 2014'!E72</f>
        <v>23.097999999999999</v>
      </c>
      <c r="AJ75" s="897">
        <f>+'Gasolinas 2015'!E74</f>
        <v>16.255000000000003</v>
      </c>
      <c r="AK75" s="708">
        <f>+'Gasolinas 2016'!E71</f>
        <v>18.9175</v>
      </c>
      <c r="AL75" s="897">
        <f>+'Gasolinas 2017'!E72</f>
        <v>20.927500000000002</v>
      </c>
      <c r="AM75" s="897">
        <f>+'Gasolinas 2018'!E72</f>
        <v>21.597500000000004</v>
      </c>
      <c r="AN75" s="897">
        <f>+'Gasolinas 2019'!E73</f>
        <v>21.919999999999998</v>
      </c>
      <c r="AO75" s="897">
        <f>+'Gasolinas 2020'!E72</f>
        <v>18.37</v>
      </c>
      <c r="AP75" s="897"/>
    </row>
    <row r="76" spans="1:42" ht="18.75" thickBot="1">
      <c r="A76" s="952" t="s">
        <v>7</v>
      </c>
      <c r="B76" s="900">
        <f t="shared" ref="B76:T76" si="6">AVERAGE(B64:B75)</f>
        <v>1.2150000000000001</v>
      </c>
      <c r="C76" s="900">
        <f t="shared" si="6"/>
        <v>1.2082222222222219</v>
      </c>
      <c r="D76" s="900">
        <f t="shared" si="6"/>
        <v>1.1871666666666667</v>
      </c>
      <c r="E76" s="900">
        <f t="shared" si="6"/>
        <v>1.17</v>
      </c>
      <c r="F76" s="900">
        <f t="shared" si="6"/>
        <v>1.17</v>
      </c>
      <c r="G76" s="900">
        <f t="shared" si="6"/>
        <v>1.4659166666666665</v>
      </c>
      <c r="H76" s="900">
        <f t="shared" si="6"/>
        <v>1.6999999999999995</v>
      </c>
      <c r="I76" s="900">
        <f t="shared" si="6"/>
        <v>1.9833333333333332</v>
      </c>
      <c r="J76" s="900">
        <f t="shared" si="6"/>
        <v>2.3399999999999994</v>
      </c>
      <c r="K76" s="900">
        <f t="shared" si="6"/>
        <v>3.037500000000001</v>
      </c>
      <c r="L76" s="900">
        <f t="shared" si="6"/>
        <v>5.950000000000002</v>
      </c>
      <c r="M76" s="900">
        <f t="shared" si="6"/>
        <v>5.950000000000002</v>
      </c>
      <c r="N76" s="900">
        <f t="shared" si="6"/>
        <v>5.950000000000002</v>
      </c>
      <c r="O76" s="900">
        <f t="shared" si="6"/>
        <v>6.4325000000000001</v>
      </c>
      <c r="P76" s="900">
        <f t="shared" si="6"/>
        <v>6.6808333333333323</v>
      </c>
      <c r="Q76" s="900">
        <f t="shared" si="6"/>
        <v>8.0425000000000004</v>
      </c>
      <c r="R76" s="900">
        <f t="shared" si="6"/>
        <v>8.5541666666666671</v>
      </c>
      <c r="S76" s="900">
        <f t="shared" si="6"/>
        <v>7.6841666666666661</v>
      </c>
      <c r="T76" s="900">
        <f t="shared" si="6"/>
        <v>8.3716666666666661</v>
      </c>
      <c r="U76" s="953">
        <f t="shared" ref="U76:AK76" si="7">AVERAGE(U64:U75)</f>
        <v>10.910916666666665</v>
      </c>
      <c r="V76" s="1106">
        <f t="shared" si="7"/>
        <v>10.813083333333331</v>
      </c>
      <c r="W76" s="953">
        <f t="shared" si="7"/>
        <v>10.3865</v>
      </c>
      <c r="X76" s="953">
        <f t="shared" si="7"/>
        <v>11.1775</v>
      </c>
      <c r="Y76" s="953">
        <f t="shared" si="7"/>
        <v>13.680874999999999</v>
      </c>
      <c r="Z76" s="953">
        <f t="shared" si="7"/>
        <v>18.131250000000005</v>
      </c>
      <c r="AA76" s="953">
        <f t="shared" si="7"/>
        <v>19.986791666666665</v>
      </c>
      <c r="AB76" s="953">
        <f t="shared" si="7"/>
        <v>21.494208333333333</v>
      </c>
      <c r="AC76" s="953">
        <f t="shared" si="7"/>
        <v>30.116124999999997</v>
      </c>
      <c r="AD76" s="953">
        <f t="shared" si="7"/>
        <v>20.491583333333331</v>
      </c>
      <c r="AE76" s="953">
        <f t="shared" si="7"/>
        <v>24.419666666666668</v>
      </c>
      <c r="AF76" s="953">
        <f t="shared" si="7"/>
        <v>31.051625000000001</v>
      </c>
      <c r="AG76" s="953" t="e">
        <f t="shared" si="7"/>
        <v>#REF!</v>
      </c>
      <c r="AH76" s="953">
        <f t="shared" si="7"/>
        <v>31.068458333333339</v>
      </c>
      <c r="AI76" s="953">
        <f t="shared" si="7"/>
        <v>29.561041666666668</v>
      </c>
      <c r="AJ76" s="953">
        <f t="shared" si="7"/>
        <v>22.071458333333336</v>
      </c>
      <c r="AK76" s="953">
        <f t="shared" si="7"/>
        <v>18.20002777777778</v>
      </c>
      <c r="AL76" s="953">
        <f>AVERAGE(AL64:AL75)</f>
        <v>20.149708333333333</v>
      </c>
      <c r="AM76" s="953">
        <f>AVERAGE(AM64:AM75)</f>
        <v>23.37575</v>
      </c>
      <c r="AN76" s="953">
        <f>AVERAGE(AN64:AN75)</f>
        <v>23.233791666666672</v>
      </c>
      <c r="AO76" s="953">
        <f>AVERAGE(AO64:AO75)</f>
        <v>17.178124999999998</v>
      </c>
      <c r="AP76" s="953">
        <f>AVERAGE(AP64:AP75)</f>
        <v>24.645</v>
      </c>
    </row>
    <row r="77" spans="1:42">
      <c r="A77" s="895" t="s">
        <v>519</v>
      </c>
      <c r="B77" s="895"/>
      <c r="C77" s="895"/>
      <c r="D77" s="895"/>
      <c r="E77" s="895"/>
      <c r="F77" s="895"/>
      <c r="G77" s="895"/>
      <c r="H77" s="895"/>
      <c r="I77" s="895"/>
      <c r="J77" s="895"/>
      <c r="K77" s="895"/>
      <c r="L77" s="895"/>
      <c r="M77" s="895"/>
      <c r="N77" s="895"/>
      <c r="O77" s="895"/>
      <c r="P77" s="895"/>
      <c r="Q77" s="895"/>
      <c r="R77" s="895"/>
      <c r="S77" s="895"/>
      <c r="T77" s="895"/>
      <c r="U77" s="895"/>
      <c r="V77" s="895"/>
      <c r="W77" s="899"/>
      <c r="X77" s="899"/>
      <c r="Y77" s="899"/>
      <c r="Z77" s="899"/>
      <c r="AA77" s="899"/>
      <c r="AB77" s="899"/>
      <c r="AC77" s="899"/>
      <c r="AD77" s="899"/>
      <c r="AE77" s="899"/>
      <c r="AF77" s="899"/>
      <c r="AG77" s="899"/>
      <c r="AH77" s="899"/>
      <c r="AI77" s="899"/>
      <c r="AJ77" s="899"/>
      <c r="AK77" s="548"/>
      <c r="AL77" s="548"/>
      <c r="AM77" s="548"/>
      <c r="AN77" s="564"/>
      <c r="AP77" s="564"/>
    </row>
    <row r="78" spans="1:42">
      <c r="A78" s="1707"/>
      <c r="B78" s="1707"/>
      <c r="C78" s="1707"/>
      <c r="D78" s="1707"/>
      <c r="E78" s="1707"/>
      <c r="F78" s="1707"/>
      <c r="G78" s="1707"/>
      <c r="H78" s="1707"/>
      <c r="I78" s="1707"/>
      <c r="J78" s="1707"/>
      <c r="K78" s="1707"/>
      <c r="L78" s="1707"/>
      <c r="M78" s="1707"/>
      <c r="N78" s="1707"/>
      <c r="O78" s="1707"/>
      <c r="P78" s="1707"/>
      <c r="Q78" s="1707"/>
      <c r="R78" s="1707"/>
      <c r="S78" s="1707"/>
      <c r="T78" s="1707"/>
      <c r="U78" s="1708"/>
      <c r="V78" s="1708"/>
      <c r="W78" s="1708"/>
      <c r="X78" s="1708"/>
      <c r="Y78" s="1708"/>
      <c r="Z78" s="1708"/>
      <c r="AA78" s="1708"/>
      <c r="AB78" s="1708"/>
      <c r="AC78" s="1708"/>
      <c r="AD78" s="1708"/>
      <c r="AE78" s="1708"/>
      <c r="AF78" s="1708"/>
      <c r="AG78" s="1708"/>
      <c r="AH78" s="1708"/>
      <c r="AI78" s="1708"/>
      <c r="AJ78" s="1708"/>
      <c r="AK78" s="1708"/>
      <c r="AL78" s="75"/>
      <c r="AM78" s="548"/>
      <c r="AN78" s="564"/>
      <c r="AP78" s="564"/>
    </row>
    <row r="79" spans="1:42">
      <c r="AN79" s="564"/>
    </row>
  </sheetData>
  <mergeCells count="178">
    <mergeCell ref="AP62:AP63"/>
    <mergeCell ref="A1:AN1"/>
    <mergeCell ref="A2:AN2"/>
    <mergeCell ref="A3:AN3"/>
    <mergeCell ref="A4:AN4"/>
    <mergeCell ref="A5:AN5"/>
    <mergeCell ref="A6:AN6"/>
    <mergeCell ref="A7:AN7"/>
    <mergeCell ref="A8:AN8"/>
    <mergeCell ref="P45:P46"/>
    <mergeCell ref="Q45:Q46"/>
    <mergeCell ref="R45:R46"/>
    <mergeCell ref="K45:K46"/>
    <mergeCell ref="L45:L46"/>
    <mergeCell ref="M45:M46"/>
    <mergeCell ref="J45:J46"/>
    <mergeCell ref="C27:C28"/>
    <mergeCell ref="B27:B28"/>
    <mergeCell ref="F45:F46"/>
    <mergeCell ref="G45:G46"/>
    <mergeCell ref="H45:H46"/>
    <mergeCell ref="AE10:AE11"/>
    <mergeCell ref="AP10:AP11"/>
    <mergeCell ref="AO10:AO11"/>
    <mergeCell ref="X10:X11"/>
    <mergeCell ref="Y10:Y11"/>
    <mergeCell ref="Z10:Z11"/>
    <mergeCell ref="AB10:AB11"/>
    <mergeCell ref="AP27:AP28"/>
    <mergeCell ref="AP45:AP46"/>
    <mergeCell ref="AO27:AO28"/>
    <mergeCell ref="AO45:AO46"/>
    <mergeCell ref="AC10:AC11"/>
    <mergeCell ref="AD10:AD11"/>
    <mergeCell ref="AA10:AA11"/>
    <mergeCell ref="AI10:AI11"/>
    <mergeCell ref="AF10:AF11"/>
    <mergeCell ref="AG10:AG11"/>
    <mergeCell ref="AO62:AO63"/>
    <mergeCell ref="AN10:AN11"/>
    <mergeCell ref="AN27:AN28"/>
    <mergeCell ref="AN45:AN46"/>
    <mergeCell ref="AN62:AN63"/>
    <mergeCell ref="AJ27:AJ28"/>
    <mergeCell ref="AJ10:AJ11"/>
    <mergeCell ref="AM27:AM28"/>
    <mergeCell ref="AM45:AM46"/>
    <mergeCell ref="AM62:AM63"/>
    <mergeCell ref="AL10:AL11"/>
    <mergeCell ref="AL27:AL28"/>
    <mergeCell ref="AL45:AL46"/>
    <mergeCell ref="AL62:AL63"/>
    <mergeCell ref="AK45:AK46"/>
    <mergeCell ref="AK62:AK63"/>
    <mergeCell ref="AK10:AK11"/>
    <mergeCell ref="AK27:AK28"/>
    <mergeCell ref="AJ45:AJ46"/>
    <mergeCell ref="AM10:AM11"/>
    <mergeCell ref="T62:T63"/>
    <mergeCell ref="Z45:Z46"/>
    <mergeCell ref="AH62:AH63"/>
    <mergeCell ref="AG62:AG63"/>
    <mergeCell ref="AF45:AF46"/>
    <mergeCell ref="AC45:AC46"/>
    <mergeCell ref="AE45:AE46"/>
    <mergeCell ref="L10:L11"/>
    <mergeCell ref="M10:M11"/>
    <mergeCell ref="S10:S11"/>
    <mergeCell ref="T10:T11"/>
    <mergeCell ref="Q10:Q11"/>
    <mergeCell ref="S45:S46"/>
    <mergeCell ref="AG45:AG46"/>
    <mergeCell ref="AH45:AH46"/>
    <mergeCell ref="X27:X28"/>
    <mergeCell ref="AA27:AA28"/>
    <mergeCell ref="AC27:AC28"/>
    <mergeCell ref="AD27:AD28"/>
    <mergeCell ref="U10:U11"/>
    <mergeCell ref="V10:V11"/>
    <mergeCell ref="P27:P28"/>
    <mergeCell ref="Y27:Y28"/>
    <mergeCell ref="Z27:Z28"/>
    <mergeCell ref="A45:A46"/>
    <mergeCell ref="W45:W46"/>
    <mergeCell ref="F27:F28"/>
    <mergeCell ref="AB45:AB46"/>
    <mergeCell ref="I45:I46"/>
    <mergeCell ref="N45:N46"/>
    <mergeCell ref="O45:O46"/>
    <mergeCell ref="K27:K28"/>
    <mergeCell ref="L27:L28"/>
    <mergeCell ref="M27:M28"/>
    <mergeCell ref="N27:N28"/>
    <mergeCell ref="O27:O28"/>
    <mergeCell ref="B45:B46"/>
    <mergeCell ref="C45:C46"/>
    <mergeCell ref="AB27:AB28"/>
    <mergeCell ref="T45:T46"/>
    <mergeCell ref="X45:X46"/>
    <mergeCell ref="Y45:Y46"/>
    <mergeCell ref="U27:U28"/>
    <mergeCell ref="V27:V28"/>
    <mergeCell ref="U45:U46"/>
    <mergeCell ref="V45:V46"/>
    <mergeCell ref="A27:A28"/>
    <mergeCell ref="W27:W28"/>
    <mergeCell ref="A10:A11"/>
    <mergeCell ref="J10:J11"/>
    <mergeCell ref="K10:K11"/>
    <mergeCell ref="R10:R11"/>
    <mergeCell ref="F10:F11"/>
    <mergeCell ref="G10:G11"/>
    <mergeCell ref="K62:K63"/>
    <mergeCell ref="G62:G63"/>
    <mergeCell ref="B62:B63"/>
    <mergeCell ref="C62:C63"/>
    <mergeCell ref="D62:D63"/>
    <mergeCell ref="E45:E46"/>
    <mergeCell ref="J62:J63"/>
    <mergeCell ref="H10:H11"/>
    <mergeCell ref="I10:I11"/>
    <mergeCell ref="N10:N11"/>
    <mergeCell ref="O10:O11"/>
    <mergeCell ref="P10:P11"/>
    <mergeCell ref="L62:L63"/>
    <mergeCell ref="M62:M63"/>
    <mergeCell ref="Q27:Q28"/>
    <mergeCell ref="N62:N63"/>
    <mergeCell ref="O62:O63"/>
    <mergeCell ref="A43:AK43"/>
    <mergeCell ref="B10:B11"/>
    <mergeCell ref="C10:C11"/>
    <mergeCell ref="D10:D11"/>
    <mergeCell ref="E10:E11"/>
    <mergeCell ref="AH10:AH11"/>
    <mergeCell ref="AH27:AH28"/>
    <mergeCell ref="AE27:AE28"/>
    <mergeCell ref="AA45:AA46"/>
    <mergeCell ref="AI27:AI28"/>
    <mergeCell ref="AF27:AF28"/>
    <mergeCell ref="AG27:AG28"/>
    <mergeCell ref="AD45:AD46"/>
    <mergeCell ref="D45:D46"/>
    <mergeCell ref="AI45:AI46"/>
    <mergeCell ref="D27:D28"/>
    <mergeCell ref="E27:E28"/>
    <mergeCell ref="G27:G28"/>
    <mergeCell ref="H27:H28"/>
    <mergeCell ref="I27:I28"/>
    <mergeCell ref="R27:R28"/>
    <mergeCell ref="S27:S28"/>
    <mergeCell ref="T27:T28"/>
    <mergeCell ref="J27:J28"/>
    <mergeCell ref="W10:W11"/>
    <mergeCell ref="E62:E63"/>
    <mergeCell ref="F62:F63"/>
    <mergeCell ref="A78:AK78"/>
    <mergeCell ref="U62:U63"/>
    <mergeCell ref="V62:V63"/>
    <mergeCell ref="AC62:AC63"/>
    <mergeCell ref="AD62:AD63"/>
    <mergeCell ref="AI62:AI63"/>
    <mergeCell ref="AJ62:AJ63"/>
    <mergeCell ref="AE62:AE63"/>
    <mergeCell ref="AF62:AF63"/>
    <mergeCell ref="AA62:AA63"/>
    <mergeCell ref="AB62:AB63"/>
    <mergeCell ref="A62:A63"/>
    <mergeCell ref="P62:P63"/>
    <mergeCell ref="Q62:Q63"/>
    <mergeCell ref="R62:R63"/>
    <mergeCell ref="H62:H63"/>
    <mergeCell ref="I62:I63"/>
    <mergeCell ref="S62:S63"/>
    <mergeCell ref="W62:W63"/>
    <mergeCell ref="X62:X63"/>
    <mergeCell ref="Y62:Y63"/>
    <mergeCell ref="Z62:Z63"/>
  </mergeCells>
  <printOptions horizontalCentered="1"/>
  <pageMargins left="0.97370078740157484" right="0.39370078740157483" top="1.1417322834645669" bottom="0.39370078740157483" header="0" footer="0"/>
  <pageSetup paperSize="9" scale="65" fitToHeight="2" orientation="landscape" r:id="rId1"/>
  <headerFooter alignWithMargins="0"/>
  <rowBreaks count="1" manualBreakCount="1">
    <brk id="42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2"/>
  <dimension ref="A1:AO84"/>
  <sheetViews>
    <sheetView view="pageBreakPreview" topLeftCell="N16" zoomScale="115" zoomScaleNormal="100" zoomScaleSheetLayoutView="115" workbookViewId="0">
      <selection activeCell="AI56" sqref="AI56"/>
    </sheetView>
  </sheetViews>
  <sheetFormatPr baseColWidth="10" defaultColWidth="11.42578125" defaultRowHeight="12.75"/>
  <cols>
    <col min="1" max="1" width="19.42578125" customWidth="1"/>
    <col min="2" max="6" width="8.7109375" hidden="1" customWidth="1"/>
    <col min="7" max="7" width="5.7109375" hidden="1" customWidth="1"/>
    <col min="8" max="26" width="8.28515625" customWidth="1"/>
    <col min="27" max="27" width="8.7109375" customWidth="1"/>
    <col min="28" max="28" width="8.5703125" customWidth="1"/>
  </cols>
  <sheetData>
    <row r="1" spans="1:41" ht="17.25" customHeight="1">
      <c r="A1" s="1741"/>
      <c r="B1" s="1742"/>
      <c r="C1" s="1742"/>
      <c r="D1" s="1742"/>
      <c r="E1" s="1742"/>
      <c r="F1" s="1742"/>
      <c r="G1" s="1742"/>
      <c r="H1" s="1742"/>
      <c r="I1" s="1742"/>
      <c r="J1" s="1742"/>
      <c r="K1" s="1742"/>
      <c r="L1" s="1742"/>
      <c r="M1" s="1742"/>
      <c r="N1" s="1742"/>
      <c r="O1" s="1742"/>
      <c r="P1" s="1742"/>
      <c r="Q1" s="1742"/>
      <c r="R1" s="1742"/>
      <c r="S1" s="1742"/>
      <c r="T1" s="1742"/>
      <c r="U1" s="1742"/>
      <c r="V1" s="1742"/>
      <c r="W1" s="1742"/>
      <c r="X1" s="1742"/>
      <c r="Y1" s="1606"/>
      <c r="Z1" s="1606"/>
      <c r="AA1" s="548"/>
      <c r="AB1" s="548"/>
      <c r="AC1" s="548"/>
      <c r="AD1" s="548"/>
      <c r="AE1" s="548"/>
      <c r="AF1" s="548"/>
      <c r="AG1" s="548"/>
      <c r="AH1" s="548"/>
      <c r="AI1" s="548"/>
      <c r="AJ1" s="548"/>
      <c r="AK1" s="548"/>
      <c r="AL1" s="548"/>
      <c r="AM1" s="548"/>
    </row>
    <row r="2" spans="1:41" ht="21.75" customHeight="1">
      <c r="A2" s="1743" t="s">
        <v>588</v>
      </c>
      <c r="B2" s="1744"/>
      <c r="C2" s="1744"/>
      <c r="D2" s="1744"/>
      <c r="E2" s="1744"/>
      <c r="F2" s="1744"/>
      <c r="G2" s="1744"/>
      <c r="H2" s="1744"/>
      <c r="I2" s="1744"/>
      <c r="J2" s="1744"/>
      <c r="K2" s="1744"/>
      <c r="L2" s="1744"/>
      <c r="M2" s="1744"/>
      <c r="N2" s="1744"/>
      <c r="O2" s="1744"/>
      <c r="P2" s="1744"/>
      <c r="Q2" s="1744"/>
      <c r="R2" s="1744"/>
      <c r="S2" s="1744"/>
      <c r="T2" s="1744"/>
      <c r="U2" s="1744"/>
      <c r="V2" s="1744"/>
      <c r="W2" s="1744"/>
      <c r="X2" s="1744"/>
      <c r="Y2" s="1610"/>
      <c r="Z2" s="1610"/>
      <c r="AA2" s="548"/>
      <c r="AB2" s="548"/>
      <c r="AC2" s="548"/>
      <c r="AD2" s="548"/>
      <c r="AE2" s="548"/>
      <c r="AF2" s="548"/>
      <c r="AG2" s="548"/>
      <c r="AH2" s="548"/>
      <c r="AI2" s="548"/>
      <c r="AJ2" s="548"/>
      <c r="AK2" s="548"/>
      <c r="AL2" s="548"/>
      <c r="AM2" s="548"/>
    </row>
    <row r="3" spans="1:41" ht="21" customHeight="1">
      <c r="A3" s="1745" t="s">
        <v>589</v>
      </c>
      <c r="B3" s="1746"/>
      <c r="C3" s="1746"/>
      <c r="D3" s="1746"/>
      <c r="E3" s="1746"/>
      <c r="F3" s="1746"/>
      <c r="G3" s="1746"/>
      <c r="H3" s="1746"/>
      <c r="I3" s="1746"/>
      <c r="J3" s="1746"/>
      <c r="K3" s="1746"/>
      <c r="L3" s="1746"/>
      <c r="M3" s="1746"/>
      <c r="N3" s="1746"/>
      <c r="O3" s="1746"/>
      <c r="P3" s="1746"/>
      <c r="Q3" s="1746"/>
      <c r="R3" s="1746"/>
      <c r="S3" s="1746"/>
      <c r="T3" s="1746"/>
      <c r="U3" s="1746"/>
      <c r="V3" s="1746"/>
      <c r="W3" s="1746"/>
      <c r="X3" s="1746"/>
      <c r="Y3" s="1747"/>
      <c r="Z3" s="1747"/>
      <c r="AA3" s="548"/>
      <c r="AB3" s="548"/>
      <c r="AC3" s="548"/>
      <c r="AD3" s="548"/>
      <c r="AE3" s="548"/>
      <c r="AF3" s="548"/>
      <c r="AG3" s="548"/>
      <c r="AH3" s="548"/>
      <c r="AI3" s="548"/>
      <c r="AJ3" s="548"/>
      <c r="AK3" s="548"/>
      <c r="AL3" s="548"/>
      <c r="AM3" s="548"/>
    </row>
    <row r="4" spans="1:41" ht="15.75" customHeight="1">
      <c r="A4" s="1722" t="s">
        <v>590</v>
      </c>
      <c r="B4" s="1748"/>
      <c r="C4" s="1748"/>
      <c r="D4" s="1748"/>
      <c r="E4" s="1748"/>
      <c r="F4" s="1748"/>
      <c r="G4" s="1748"/>
      <c r="H4" s="1748"/>
      <c r="I4" s="1748"/>
      <c r="J4" s="1748"/>
      <c r="K4" s="1748"/>
      <c r="L4" s="1748"/>
      <c r="M4" s="1748"/>
      <c r="N4" s="1748"/>
      <c r="O4" s="1748"/>
      <c r="P4" s="1748"/>
      <c r="Q4" s="1748"/>
      <c r="R4" s="1748"/>
      <c r="S4" s="1748"/>
      <c r="T4" s="1748"/>
      <c r="U4" s="1748"/>
      <c r="V4" s="1748"/>
      <c r="W4" s="1748"/>
      <c r="X4" s="1748"/>
      <c r="Y4" s="1723"/>
      <c r="Z4" s="1723"/>
      <c r="AA4" s="548"/>
      <c r="AB4" s="548"/>
      <c r="AC4" s="548"/>
      <c r="AD4" s="548"/>
      <c r="AE4" s="548"/>
      <c r="AF4" s="548"/>
      <c r="AG4" s="548"/>
      <c r="AH4" s="548"/>
      <c r="AI4" s="548"/>
      <c r="AJ4" s="548"/>
      <c r="AK4" s="548"/>
      <c r="AL4" s="548"/>
      <c r="AM4" s="548"/>
    </row>
    <row r="5" spans="1:41" s="75" customFormat="1" ht="14.25" customHeight="1">
      <c r="A5" s="1749" t="s">
        <v>591</v>
      </c>
      <c r="B5" s="1750"/>
      <c r="C5" s="1750"/>
      <c r="D5" s="1750"/>
      <c r="E5" s="1750"/>
      <c r="F5" s="1750"/>
      <c r="G5" s="1750"/>
      <c r="H5" s="1750"/>
      <c r="I5" s="1750"/>
      <c r="J5" s="1750"/>
      <c r="K5" s="1750"/>
      <c r="L5" s="1750"/>
      <c r="M5" s="1750"/>
      <c r="N5" s="1750"/>
      <c r="O5" s="1750"/>
      <c r="P5" s="1750"/>
      <c r="Q5" s="1750"/>
      <c r="R5" s="1750"/>
      <c r="S5" s="1750"/>
      <c r="T5" s="1750"/>
      <c r="U5" s="1750"/>
      <c r="V5" s="1750"/>
      <c r="W5" s="1750"/>
      <c r="X5" s="1750"/>
      <c r="Y5" s="1751"/>
      <c r="Z5" s="1751"/>
      <c r="AA5" s="1749"/>
      <c r="AB5" s="1750"/>
      <c r="AC5" s="1750"/>
      <c r="AD5" s="1750"/>
      <c r="AE5" s="1750"/>
      <c r="AF5" s="1750"/>
      <c r="AG5" s="1750"/>
      <c r="AH5" s="1750"/>
      <c r="AI5" s="1750"/>
      <c r="AJ5" s="1750"/>
      <c r="AK5" s="1750"/>
      <c r="AL5" s="1750"/>
      <c r="AM5" s="1750"/>
    </row>
    <row r="6" spans="1:41" s="75" customFormat="1" ht="15.75" customHeight="1">
      <c r="A6" s="1749" t="s">
        <v>592</v>
      </c>
      <c r="B6" s="1750"/>
      <c r="C6" s="1750"/>
      <c r="D6" s="1750"/>
      <c r="E6" s="1750"/>
      <c r="F6" s="1750"/>
      <c r="G6" s="1750"/>
      <c r="H6" s="1750"/>
      <c r="I6" s="1750"/>
      <c r="J6" s="1750"/>
      <c r="K6" s="1750"/>
      <c r="L6" s="1750"/>
      <c r="M6" s="1750"/>
      <c r="N6" s="1750"/>
      <c r="O6" s="1750"/>
      <c r="P6" s="1750"/>
      <c r="Q6" s="1750"/>
      <c r="R6" s="1750"/>
      <c r="S6" s="1750"/>
      <c r="T6" s="1750"/>
      <c r="U6" s="1750"/>
      <c r="V6" s="1750"/>
      <c r="W6" s="1750"/>
      <c r="X6" s="1750"/>
      <c r="Y6" s="1751"/>
      <c r="Z6" s="1751"/>
      <c r="AA6" s="548"/>
      <c r="AB6" s="548"/>
      <c r="AC6" s="548"/>
      <c r="AD6" s="548"/>
      <c r="AE6" s="548"/>
      <c r="AF6" s="548"/>
      <c r="AG6" s="548"/>
      <c r="AH6" s="548"/>
      <c r="AI6" s="548"/>
      <c r="AJ6" s="548"/>
      <c r="AK6" s="548"/>
      <c r="AL6" s="548"/>
      <c r="AM6" s="548"/>
    </row>
    <row r="7" spans="1:41" ht="11.25" customHeight="1">
      <c r="A7" s="1753" t="s">
        <v>606</v>
      </c>
      <c r="B7" s="1754"/>
      <c r="C7" s="1754"/>
      <c r="D7" s="1754"/>
      <c r="E7" s="1754"/>
      <c r="F7" s="1754"/>
      <c r="G7" s="1754"/>
      <c r="H7" s="1754"/>
      <c r="I7" s="1754"/>
      <c r="J7" s="1754"/>
      <c r="K7" s="1754"/>
      <c r="L7" s="1754"/>
      <c r="M7" s="1754"/>
      <c r="N7" s="1754"/>
      <c r="O7" s="1754"/>
      <c r="P7" s="1754"/>
      <c r="Q7" s="1754"/>
      <c r="R7" s="1754"/>
      <c r="S7" s="1754"/>
      <c r="T7" s="1754"/>
      <c r="U7" s="1754"/>
      <c r="V7" s="1754"/>
      <c r="W7" s="1754"/>
      <c r="X7" s="1754"/>
      <c r="Y7" s="1606"/>
      <c r="Z7" s="1606"/>
      <c r="AA7" s="548"/>
      <c r="AB7" s="548"/>
      <c r="AC7" s="548"/>
      <c r="AD7" s="548"/>
      <c r="AE7" s="548"/>
      <c r="AF7" s="548"/>
      <c r="AG7" s="548"/>
      <c r="AH7" s="548"/>
      <c r="AI7" s="548"/>
      <c r="AJ7" s="548"/>
      <c r="AK7" s="548"/>
      <c r="AL7" s="548"/>
      <c r="AM7" s="548"/>
    </row>
    <row r="8" spans="1:41" ht="19.5" customHeight="1" thickBot="1">
      <c r="A8" s="1087" t="s">
        <v>516</v>
      </c>
      <c r="B8" s="1087"/>
      <c r="C8" s="1087"/>
      <c r="D8" s="1087"/>
      <c r="E8" s="1087"/>
      <c r="F8" s="1087"/>
      <c r="G8" s="1087"/>
      <c r="H8" s="1087"/>
      <c r="I8" s="1088"/>
      <c r="J8" s="1088"/>
      <c r="K8" s="1088"/>
      <c r="L8" s="1088"/>
      <c r="M8" s="1088"/>
      <c r="N8" s="1088"/>
      <c r="O8" s="1088"/>
      <c r="P8" s="1088"/>
      <c r="Q8" s="1088"/>
      <c r="R8" s="1088"/>
      <c r="S8" s="1088"/>
      <c r="T8" s="1088"/>
      <c r="U8" s="1088"/>
      <c r="V8" s="1088"/>
      <c r="W8" s="1088"/>
      <c r="X8" s="1088"/>
      <c r="Y8" s="1088"/>
      <c r="Z8" s="1088"/>
      <c r="AA8" s="1088"/>
      <c r="AB8" s="548"/>
      <c r="AC8" s="1088"/>
      <c r="AD8" s="1088"/>
      <c r="AE8" s="1088"/>
      <c r="AF8" s="1088"/>
      <c r="AG8" s="1088"/>
      <c r="AH8" s="1088"/>
      <c r="AI8" s="1088"/>
      <c r="AJ8" s="1088"/>
      <c r="AK8" s="1088"/>
      <c r="AL8" s="1088"/>
      <c r="AM8" s="1088"/>
      <c r="AN8" s="1089"/>
      <c r="AO8" s="1089"/>
    </row>
    <row r="9" spans="1:41">
      <c r="A9" s="1736" t="s">
        <v>517</v>
      </c>
      <c r="B9" s="549"/>
      <c r="C9" s="549"/>
      <c r="D9" s="549"/>
      <c r="E9" s="549"/>
      <c r="F9" s="549"/>
      <c r="G9" s="549"/>
      <c r="H9" s="1727">
        <v>2001</v>
      </c>
      <c r="I9" s="1727">
        <v>2002</v>
      </c>
      <c r="J9" s="1727">
        <v>2003</v>
      </c>
      <c r="K9" s="1727">
        <v>2004</v>
      </c>
      <c r="L9" s="1727">
        <v>2005</v>
      </c>
      <c r="M9" s="1727">
        <v>2006</v>
      </c>
      <c r="N9" s="1727">
        <v>2007</v>
      </c>
      <c r="O9" s="1727">
        <v>2008</v>
      </c>
      <c r="P9" s="1727">
        <v>2009</v>
      </c>
      <c r="Q9" s="1727">
        <v>2010</v>
      </c>
      <c r="R9" s="1727">
        <v>2011</v>
      </c>
      <c r="S9" s="1727">
        <v>2012</v>
      </c>
      <c r="T9" s="1727">
        <v>2013</v>
      </c>
      <c r="U9" s="1727">
        <v>2014</v>
      </c>
      <c r="V9" s="1727">
        <v>2015</v>
      </c>
      <c r="W9" s="1727">
        <v>2016</v>
      </c>
      <c r="X9" s="1727">
        <v>2017</v>
      </c>
      <c r="Y9" s="1727">
        <v>2018</v>
      </c>
      <c r="Z9" s="1727">
        <v>2019</v>
      </c>
      <c r="AA9" s="1727">
        <v>2020</v>
      </c>
      <c r="AB9" s="1756">
        <v>2021</v>
      </c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</row>
    <row r="10" spans="1:41" ht="13.5" thickBot="1">
      <c r="A10" s="1737"/>
      <c r="B10" s="887"/>
      <c r="C10" s="887"/>
      <c r="D10" s="887"/>
      <c r="E10" s="887"/>
      <c r="F10" s="887"/>
      <c r="G10" s="887"/>
      <c r="H10" s="1728"/>
      <c r="I10" s="1728"/>
      <c r="J10" s="1728"/>
      <c r="K10" s="1728"/>
      <c r="L10" s="1728"/>
      <c r="M10" s="1728"/>
      <c r="N10" s="1728"/>
      <c r="O10" s="1728"/>
      <c r="P10" s="1728"/>
      <c r="Q10" s="1728"/>
      <c r="R10" s="1728"/>
      <c r="S10" s="1728"/>
      <c r="T10" s="1728"/>
      <c r="U10" s="1728"/>
      <c r="V10" s="1728"/>
      <c r="W10" s="1728"/>
      <c r="X10" s="1728"/>
      <c r="Y10" s="1728"/>
      <c r="Z10" s="1728"/>
      <c r="AA10" s="1728"/>
      <c r="AB10" s="1757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</row>
    <row r="11" spans="1:41">
      <c r="A11" s="889" t="s">
        <v>41</v>
      </c>
      <c r="B11" s="548"/>
      <c r="C11" s="548"/>
      <c r="D11" s="548"/>
      <c r="E11" s="548"/>
      <c r="F11" s="548"/>
      <c r="G11" s="548"/>
      <c r="H11" s="962">
        <v>14.412000000000001</v>
      </c>
      <c r="I11" s="954">
        <v>13.106</v>
      </c>
      <c r="J11" s="962">
        <v>15.8</v>
      </c>
      <c r="K11" s="954">
        <v>16.5425</v>
      </c>
      <c r="L11" s="962">
        <v>19.356000000000002</v>
      </c>
      <c r="M11" s="954">
        <v>22.842000000000002</v>
      </c>
      <c r="N11" s="962">
        <v>23.12</v>
      </c>
      <c r="O11" s="954">
        <v>28.934999999999999</v>
      </c>
      <c r="P11" s="962">
        <v>22</v>
      </c>
      <c r="Q11" s="954">
        <v>28.77</v>
      </c>
      <c r="R11" s="962">
        <v>31.352499999999999</v>
      </c>
      <c r="S11" s="954">
        <v>33.302</v>
      </c>
      <c r="T11" s="962">
        <f>+'Gasolinas 2013'!F14</f>
        <v>33.571428571428569</v>
      </c>
      <c r="U11" s="954">
        <f>+'Gasolinas 2014'!F13</f>
        <v>34.410000000000004</v>
      </c>
      <c r="V11" s="962">
        <f>+'Gasolinas 2015'!F15</f>
        <v>21.272499999999997</v>
      </c>
      <c r="W11" s="962">
        <f>+'Gasolinas 2016'!F13</f>
        <v>20.045000000000002</v>
      </c>
      <c r="X11" s="962">
        <f>+'Gasolinas 2017'!F14</f>
        <v>24.356000000000002</v>
      </c>
      <c r="Y11" s="962">
        <f>+'Gasolinas 2018'!F14</f>
        <v>25.428000000000001</v>
      </c>
      <c r="Z11" s="962">
        <f>+'Gasolinas 2019'!F14</f>
        <v>22.661999999999999</v>
      </c>
      <c r="AA11" s="962">
        <f>+'Gasolinas 2020'!F13</f>
        <v>25.234999999999999</v>
      </c>
      <c r="AB11" s="962">
        <f>+'Gasolineras 2021'!F13</f>
        <v>23.259999999999998</v>
      </c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</row>
    <row r="12" spans="1:41">
      <c r="A12" s="546" t="s">
        <v>42</v>
      </c>
      <c r="B12" s="548"/>
      <c r="C12" s="548"/>
      <c r="D12" s="548"/>
      <c r="E12" s="548"/>
      <c r="F12" s="548"/>
      <c r="G12" s="548"/>
      <c r="H12" s="963">
        <v>14.8475</v>
      </c>
      <c r="I12" s="954">
        <v>12.762499999999999</v>
      </c>
      <c r="J12" s="963">
        <v>16.739999999999998</v>
      </c>
      <c r="K12" s="954">
        <v>17.752500000000001</v>
      </c>
      <c r="L12" s="963">
        <v>18.84</v>
      </c>
      <c r="M12" s="954">
        <v>22.54</v>
      </c>
      <c r="N12" s="963">
        <v>22.122499999999999</v>
      </c>
      <c r="O12" s="954">
        <v>28.835000000000001</v>
      </c>
      <c r="P12" s="963">
        <v>21.857500000000002</v>
      </c>
      <c r="Q12" s="954">
        <v>28.282499999999999</v>
      </c>
      <c r="R12" s="963">
        <v>32.07</v>
      </c>
      <c r="S12" s="954">
        <v>35.342500000000001</v>
      </c>
      <c r="T12" s="963">
        <f>+'Gasolinas 2013'!F19</f>
        <v>35.4375</v>
      </c>
      <c r="U12" s="954">
        <f>+'Gasolinas 2014'!F18</f>
        <v>33.61</v>
      </c>
      <c r="V12" s="963">
        <f>+'Gasolinas 2015'!F20</f>
        <v>39.380000000000003</v>
      </c>
      <c r="W12" s="963">
        <f>+'Gasolinas 2016'!F19</f>
        <v>19.047999999999998</v>
      </c>
      <c r="X12" s="963">
        <f>+'Gasolinas 2017'!F19</f>
        <v>23.54</v>
      </c>
      <c r="Y12" s="963">
        <f>+'Gasolinas 2018'!F19</f>
        <v>25.337499999999999</v>
      </c>
      <c r="Z12" s="963">
        <f>+'Gasolinas 2019'!F19</f>
        <v>23.495000000000001</v>
      </c>
      <c r="AA12" s="963">
        <f>+'Gasolinas 2020'!F18</f>
        <v>24.180000000000003</v>
      </c>
      <c r="AB12" s="963">
        <f>+'[6]Gasolineras 2022'!F19</f>
        <v>33.272500000000001</v>
      </c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</row>
    <row r="13" spans="1:41">
      <c r="A13" s="546" t="s">
        <v>43</v>
      </c>
      <c r="B13" s="548"/>
      <c r="C13" s="548"/>
      <c r="D13" s="548"/>
      <c r="E13" s="548"/>
      <c r="F13" s="548"/>
      <c r="G13" s="548"/>
      <c r="H13" s="963">
        <v>14.5425</v>
      </c>
      <c r="I13" s="954">
        <v>13.234999999999999</v>
      </c>
      <c r="J13" s="963">
        <v>17.934000000000005</v>
      </c>
      <c r="K13" s="954">
        <v>18.392000000000003</v>
      </c>
      <c r="L13" s="963">
        <v>20.012499999999999</v>
      </c>
      <c r="M13" s="954">
        <v>22.39</v>
      </c>
      <c r="N13" s="963">
        <v>23.5075</v>
      </c>
      <c r="O13" s="954">
        <v>30.28</v>
      </c>
      <c r="P13" s="963">
        <v>21.483999999999998</v>
      </c>
      <c r="Q13" s="954">
        <v>30.05</v>
      </c>
      <c r="R13" s="963">
        <v>34.732500000000002</v>
      </c>
      <c r="S13" s="954">
        <v>37.119999999999997</v>
      </c>
      <c r="T13" s="963">
        <f>+'Gasolinas 2013'!F24</f>
        <v>36.08</v>
      </c>
      <c r="U13" s="954">
        <f>+'Gasolinas 2014'!F24</f>
        <v>34.950000000000003</v>
      </c>
      <c r="V13" s="963">
        <f>+'Gasolinas 2015'!F26</f>
        <v>25.205599999999997</v>
      </c>
      <c r="W13" s="963">
        <f>+'Gasolinas 2016'!F24</f>
        <v>25.720000000000002</v>
      </c>
      <c r="X13" s="963">
        <f>+'Gasolinas 2017'!F24</f>
        <v>27.032500000000002</v>
      </c>
      <c r="Y13" s="963">
        <f>+'Gasolinas 2018'!F24</f>
        <v>28.905000000000005</v>
      </c>
      <c r="Z13" s="963">
        <f>+'Gasolinas 2019'!F24</f>
        <v>29.177500000000002</v>
      </c>
      <c r="AA13" s="963">
        <f>+'Gasolinas 2020'!F24</f>
        <v>23.114000000000004</v>
      </c>
      <c r="AB13" s="963"/>
      <c r="AC13" s="1120"/>
      <c r="AD13" s="1120"/>
      <c r="AE13" s="1120"/>
      <c r="AF13" s="1120"/>
      <c r="AG13" s="1120"/>
      <c r="AH13" s="75"/>
      <c r="AI13" s="75"/>
      <c r="AJ13" s="75"/>
      <c r="AK13" s="75"/>
      <c r="AL13" s="75"/>
      <c r="AM13" s="75"/>
    </row>
    <row r="14" spans="1:41">
      <c r="A14" s="546" t="s">
        <v>44</v>
      </c>
      <c r="B14" s="548"/>
      <c r="C14" s="548"/>
      <c r="D14" s="548"/>
      <c r="E14" s="548"/>
      <c r="F14" s="548"/>
      <c r="G14" s="548"/>
      <c r="H14" s="963">
        <v>14.51</v>
      </c>
      <c r="I14" s="954">
        <v>14.756</v>
      </c>
      <c r="J14" s="963">
        <v>16.965</v>
      </c>
      <c r="K14" s="954">
        <v>18.824999999999999</v>
      </c>
      <c r="L14" s="963">
        <v>22.23</v>
      </c>
      <c r="M14" s="954">
        <v>24.855</v>
      </c>
      <c r="N14" s="963">
        <v>25.877500000000001</v>
      </c>
      <c r="O14" s="954">
        <v>31.9175</v>
      </c>
      <c r="P14" s="963">
        <v>22.2075</v>
      </c>
      <c r="Q14" s="954">
        <v>31.047499999999999</v>
      </c>
      <c r="R14" s="963">
        <v>35.627499999999998</v>
      </c>
      <c r="S14" s="954">
        <v>37.449999999999996</v>
      </c>
      <c r="T14" s="963">
        <f>+'Gasolinas 2013'!F29</f>
        <v>33.924999999999997</v>
      </c>
      <c r="U14" s="954">
        <f>+'Gasolinas 2014'!F29</f>
        <v>35.010999999999996</v>
      </c>
      <c r="V14" s="963">
        <f>+'Gasolinas 2015'!F31</f>
        <v>34.770000000000003</v>
      </c>
      <c r="W14" s="963">
        <f>+'Gasolinas 2016'!F28</f>
        <v>21.943333333333332</v>
      </c>
      <c r="X14" s="963">
        <f>+'Gasolinas 2017'!F29</f>
        <v>23.815000000000001</v>
      </c>
      <c r="Y14" s="963">
        <f>+'Gasolinas 2018'!F29</f>
        <v>25.905000000000001</v>
      </c>
      <c r="Z14" s="963">
        <f>+'Gasolinas 2019'!F30</f>
        <v>35.47</v>
      </c>
      <c r="AA14" s="963">
        <f>+'Gasolinas 2020'!F29</f>
        <v>18.3</v>
      </c>
      <c r="AB14" s="963"/>
      <c r="AC14" s="1120"/>
      <c r="AD14" s="1120"/>
      <c r="AE14" s="1120"/>
      <c r="AF14" s="1120"/>
      <c r="AG14" s="1120"/>
      <c r="AH14" s="75"/>
      <c r="AI14" s="75"/>
      <c r="AJ14" s="75"/>
      <c r="AK14" s="75"/>
      <c r="AL14" s="75"/>
      <c r="AM14" s="75"/>
    </row>
    <row r="15" spans="1:41">
      <c r="A15" s="546" t="s">
        <v>45</v>
      </c>
      <c r="B15" s="548"/>
      <c r="C15" s="548"/>
      <c r="D15" s="548"/>
      <c r="E15" s="548"/>
      <c r="F15" s="548"/>
      <c r="G15" s="548"/>
      <c r="H15" s="963">
        <v>15.883333333333335</v>
      </c>
      <c r="I15" s="954">
        <v>14.74</v>
      </c>
      <c r="J15" s="963">
        <v>16.047499999999999</v>
      </c>
      <c r="K15" s="954">
        <v>19.09</v>
      </c>
      <c r="L15" s="963">
        <v>22.767999999999997</v>
      </c>
      <c r="M15" s="954">
        <v>27.213999999999999</v>
      </c>
      <c r="N15" s="963">
        <v>27.872000000000003</v>
      </c>
      <c r="O15" s="954">
        <v>33.369999999999997</v>
      </c>
      <c r="P15" s="963">
        <v>23.395</v>
      </c>
      <c r="Q15" s="954">
        <v>30.078000000000003</v>
      </c>
      <c r="R15" s="963">
        <v>35.456000000000003</v>
      </c>
      <c r="S15" s="954">
        <v>35.605000000000004</v>
      </c>
      <c r="T15" s="963">
        <f>+'Gasolinas 2013'!F34</f>
        <v>33.82</v>
      </c>
      <c r="U15" s="954">
        <f>+'Gasolinas 2014'!F34</f>
        <v>33.82</v>
      </c>
      <c r="V15" s="963">
        <f>+'Gasolinas 2015'!F36</f>
        <v>32.012499999999996</v>
      </c>
      <c r="W15" s="963">
        <f>+'Gasolinas 2016'!F34</f>
        <v>33.82</v>
      </c>
      <c r="X15" s="963">
        <f>+'Gasolinas 2017'!F35</f>
        <v>34.362000000000002</v>
      </c>
      <c r="Y15" s="963">
        <f>+'Gasolinas 2018'!F35</f>
        <v>34.362000000000002</v>
      </c>
      <c r="Z15" s="963">
        <f>+'Gasolinas 2019'!F35</f>
        <v>34.085000000000001</v>
      </c>
      <c r="AA15" s="963">
        <f>+'Gasolinas 2020'!F34</f>
        <v>18.215</v>
      </c>
      <c r="AB15" s="963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</row>
    <row r="16" spans="1:41">
      <c r="A16" s="546" t="s">
        <v>46</v>
      </c>
      <c r="B16" s="548"/>
      <c r="C16" s="548"/>
      <c r="D16" s="548"/>
      <c r="E16" s="548"/>
      <c r="F16" s="548"/>
      <c r="G16" s="548"/>
      <c r="H16" s="963">
        <v>15.82</v>
      </c>
      <c r="I16" s="954">
        <v>14.535</v>
      </c>
      <c r="J16" s="963">
        <v>15.182499999999999</v>
      </c>
      <c r="K16" s="954">
        <v>19.41</v>
      </c>
      <c r="L16" s="963">
        <v>22.572500000000002</v>
      </c>
      <c r="M16" s="954">
        <v>26.945</v>
      </c>
      <c r="N16" s="963">
        <v>28.9</v>
      </c>
      <c r="O16" s="954">
        <v>35.8125</v>
      </c>
      <c r="P16" s="963">
        <v>26.12</v>
      </c>
      <c r="Q16" s="954">
        <v>28.342500000000001</v>
      </c>
      <c r="R16" s="963">
        <v>34.707500000000003</v>
      </c>
      <c r="S16" s="954">
        <v>34.704000000000001</v>
      </c>
      <c r="T16" s="963">
        <f>+'Gasolinas 2013'!F39</f>
        <v>33.94</v>
      </c>
      <c r="U16" s="954">
        <f>'Gasolinas 2014'!$F$39</f>
        <v>35.017499999999998</v>
      </c>
      <c r="V16" s="963">
        <f>+'Gasolinas 2015'!F41</f>
        <v>26.892499999999998</v>
      </c>
      <c r="W16" s="963">
        <f>+'Gasolinas 2016'!B39</f>
        <v>24.310000000000002</v>
      </c>
      <c r="X16" s="963">
        <f>+'Gasolinas 2017'!F40</f>
        <v>22.897499999999997</v>
      </c>
      <c r="Y16" s="963">
        <f>+'Gasolinas 2018'!F40</f>
        <v>27.552500000000002</v>
      </c>
      <c r="Z16" s="963">
        <f>+'Gasolinas 2019'!F40</f>
        <v>26.070000000000004</v>
      </c>
      <c r="AA16" s="963">
        <f>+'Gasolinas 2020'!F40</f>
        <v>20.481999999999999</v>
      </c>
      <c r="AB16" s="963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</row>
    <row r="17" spans="1:39">
      <c r="A17" s="546" t="s">
        <v>47</v>
      </c>
      <c r="B17" s="548"/>
      <c r="C17" s="548"/>
      <c r="D17" s="548"/>
      <c r="E17" s="548"/>
      <c r="F17" s="548"/>
      <c r="G17" s="548"/>
      <c r="H17" s="963">
        <v>15.331999999999999</v>
      </c>
      <c r="I17" s="954">
        <v>15.125999999999999</v>
      </c>
      <c r="J17" s="963">
        <v>15.144</v>
      </c>
      <c r="K17" s="954">
        <v>19.407499999999999</v>
      </c>
      <c r="L17" s="963">
        <v>22.63</v>
      </c>
      <c r="M17" s="954">
        <v>26.794</v>
      </c>
      <c r="N17" s="963">
        <v>28.64</v>
      </c>
      <c r="O17" s="954">
        <v>36.72</v>
      </c>
      <c r="P17" s="963">
        <v>26.887999999999998</v>
      </c>
      <c r="Q17" s="954">
        <v>28.077500000000001</v>
      </c>
      <c r="R17" s="963">
        <v>35.207500000000003</v>
      </c>
      <c r="S17" s="954">
        <v>35.573999999999998</v>
      </c>
      <c r="T17" s="963">
        <f>+'Gasolinas 2013'!F83</f>
        <v>35.43</v>
      </c>
      <c r="U17" s="954">
        <f>+'Gasolinas 2014'!F45</f>
        <v>35.252000000000002</v>
      </c>
      <c r="V17" s="963">
        <f>+'Gasolinas 2015'!F47</f>
        <v>26.766000000000002</v>
      </c>
      <c r="W17" s="963">
        <f>+'Gasolinas 2016'!F44</f>
        <v>22.185000000000002</v>
      </c>
      <c r="X17" s="963">
        <f>+'Gasolinas 2017'!F46</f>
        <v>22.756</v>
      </c>
      <c r="Y17" s="963">
        <f>+'Gasolinas 2018'!F46</f>
        <v>27.488</v>
      </c>
      <c r="Z17" s="963">
        <f>+'Gasolinas 2019'!F46</f>
        <v>26.706</v>
      </c>
      <c r="AA17" s="963">
        <f>+'Gasolinas 2020'!F45</f>
        <v>22.060000000000002</v>
      </c>
      <c r="AB17" s="963"/>
      <c r="AC17" s="75"/>
      <c r="AD17" s="75"/>
      <c r="AE17" s="75"/>
      <c r="AF17" s="75"/>
      <c r="AG17" s="75"/>
      <c r="AH17" s="75"/>
      <c r="AI17" s="75"/>
      <c r="AJ17" s="75"/>
      <c r="AK17" s="75"/>
      <c r="AL17" s="75"/>
      <c r="AM17" s="75"/>
    </row>
    <row r="18" spans="1:39">
      <c r="A18" s="546" t="s">
        <v>48</v>
      </c>
      <c r="B18" s="548"/>
      <c r="C18" s="548"/>
      <c r="D18" s="548"/>
      <c r="E18" s="548"/>
      <c r="F18" s="548"/>
      <c r="G18" s="548"/>
      <c r="H18" s="963">
        <v>14.606</v>
      </c>
      <c r="I18" s="954">
        <v>15.9</v>
      </c>
      <c r="J18" s="963">
        <v>15.68</v>
      </c>
      <c r="K18" s="954">
        <v>19.233999999999998</v>
      </c>
      <c r="L18" s="963">
        <v>23.161999999999999</v>
      </c>
      <c r="M18" s="954">
        <v>28.37</v>
      </c>
      <c r="N18" s="963">
        <v>27.907999999999998</v>
      </c>
      <c r="O18" s="954">
        <v>35.975000000000001</v>
      </c>
      <c r="P18" s="963">
        <v>27.052</v>
      </c>
      <c r="Q18" s="954">
        <v>28.542000000000002</v>
      </c>
      <c r="R18" s="963">
        <v>34.946000000000005</v>
      </c>
      <c r="S18" s="954">
        <v>35.465000000000003</v>
      </c>
      <c r="T18" s="963">
        <f>+'Gasolinas 2013'!F88</f>
        <v>36.03</v>
      </c>
      <c r="U18" s="954">
        <f>+'Gasolinas 2014'!B50</f>
        <v>34.512500000000003</v>
      </c>
      <c r="V18" s="963">
        <f>+'Gasolinas 2015'!F53</f>
        <v>24.82</v>
      </c>
      <c r="W18" s="963">
        <f>+'Gasolinas 2016'!F50</f>
        <v>22.022000000000002</v>
      </c>
      <c r="X18" s="963">
        <f>+'Gasolinas 2017'!F51</f>
        <v>23.31</v>
      </c>
      <c r="Y18" s="963">
        <f>+'Gasolinas 2018'!F51</f>
        <v>27.560000000000002</v>
      </c>
      <c r="Z18" s="963">
        <f>+'Gasolinas 2019'!F51</f>
        <v>25.635000000000002</v>
      </c>
      <c r="AA18" s="963">
        <f>+'Gasolinas 2020'!F51</f>
        <v>21.657999999999998</v>
      </c>
      <c r="AB18" s="963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</row>
    <row r="19" spans="1:39">
      <c r="A19" s="546" t="s">
        <v>49</v>
      </c>
      <c r="B19" s="548"/>
      <c r="C19" s="548"/>
      <c r="D19" s="548"/>
      <c r="E19" s="548"/>
      <c r="F19" s="548"/>
      <c r="G19" s="548"/>
      <c r="H19" s="963">
        <v>14.592499999999999</v>
      </c>
      <c r="I19" s="954">
        <v>15.82</v>
      </c>
      <c r="J19" s="963">
        <v>17.190000000000001</v>
      </c>
      <c r="K19" s="954">
        <v>19.004999999999999</v>
      </c>
      <c r="L19" s="963">
        <v>25.677499999999998</v>
      </c>
      <c r="M19" s="954">
        <v>27.487500000000001</v>
      </c>
      <c r="N19" s="963">
        <v>27.215</v>
      </c>
      <c r="O19" s="954">
        <v>35.132000000000005</v>
      </c>
      <c r="P19" s="963">
        <v>27.114999999999998</v>
      </c>
      <c r="Q19" s="954">
        <v>27.725000000000001</v>
      </c>
      <c r="R19" s="963">
        <v>34.7425</v>
      </c>
      <c r="S19" s="954">
        <v>37.577500000000001</v>
      </c>
      <c r="T19" s="963">
        <f>+'Gasolinas 2013'!F94</f>
        <v>35.673999999999999</v>
      </c>
      <c r="U19" s="954">
        <f>+'Gasolinas 2014'!F56</f>
        <v>32.76</v>
      </c>
      <c r="V19" s="963">
        <f>+'Gasolinas 2015'!F58</f>
        <v>22.84</v>
      </c>
      <c r="W19" s="963">
        <f>+'Gasolinas 2016'!F55</f>
        <v>22.6875</v>
      </c>
      <c r="X19" s="963">
        <f>+'Gasolinas 2017'!F56</f>
        <v>24.87</v>
      </c>
      <c r="Y19" s="963">
        <f>+'Gasolinas 2018'!F56</f>
        <v>27.8</v>
      </c>
      <c r="Z19" s="963">
        <f>+'Gasolinas 2019'!F57</f>
        <v>25.497999999999998</v>
      </c>
      <c r="AA19" s="963">
        <f>+'Gasolinas 2020'!F56</f>
        <v>21.537499999999998</v>
      </c>
      <c r="AB19" s="963"/>
      <c r="AC19" s="75"/>
      <c r="AD19" s="75"/>
      <c r="AE19" s="75"/>
      <c r="AF19" s="75"/>
      <c r="AG19" s="75"/>
      <c r="AH19" s="75"/>
      <c r="AI19" s="75"/>
      <c r="AJ19" s="75"/>
      <c r="AK19" s="75"/>
      <c r="AL19" s="75"/>
      <c r="AM19" s="75"/>
    </row>
    <row r="20" spans="1:39">
      <c r="A20" s="546" t="s">
        <v>50</v>
      </c>
      <c r="B20" s="548"/>
      <c r="C20" s="548"/>
      <c r="D20" s="548"/>
      <c r="E20" s="548"/>
      <c r="F20" s="548"/>
      <c r="G20" s="548"/>
      <c r="H20" s="963">
        <v>14.66</v>
      </c>
      <c r="I20" s="954">
        <v>16.234999999999999</v>
      </c>
      <c r="J20" s="963">
        <v>16.895</v>
      </c>
      <c r="K20" s="954">
        <v>19.692499999999999</v>
      </c>
      <c r="L20" s="963">
        <v>27.314</v>
      </c>
      <c r="M20" s="954">
        <v>24.94</v>
      </c>
      <c r="N20" s="963">
        <v>27.54</v>
      </c>
      <c r="O20" s="954">
        <v>31.612500000000001</v>
      </c>
      <c r="P20" s="963">
        <v>26.475000000000001</v>
      </c>
      <c r="Q20" s="954">
        <v>29.36</v>
      </c>
      <c r="R20" s="963">
        <v>34.125999999999998</v>
      </c>
      <c r="S20" s="954">
        <v>36.195999999999998</v>
      </c>
      <c r="T20" s="963">
        <f>+'Gasolinas 2013'!F99</f>
        <v>33.797499999999992</v>
      </c>
      <c r="U20" s="954">
        <f>+'Gasolinas 2014'!F61</f>
        <v>30.849999999999998</v>
      </c>
      <c r="V20" s="963">
        <f>+'Gasolinas 2015'!F63</f>
        <v>22.492500000000003</v>
      </c>
      <c r="W20" s="963">
        <f>+'Gasolinas 2016'!F61</f>
        <v>23.053999999999998</v>
      </c>
      <c r="X20" s="963">
        <f>+'Gasolinas 2017'!F62</f>
        <v>24.056000000000004</v>
      </c>
      <c r="Y20" s="963">
        <f>+'Gasolinas 2018'!F62</f>
        <v>28.090000000000003</v>
      </c>
      <c r="Z20" s="963">
        <f>+'Gasolinas 2019'!F62</f>
        <v>25.21</v>
      </c>
      <c r="AA20" s="963">
        <v>21.58</v>
      </c>
      <c r="AB20" s="963"/>
      <c r="AC20" s="75"/>
      <c r="AD20" s="75"/>
      <c r="AE20" s="75"/>
      <c r="AF20" s="75"/>
      <c r="AG20" s="75"/>
      <c r="AH20" s="75"/>
      <c r="AI20" s="75"/>
      <c r="AJ20" s="75"/>
      <c r="AK20" s="75"/>
      <c r="AL20" s="75"/>
      <c r="AM20" s="75"/>
    </row>
    <row r="21" spans="1:39">
      <c r="A21" s="546" t="s">
        <v>51</v>
      </c>
      <c r="B21" s="548"/>
      <c r="C21" s="548"/>
      <c r="D21" s="548"/>
      <c r="E21" s="548"/>
      <c r="F21" s="548"/>
      <c r="G21" s="548"/>
      <c r="H21" s="963">
        <v>14.18</v>
      </c>
      <c r="I21" s="954">
        <v>16.352499999999999</v>
      </c>
      <c r="J21" s="963">
        <v>16.5975</v>
      </c>
      <c r="K21" s="954">
        <v>20.567999999999998</v>
      </c>
      <c r="L21" s="963">
        <v>26.01</v>
      </c>
      <c r="M21" s="954">
        <v>23.37</v>
      </c>
      <c r="N21" s="963">
        <v>28.5625</v>
      </c>
      <c r="O21" s="954">
        <v>26.612500000000001</v>
      </c>
      <c r="P21" s="963">
        <v>28.342000000000002</v>
      </c>
      <c r="Q21" s="954">
        <v>29.277999999999999</v>
      </c>
      <c r="R21" s="963">
        <v>34.557499999999997</v>
      </c>
      <c r="S21" s="954">
        <f>+'Gasolinas 2012'!F104</f>
        <v>33.664999999999999</v>
      </c>
      <c r="T21" s="963">
        <f>+'Gasolinas 2013'!F104</f>
        <v>32.682499999999997</v>
      </c>
      <c r="U21" s="954">
        <f>+'Gasolinas 2014'!F66</f>
        <v>28.982500000000002</v>
      </c>
      <c r="V21" s="963">
        <f>+'Gasolinas 2015'!F69</f>
        <v>21.576000000000001</v>
      </c>
      <c r="W21" s="963">
        <f>+'Gasolinas 2016'!F66</f>
        <v>22.340000000000003</v>
      </c>
      <c r="X21" s="963">
        <f>+'Gasolinas 2017'!F67</f>
        <v>24.925000000000001</v>
      </c>
      <c r="Y21" s="963">
        <f>+'Gasolinas 2018'!F67</f>
        <v>25.355</v>
      </c>
      <c r="Z21" s="963">
        <f>+'Gasolinas 2019'!F67</f>
        <v>25.157499999999999</v>
      </c>
      <c r="AA21" s="963">
        <v>20.6</v>
      </c>
      <c r="AB21" s="963"/>
      <c r="AC21" s="75"/>
      <c r="AD21" s="75"/>
      <c r="AE21" s="75"/>
      <c r="AF21" s="75"/>
      <c r="AG21" s="75"/>
      <c r="AH21" s="75"/>
      <c r="AI21" s="75"/>
      <c r="AJ21" s="75"/>
      <c r="AK21" s="75"/>
      <c r="AL21" s="75"/>
      <c r="AM21" s="75"/>
    </row>
    <row r="22" spans="1:39" ht="13.5" thickBot="1">
      <c r="A22" s="546" t="s">
        <v>52</v>
      </c>
      <c r="B22" s="548"/>
      <c r="C22" s="548"/>
      <c r="D22" s="548"/>
      <c r="E22" s="548"/>
      <c r="F22" s="548"/>
      <c r="G22" s="548"/>
      <c r="H22" s="964">
        <v>13.47</v>
      </c>
      <c r="I22" s="954">
        <v>16.033999999999999</v>
      </c>
      <c r="J22" s="964">
        <v>16.136000000000003</v>
      </c>
      <c r="K22" s="954">
        <v>20.204999999999998</v>
      </c>
      <c r="L22" s="964">
        <v>23.327500000000001</v>
      </c>
      <c r="M22" s="954">
        <v>23.405000000000001</v>
      </c>
      <c r="N22" s="964">
        <v>29.172499999999999</v>
      </c>
      <c r="O22" s="954">
        <v>22.901999999999997</v>
      </c>
      <c r="P22" s="964">
        <v>27.83</v>
      </c>
      <c r="Q22" s="954">
        <v>30.247499999999999</v>
      </c>
      <c r="R22" s="964">
        <v>33.174999999999997</v>
      </c>
      <c r="S22" s="954">
        <f>+'Gasolinas 2012'!F109</f>
        <v>33.704999999999998</v>
      </c>
      <c r="T22" s="964">
        <f>+'Gasolinas 2013'!F110</f>
        <v>34.778000000000006</v>
      </c>
      <c r="U22" s="954">
        <f>+'Gasolinas 2014'!F72</f>
        <v>25.407999999999998</v>
      </c>
      <c r="V22" s="964">
        <f>+'Gasolinas 2015'!F74</f>
        <v>20.925000000000001</v>
      </c>
      <c r="W22" s="964">
        <f>+'Gasolinas 2016'!F71</f>
        <v>23.214749999999999</v>
      </c>
      <c r="X22" s="964">
        <f>+'Gasolinas 2017'!F72</f>
        <v>24.700000000000003</v>
      </c>
      <c r="Y22" s="964">
        <f>+'Gasolinas 2018'!F72</f>
        <v>23.419999999999998</v>
      </c>
      <c r="Z22" s="964">
        <f>+'Gasolinas 2019'!F73</f>
        <v>25.026</v>
      </c>
      <c r="AA22" s="964">
        <f>+'Gasolinas 2020'!F72</f>
        <v>22.102499999999999</v>
      </c>
      <c r="AB22" s="964"/>
      <c r="AC22" s="75"/>
      <c r="AD22" s="75"/>
      <c r="AE22" s="75"/>
      <c r="AF22" s="75"/>
      <c r="AG22" s="75"/>
      <c r="AH22" s="75"/>
      <c r="AI22" s="75"/>
      <c r="AJ22" s="75"/>
      <c r="AK22" s="75"/>
      <c r="AL22" s="75"/>
      <c r="AM22" s="75"/>
    </row>
    <row r="23" spans="1:39" ht="23.25" customHeight="1" thickBot="1">
      <c r="A23" s="958" t="s">
        <v>7</v>
      </c>
      <c r="B23" s="959"/>
      <c r="C23" s="959"/>
      <c r="D23" s="959"/>
      <c r="E23" s="959"/>
      <c r="F23" s="959"/>
      <c r="G23" s="959"/>
      <c r="H23" s="960">
        <f t="shared" ref="H23:X23" si="0">AVERAGE(H11:H22)</f>
        <v>14.737986111111111</v>
      </c>
      <c r="I23" s="960">
        <f t="shared" si="0"/>
        <v>14.8835</v>
      </c>
      <c r="J23" s="960">
        <f t="shared" si="0"/>
        <v>16.359291666666667</v>
      </c>
      <c r="K23" s="960">
        <f t="shared" si="0"/>
        <v>19.010333333333332</v>
      </c>
      <c r="L23" s="960">
        <f t="shared" si="0"/>
        <v>22.825000000000003</v>
      </c>
      <c r="M23" s="960">
        <f t="shared" si="0"/>
        <v>25.096041666666668</v>
      </c>
      <c r="N23" s="960">
        <f t="shared" si="0"/>
        <v>26.703125</v>
      </c>
      <c r="O23" s="960">
        <f t="shared" si="0"/>
        <v>31.50866666666667</v>
      </c>
      <c r="P23" s="960">
        <f t="shared" si="0"/>
        <v>25.063833333333331</v>
      </c>
      <c r="Q23" s="960">
        <f t="shared" si="0"/>
        <v>29.15004166666667</v>
      </c>
      <c r="R23" s="960">
        <f t="shared" si="0"/>
        <v>34.225041666666669</v>
      </c>
      <c r="S23" s="960">
        <f t="shared" si="0"/>
        <v>35.475500000000004</v>
      </c>
      <c r="T23" s="960">
        <f t="shared" si="0"/>
        <v>34.597160714285714</v>
      </c>
      <c r="U23" s="960">
        <f t="shared" si="0"/>
        <v>32.881958333333337</v>
      </c>
      <c r="V23" s="960">
        <f t="shared" si="0"/>
        <v>26.579383333333336</v>
      </c>
      <c r="W23" s="1095">
        <f t="shared" si="0"/>
        <v>23.365798611111114</v>
      </c>
      <c r="X23" s="960">
        <f t="shared" si="0"/>
        <v>25.051666666666666</v>
      </c>
      <c r="Y23" s="960">
        <f>AVERAGE(Y11:Y22)</f>
        <v>27.26691666666667</v>
      </c>
      <c r="Z23" s="960">
        <f>AVERAGE(Z11:Z22)</f>
        <v>27.015999999999995</v>
      </c>
      <c r="AA23" s="961">
        <f>AVERAGE(AA11:AA22)</f>
        <v>21.588666666666665</v>
      </c>
      <c r="AB23" s="961">
        <f>AVERAGE(AB11:AB22)</f>
        <v>28.266249999999999</v>
      </c>
      <c r="AC23" s="75"/>
      <c r="AD23" s="75"/>
      <c r="AE23" s="75"/>
      <c r="AF23" s="75"/>
      <c r="AG23" s="75"/>
      <c r="AH23" s="75"/>
      <c r="AI23" s="75"/>
      <c r="AJ23" s="75"/>
      <c r="AK23" s="75"/>
      <c r="AL23" s="75"/>
      <c r="AM23" s="75"/>
    </row>
    <row r="24" spans="1:39">
      <c r="A24" s="955" t="s">
        <v>518</v>
      </c>
      <c r="B24" s="130"/>
      <c r="C24" s="130"/>
      <c r="D24" s="130"/>
      <c r="E24" s="130"/>
      <c r="F24" s="130"/>
      <c r="G24" s="130"/>
      <c r="H24" s="130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548"/>
      <c r="X24" s="548"/>
      <c r="Y24" s="548"/>
      <c r="Z24" s="548"/>
      <c r="AA24" s="548"/>
      <c r="AB24" s="548"/>
      <c r="AC24" s="75"/>
      <c r="AD24" s="75"/>
      <c r="AE24" s="75"/>
      <c r="AF24" s="75"/>
      <c r="AG24" s="75"/>
      <c r="AH24" s="75"/>
      <c r="AI24" s="75"/>
      <c r="AJ24" s="75"/>
      <c r="AK24" s="75"/>
      <c r="AL24" s="75"/>
      <c r="AM24" s="75"/>
    </row>
    <row r="25" spans="1:39" ht="15.75" thickBot="1">
      <c r="A25" s="955"/>
      <c r="B25" s="1028"/>
      <c r="C25" s="1029"/>
      <c r="D25" s="1029"/>
      <c r="E25" s="1029"/>
      <c r="F25" s="1029"/>
      <c r="G25" s="1029"/>
      <c r="H25" s="1030"/>
      <c r="I25" s="1031"/>
      <c r="J25" s="1031"/>
      <c r="K25" s="1031"/>
      <c r="L25" s="1031"/>
      <c r="M25" s="1031"/>
      <c r="N25" s="1031"/>
      <c r="O25" s="1031"/>
      <c r="P25" s="1031"/>
      <c r="Q25" s="1031"/>
      <c r="R25" s="1031"/>
      <c r="S25" s="1031"/>
      <c r="T25" s="1031"/>
      <c r="U25" s="1031"/>
      <c r="V25" s="1031"/>
      <c r="W25" s="1060"/>
      <c r="X25" s="1060"/>
      <c r="Y25" s="548"/>
      <c r="Z25" s="548"/>
      <c r="AA25" s="548"/>
      <c r="AB25" s="548"/>
      <c r="AC25" s="75"/>
      <c r="AD25" s="75"/>
      <c r="AE25" s="75"/>
      <c r="AF25" s="75"/>
      <c r="AG25" s="75"/>
      <c r="AH25" s="75"/>
      <c r="AI25" s="75"/>
      <c r="AJ25" s="75"/>
      <c r="AK25" s="75"/>
      <c r="AL25" s="75"/>
      <c r="AM25" s="75"/>
    </row>
    <row r="26" spans="1:39">
      <c r="A26" s="1736" t="s">
        <v>517</v>
      </c>
      <c r="B26" s="549">
        <v>1995</v>
      </c>
      <c r="C26" s="549">
        <v>1996</v>
      </c>
      <c r="D26" s="549">
        <v>1997</v>
      </c>
      <c r="E26" s="549">
        <v>1998</v>
      </c>
      <c r="F26" s="549">
        <v>1999</v>
      </c>
      <c r="G26" s="549">
        <v>2000</v>
      </c>
      <c r="H26" s="1727">
        <v>2001</v>
      </c>
      <c r="I26" s="1727">
        <v>2002</v>
      </c>
      <c r="J26" s="1727">
        <v>2003</v>
      </c>
      <c r="K26" s="1727">
        <v>2004</v>
      </c>
      <c r="L26" s="1727">
        <v>2005</v>
      </c>
      <c r="M26" s="1727">
        <v>2006</v>
      </c>
      <c r="N26" s="1727">
        <v>2007</v>
      </c>
      <c r="O26" s="1727">
        <v>2008</v>
      </c>
      <c r="P26" s="1727">
        <v>2009</v>
      </c>
      <c r="Q26" s="1727">
        <v>2010</v>
      </c>
      <c r="R26" s="1727">
        <v>2011</v>
      </c>
      <c r="S26" s="1727">
        <f>+S9</f>
        <v>2012</v>
      </c>
      <c r="T26" s="1727">
        <v>2013</v>
      </c>
      <c r="U26" s="1727">
        <v>2014</v>
      </c>
      <c r="V26" s="1727">
        <v>2015</v>
      </c>
      <c r="W26" s="1727">
        <v>2016</v>
      </c>
      <c r="X26" s="1727">
        <v>2017</v>
      </c>
      <c r="Y26" s="1727">
        <v>2018</v>
      </c>
      <c r="Z26" s="1727">
        <v>2019</v>
      </c>
      <c r="AA26" s="1727">
        <v>2020</v>
      </c>
      <c r="AB26" s="1756">
        <v>2021</v>
      </c>
      <c r="AC26" s="75"/>
      <c r="AD26" s="75"/>
      <c r="AE26" s="75"/>
      <c r="AF26" s="75"/>
      <c r="AG26" s="75"/>
      <c r="AH26" s="75"/>
      <c r="AI26" s="75"/>
      <c r="AJ26" s="75"/>
      <c r="AK26" s="75"/>
      <c r="AL26" s="75"/>
      <c r="AM26" s="75"/>
    </row>
    <row r="27" spans="1:39" ht="13.5" thickBot="1">
      <c r="A27" s="1737"/>
      <c r="B27" s="887"/>
      <c r="C27" s="887"/>
      <c r="D27" s="887"/>
      <c r="E27" s="887"/>
      <c r="F27" s="887"/>
      <c r="G27" s="887"/>
      <c r="H27" s="1728"/>
      <c r="I27" s="1728"/>
      <c r="J27" s="1728"/>
      <c r="K27" s="1728"/>
      <c r="L27" s="1728"/>
      <c r="M27" s="1728"/>
      <c r="N27" s="1728"/>
      <c r="O27" s="1728"/>
      <c r="P27" s="1728"/>
      <c r="Q27" s="1728"/>
      <c r="R27" s="1728"/>
      <c r="S27" s="1728"/>
      <c r="T27" s="1728"/>
      <c r="U27" s="1728"/>
      <c r="V27" s="1728"/>
      <c r="W27" s="1728"/>
      <c r="X27" s="1728"/>
      <c r="Y27" s="1728"/>
      <c r="Z27" s="1728"/>
      <c r="AA27" s="1728"/>
      <c r="AB27" s="1757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</row>
    <row r="28" spans="1:39">
      <c r="A28" s="889" t="s">
        <v>41</v>
      </c>
      <c r="B28" s="548">
        <v>8.1</v>
      </c>
      <c r="C28" s="548">
        <v>9.2799999999999994</v>
      </c>
      <c r="D28" s="548">
        <v>10.87</v>
      </c>
      <c r="E28" s="548">
        <v>11.01</v>
      </c>
      <c r="F28" s="548">
        <v>10.42</v>
      </c>
      <c r="G28" s="548">
        <v>14.07</v>
      </c>
      <c r="H28" s="962">
        <v>14.13</v>
      </c>
      <c r="I28" s="954">
        <v>12.55</v>
      </c>
      <c r="J28" s="962">
        <v>15.34</v>
      </c>
      <c r="K28" s="954">
        <v>15.9025</v>
      </c>
      <c r="L28" s="962">
        <v>18.797999999999998</v>
      </c>
      <c r="M28" s="954">
        <v>22.326000000000001</v>
      </c>
      <c r="N28" s="962">
        <v>22.67</v>
      </c>
      <c r="O28" s="954">
        <v>28.524999999999999</v>
      </c>
      <c r="P28" s="962">
        <v>21.17</v>
      </c>
      <c r="Q28" s="954">
        <v>27.92</v>
      </c>
      <c r="R28" s="962">
        <v>30.462499999999999</v>
      </c>
      <c r="S28" s="954">
        <f>+'Gasolinas 2012'!G14</f>
        <v>32.714000000000006</v>
      </c>
      <c r="T28" s="962">
        <f>+'Gasolinas 2013'!G14</f>
        <v>33.082000000000008</v>
      </c>
      <c r="U28" s="954">
        <f>+'Gasolinas 2014'!G13</f>
        <v>34.0625</v>
      </c>
      <c r="V28" s="1104">
        <f>+'Gasolinas 2015'!G15</f>
        <v>20.9025</v>
      </c>
      <c r="W28" s="962">
        <f>+'Gasolinas 2016'!G13</f>
        <v>19.5425</v>
      </c>
      <c r="X28" s="1105">
        <f>+'Gasolinas 2017'!G14</f>
        <v>23.86</v>
      </c>
      <c r="Y28" s="962">
        <f>+'Gasolinas 2018'!G14</f>
        <v>24.928000000000004</v>
      </c>
      <c r="Z28" s="962">
        <f>+'Gasolinas 2019'!G14</f>
        <v>22.166000000000004</v>
      </c>
      <c r="AA28" s="962">
        <f>+'Gasolinas 2020'!G13</f>
        <v>24.75</v>
      </c>
      <c r="AB28" s="962">
        <f>+'Gasolineras 2021'!G13</f>
        <v>22.737499999999997</v>
      </c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</row>
    <row r="29" spans="1:39">
      <c r="A29" s="546" t="s">
        <v>42</v>
      </c>
      <c r="B29" s="548">
        <v>8.49</v>
      </c>
      <c r="C29" s="548">
        <v>9.4700000000000006</v>
      </c>
      <c r="D29" s="548">
        <v>10.95</v>
      </c>
      <c r="E29" s="548">
        <v>10.86</v>
      </c>
      <c r="F29" s="548">
        <v>10.39</v>
      </c>
      <c r="G29" s="548">
        <v>14.42</v>
      </c>
      <c r="H29" s="963">
        <v>14.324999999999999</v>
      </c>
      <c r="I29" s="954">
        <v>12.2875</v>
      </c>
      <c r="J29" s="963">
        <v>16.22</v>
      </c>
      <c r="K29" s="954">
        <v>17.227499999999999</v>
      </c>
      <c r="L29" s="963">
        <v>18.282499999999999</v>
      </c>
      <c r="M29" s="954">
        <v>22.0275</v>
      </c>
      <c r="N29" s="963">
        <v>21.657499999999999</v>
      </c>
      <c r="O29" s="954">
        <v>28.344999999999999</v>
      </c>
      <c r="P29" s="963">
        <v>20.895</v>
      </c>
      <c r="Q29" s="954">
        <v>27.454999999999998</v>
      </c>
      <c r="R29" s="963">
        <v>31.497499999999999</v>
      </c>
      <c r="S29" s="954">
        <f>+'Gasolinas 2012'!G19</f>
        <v>35.022499999999994</v>
      </c>
      <c r="T29" s="963">
        <f>+'Gasolinas 2013'!G19</f>
        <v>34.795000000000002</v>
      </c>
      <c r="U29" s="954">
        <f>+'Gasolinas 2014'!G18</f>
        <v>33.142499999999998</v>
      </c>
      <c r="V29" s="1099">
        <f>+'Gasolinas 2015'!G20</f>
        <v>37.979999999999997</v>
      </c>
      <c r="W29" s="963">
        <f>+'Gasolinas 2016'!G19</f>
        <v>18.564</v>
      </c>
      <c r="X29" s="957">
        <f>+'Gasolinas 2017'!G19</f>
        <v>23.040000000000003</v>
      </c>
      <c r="Y29" s="963">
        <f>+'Gasolinas 2018'!G19</f>
        <v>24.89</v>
      </c>
      <c r="Z29" s="963">
        <f>+'Gasolinas 2019'!G19</f>
        <v>23</v>
      </c>
      <c r="AA29" s="963">
        <f>+'Gasolinas 2020'!G18</f>
        <v>23.667499999999997</v>
      </c>
      <c r="AB29" s="963">
        <f>+'[6]Gasolineras 2022'!G19</f>
        <v>32.947499999999998</v>
      </c>
      <c r="AC29" s="75"/>
      <c r="AD29" s="75"/>
      <c r="AE29" s="75"/>
      <c r="AF29" s="75"/>
      <c r="AG29" s="75"/>
      <c r="AH29" s="75"/>
      <c r="AI29" s="75"/>
      <c r="AJ29" s="75"/>
      <c r="AK29" s="75"/>
      <c r="AL29" s="75"/>
      <c r="AM29" s="75"/>
    </row>
    <row r="30" spans="1:39">
      <c r="A30" s="546" t="s">
        <v>43</v>
      </c>
      <c r="B30" s="548">
        <v>8.64</v>
      </c>
      <c r="C30" s="548">
        <v>9.5399999999999991</v>
      </c>
      <c r="D30" s="548">
        <v>10.61</v>
      </c>
      <c r="E30" s="548">
        <v>10.77</v>
      </c>
      <c r="F30" s="548">
        <v>10.54</v>
      </c>
      <c r="G30" s="548">
        <v>14.82</v>
      </c>
      <c r="H30" s="963">
        <v>14.1275</v>
      </c>
      <c r="I30" s="954">
        <v>12.577500000000001</v>
      </c>
      <c r="J30" s="963">
        <v>17.405999999999999</v>
      </c>
      <c r="K30" s="954">
        <v>17.847999999999999</v>
      </c>
      <c r="L30" s="963">
        <v>19.462499999999999</v>
      </c>
      <c r="M30" s="954">
        <v>21.84</v>
      </c>
      <c r="N30" s="963">
        <v>22.8675</v>
      </c>
      <c r="O30" s="954">
        <v>29.732000000000006</v>
      </c>
      <c r="P30" s="963">
        <v>20.52</v>
      </c>
      <c r="Q30" s="954">
        <v>29.054000000000002</v>
      </c>
      <c r="R30" s="963">
        <v>34.18</v>
      </c>
      <c r="S30" s="954" t="e">
        <v>#REF!</v>
      </c>
      <c r="T30" s="963">
        <f>+'Gasolinas 2013'!G24</f>
        <v>35.25</v>
      </c>
      <c r="U30" s="954">
        <f>+'Gasolinas 2014'!G24</f>
        <v>34.422000000000004</v>
      </c>
      <c r="V30" s="1099">
        <f>+'Gasolinas 2015'!G26</f>
        <v>24.672000000000001</v>
      </c>
      <c r="W30" s="963">
        <f>+'Gasolinas 2016'!G24</f>
        <v>24.979999999999997</v>
      </c>
      <c r="X30" s="957">
        <f>+'Gasolinas 2017'!G24</f>
        <v>26.314999999999998</v>
      </c>
      <c r="Y30" s="963">
        <f>+'Gasolinas 2018'!G24</f>
        <v>28.202500000000001</v>
      </c>
      <c r="Z30" s="963">
        <f>+'Gasolinas 2019'!G24</f>
        <v>28.435000000000002</v>
      </c>
      <c r="AA30" s="963">
        <f>+'Gasolinas 2020'!G24</f>
        <v>22.624000000000002</v>
      </c>
      <c r="AB30" s="963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</row>
    <row r="31" spans="1:39">
      <c r="A31" s="546" t="s">
        <v>44</v>
      </c>
      <c r="B31" s="548">
        <v>8.83</v>
      </c>
      <c r="C31" s="548">
        <v>9.98</v>
      </c>
      <c r="D31" s="548">
        <v>10.61</v>
      </c>
      <c r="E31" s="548">
        <v>10.64</v>
      </c>
      <c r="F31" s="548">
        <v>11.41</v>
      </c>
      <c r="G31" s="548">
        <v>14.56</v>
      </c>
      <c r="H31" s="963">
        <v>14.0375</v>
      </c>
      <c r="I31" s="954">
        <v>14.11</v>
      </c>
      <c r="J31" s="963">
        <v>16.487500000000001</v>
      </c>
      <c r="K31" s="954">
        <v>18.29</v>
      </c>
      <c r="L31" s="963">
        <v>21.702500000000001</v>
      </c>
      <c r="M31" s="954">
        <v>24.147500000000001</v>
      </c>
      <c r="N31" s="963">
        <v>25.28</v>
      </c>
      <c r="O31" s="954">
        <v>31.41</v>
      </c>
      <c r="P31" s="963">
        <v>21.16</v>
      </c>
      <c r="Q31" s="954">
        <v>30.142499999999998</v>
      </c>
      <c r="R31" s="963">
        <v>35.075000000000003</v>
      </c>
      <c r="S31" s="954">
        <f>+'Gasolinas 2012'!G29</f>
        <v>37.086500000000001</v>
      </c>
      <c r="T31" s="963">
        <f>+'Gasolinas 2013'!G29</f>
        <v>33.477499999999999</v>
      </c>
      <c r="U31" s="954" t="str">
        <f>+'Gasolinas 2014'!G29</f>
        <v xml:space="preserve"> </v>
      </c>
      <c r="V31" s="1099">
        <f>+'Gasolinas 2015'!G31</f>
        <v>34.31</v>
      </c>
      <c r="W31" s="963">
        <f>+'Gasolinas 2016'!G28</f>
        <v>21.456666666666667</v>
      </c>
      <c r="X31" s="957">
        <f>+'Gasolinas 2017'!G29</f>
        <v>23.352499999999999</v>
      </c>
      <c r="Y31" s="963">
        <f>+'Gasolinas 2018'!G29</f>
        <v>25.407500000000002</v>
      </c>
      <c r="Z31" s="963">
        <f>+'Gasolinas 2019'!G30</f>
        <v>35.08</v>
      </c>
      <c r="AA31" s="963">
        <f>+'Gasolinas 2020'!G29</f>
        <v>17.884999999999998</v>
      </c>
      <c r="AB31" s="963"/>
      <c r="AC31" s="75"/>
      <c r="AD31" s="75"/>
      <c r="AE31" s="75"/>
      <c r="AF31" s="75"/>
      <c r="AG31" s="75"/>
      <c r="AH31" s="75"/>
      <c r="AI31" s="75"/>
      <c r="AJ31" s="75"/>
      <c r="AK31" s="75"/>
      <c r="AL31" s="75"/>
      <c r="AM31" s="75"/>
    </row>
    <row r="32" spans="1:39">
      <c r="A32" s="546" t="s">
        <v>45</v>
      </c>
      <c r="B32" s="548">
        <v>9.44</v>
      </c>
      <c r="C32" s="548">
        <v>10.36</v>
      </c>
      <c r="D32" s="548">
        <v>10.65</v>
      </c>
      <c r="E32" s="548">
        <v>10.9</v>
      </c>
      <c r="F32" s="548">
        <v>11.91</v>
      </c>
      <c r="G32" s="548">
        <v>14.97</v>
      </c>
      <c r="H32" s="963">
        <v>15.34</v>
      </c>
      <c r="I32" s="954">
        <v>14.154999999999999</v>
      </c>
      <c r="J32" s="963">
        <v>15.4375</v>
      </c>
      <c r="K32" s="954">
        <v>18.592000000000002</v>
      </c>
      <c r="L32" s="963">
        <v>22.234000000000002</v>
      </c>
      <c r="M32" s="954">
        <v>26.616</v>
      </c>
      <c r="N32" s="963">
        <v>27.294</v>
      </c>
      <c r="O32" s="954">
        <v>32.770000000000003</v>
      </c>
      <c r="P32" s="963">
        <v>22.442499999999999</v>
      </c>
      <c r="Q32" s="954">
        <v>29.338000000000001</v>
      </c>
      <c r="R32" s="963">
        <v>35.091999999999999</v>
      </c>
      <c r="S32" s="954">
        <f>+'Gasolinas 2012'!G34</f>
        <v>33.299999999999997</v>
      </c>
      <c r="T32" s="963">
        <f>+'Gasolinas 2013'!G34</f>
        <v>33.299999999999997</v>
      </c>
      <c r="U32" s="954">
        <f>+'Gasolinas 2014'!G34</f>
        <v>33.299999999999997</v>
      </c>
      <c r="V32" s="1099">
        <f>+'Gasolinas 2015'!G36</f>
        <v>31.53</v>
      </c>
      <c r="W32" s="963">
        <f>+'Gasolinas 2016'!G34</f>
        <v>33.299999999999997</v>
      </c>
      <c r="X32" s="957">
        <f>+'Gasolinas 2017'!G35</f>
        <v>33.905999999999992</v>
      </c>
      <c r="Y32" s="963">
        <f>+'Gasolinas 2018'!G35</f>
        <v>33.905999999999992</v>
      </c>
      <c r="Z32" s="963">
        <f>+'Gasolinas 2019'!G35</f>
        <v>33.612499999999997</v>
      </c>
      <c r="AA32" s="963">
        <f>+'Gasolinas 2020'!G34</f>
        <v>17.665000000000003</v>
      </c>
      <c r="AB32" s="963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</row>
    <row r="33" spans="1:39">
      <c r="A33" s="546" t="s">
        <v>46</v>
      </c>
      <c r="B33" s="548">
        <v>9.44</v>
      </c>
      <c r="C33" s="548">
        <v>10.31</v>
      </c>
      <c r="D33" s="548">
        <v>10.71</v>
      </c>
      <c r="E33" s="548">
        <v>11.01</v>
      </c>
      <c r="F33" s="548">
        <v>11.91</v>
      </c>
      <c r="G33" s="548">
        <v>15.61</v>
      </c>
      <c r="H33" s="963">
        <v>15.315</v>
      </c>
      <c r="I33" s="954">
        <v>13.9625</v>
      </c>
      <c r="J33" s="963">
        <v>14.5725</v>
      </c>
      <c r="K33" s="954">
        <v>18.9025</v>
      </c>
      <c r="L33" s="963">
        <v>21.9575</v>
      </c>
      <c r="M33" s="954">
        <v>26.447500000000002</v>
      </c>
      <c r="N33" s="963">
        <v>28.407499999999999</v>
      </c>
      <c r="O33" s="954">
        <v>35.167499999999997</v>
      </c>
      <c r="P33" s="963">
        <v>25.17</v>
      </c>
      <c r="Q33" s="954">
        <v>27.512499999999999</v>
      </c>
      <c r="R33" s="963">
        <v>34.265000000000001</v>
      </c>
      <c r="S33" s="954">
        <f>+'Gasolinas 2012'!G39</f>
        <v>33.14</v>
      </c>
      <c r="T33" s="963">
        <f>+'Gasolinas 2013'!G39</f>
        <v>33.5</v>
      </c>
      <c r="U33" s="954">
        <f>'Gasolinas 2014'!$G$39</f>
        <v>34.615000000000002</v>
      </c>
      <c r="V33" s="1099">
        <f>+'Gasolinas 2015'!G41</f>
        <v>26.297499999999999</v>
      </c>
      <c r="W33" s="963">
        <f>+'Gasolinas 2016'!G39</f>
        <v>22.857500000000002</v>
      </c>
      <c r="X33" s="957">
        <f>+'Gasolinas 2017'!G40</f>
        <v>22.425000000000001</v>
      </c>
      <c r="Y33" s="963">
        <f>+'Gasolinas 2018'!G40</f>
        <v>27.0625</v>
      </c>
      <c r="Z33" s="963">
        <f>+'Gasolinas 2019'!G40</f>
        <v>25.545000000000002</v>
      </c>
      <c r="AA33" s="963">
        <f>+'Gasolinas 2020'!G40</f>
        <v>20.044</v>
      </c>
      <c r="AB33" s="963"/>
      <c r="AC33" s="75"/>
      <c r="AD33" s="75"/>
      <c r="AE33" s="75"/>
      <c r="AF33" s="75"/>
      <c r="AG33" s="75"/>
      <c r="AH33" s="75"/>
      <c r="AI33" s="75"/>
      <c r="AJ33" s="75"/>
      <c r="AK33" s="75"/>
      <c r="AL33" s="75"/>
      <c r="AM33" s="75"/>
    </row>
    <row r="34" spans="1:39">
      <c r="A34" s="546" t="s">
        <v>47</v>
      </c>
      <c r="B34" s="548">
        <v>9.1999999999999993</v>
      </c>
      <c r="C34" s="548">
        <v>10.210000000000001</v>
      </c>
      <c r="D34" s="548">
        <v>10.57</v>
      </c>
      <c r="E34" s="548">
        <v>10.9</v>
      </c>
      <c r="F34" s="548">
        <v>12.15</v>
      </c>
      <c r="G34" s="548">
        <v>15.8</v>
      </c>
      <c r="H34" s="963">
        <v>14.67</v>
      </c>
      <c r="I34" s="954">
        <v>14.425999999999998</v>
      </c>
      <c r="J34" s="963">
        <v>14.62</v>
      </c>
      <c r="K34" s="954">
        <v>18.87</v>
      </c>
      <c r="L34" s="963">
        <v>21.93</v>
      </c>
      <c r="M34" s="954">
        <v>26.302</v>
      </c>
      <c r="N34" s="963">
        <v>28.085000000000001</v>
      </c>
      <c r="O34" s="954">
        <v>36.061999999999998</v>
      </c>
      <c r="P34" s="963">
        <v>26.056000000000001</v>
      </c>
      <c r="Q34" s="954">
        <v>27.397500000000001</v>
      </c>
      <c r="R34" s="963">
        <v>34.5625</v>
      </c>
      <c r="S34" s="954">
        <f>+'Gasolinas 2012'!C83</f>
        <v>34.713999999999999</v>
      </c>
      <c r="T34" s="963">
        <f>+'Gasolinas 2013'!G83</f>
        <v>34.874000000000002</v>
      </c>
      <c r="U34" s="954">
        <f>+'Gasolinas 2014'!G45</f>
        <v>34.81</v>
      </c>
      <c r="V34" s="1099">
        <f>+'Gasolinas 2015'!G47</f>
        <v>26.369999999999997</v>
      </c>
      <c r="W34" s="963">
        <f>+'Gasolinas 2016'!G44</f>
        <v>21.715</v>
      </c>
      <c r="X34" s="957">
        <f>+'Gasolinas 2017'!G46</f>
        <v>22.26</v>
      </c>
      <c r="Y34" s="963">
        <f>+'Gasolinas 2018'!G46</f>
        <v>26.99</v>
      </c>
      <c r="Z34" s="963">
        <f>+'Gasolinas 2019'!G46</f>
        <v>26.234000000000002</v>
      </c>
      <c r="AA34" s="963">
        <f>+'Gasolinas 2020'!G45</f>
        <v>21.497500000000002</v>
      </c>
      <c r="AB34" s="963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</row>
    <row r="35" spans="1:39">
      <c r="A35" s="546" t="s">
        <v>48</v>
      </c>
      <c r="B35" s="548">
        <v>8.84</v>
      </c>
      <c r="C35" s="548">
        <v>10.199999999999999</v>
      </c>
      <c r="D35" s="548">
        <v>10.69</v>
      </c>
      <c r="E35" s="548">
        <v>10.8</v>
      </c>
      <c r="F35" s="548">
        <v>12.7</v>
      </c>
      <c r="G35" s="548">
        <v>14.77</v>
      </c>
      <c r="H35" s="963">
        <v>13.886000000000001</v>
      </c>
      <c r="I35" s="954">
        <v>15.2875</v>
      </c>
      <c r="J35" s="963">
        <v>15.1425</v>
      </c>
      <c r="K35" s="954">
        <v>18.71</v>
      </c>
      <c r="L35" s="963">
        <v>22.612000000000002</v>
      </c>
      <c r="M35" s="954">
        <v>27.86</v>
      </c>
      <c r="N35" s="963">
        <v>27.524000000000001</v>
      </c>
      <c r="O35" s="954">
        <v>35.405000000000001</v>
      </c>
      <c r="P35" s="963">
        <v>26.156000000000006</v>
      </c>
      <c r="Q35" s="954">
        <v>27.685999999999996</v>
      </c>
      <c r="R35" s="963">
        <v>34.625999999999998</v>
      </c>
      <c r="S35" s="954">
        <f>+'Gasolinas 2012'!G88</f>
        <v>34.924999999999997</v>
      </c>
      <c r="T35" s="963">
        <f>+'Gasolinas 2013'!G88</f>
        <v>35.577500000000001</v>
      </c>
      <c r="U35" s="954">
        <f>+'Gasolinas 2014'!C50</f>
        <v>34.024999999999999</v>
      </c>
      <c r="V35" s="1099">
        <f>+'Gasolinas 2015'!G53</f>
        <v>24.365999999999996</v>
      </c>
      <c r="W35" s="963">
        <f>+'Gasolinas 2016'!G50</f>
        <v>21.541999999999998</v>
      </c>
      <c r="X35" s="957">
        <f>+'Gasolinas 2017'!G51</f>
        <v>22.837499999999999</v>
      </c>
      <c r="Y35" s="963">
        <f>+'Gasolinas 2018'!G51</f>
        <v>27.055</v>
      </c>
      <c r="Z35" s="963">
        <f>+'Gasolinas 2019'!G51</f>
        <v>25.160000000000004</v>
      </c>
      <c r="AA35" s="963">
        <v>21.21</v>
      </c>
      <c r="AB35" s="963"/>
      <c r="AC35" s="75"/>
      <c r="AD35" s="75"/>
      <c r="AE35" s="75"/>
      <c r="AF35" s="75"/>
      <c r="AG35" s="75"/>
      <c r="AH35" s="75"/>
      <c r="AI35" s="75"/>
      <c r="AJ35" s="75"/>
      <c r="AK35" s="75"/>
      <c r="AL35" s="75"/>
      <c r="AM35" s="75"/>
    </row>
    <row r="36" spans="1:39">
      <c r="A36" s="546" t="s">
        <v>49</v>
      </c>
      <c r="B36" s="548">
        <v>8.89</v>
      </c>
      <c r="C36" s="548">
        <v>10.25</v>
      </c>
      <c r="D36" s="548">
        <v>11.02</v>
      </c>
      <c r="E36" s="548">
        <v>10.76</v>
      </c>
      <c r="F36" s="548">
        <v>12.98</v>
      </c>
      <c r="G36" s="548">
        <v>14.96</v>
      </c>
      <c r="H36" s="963">
        <v>14.0025</v>
      </c>
      <c r="I36" s="954">
        <v>15.25</v>
      </c>
      <c r="J36" s="963">
        <v>16.548000000000002</v>
      </c>
      <c r="K36" s="954">
        <v>18.5975</v>
      </c>
      <c r="L36" s="963">
        <v>25.204999999999998</v>
      </c>
      <c r="M36" s="954">
        <v>26.97</v>
      </c>
      <c r="N36" s="963">
        <v>26.774999999999999</v>
      </c>
      <c r="O36" s="954">
        <v>34.447999999999993</v>
      </c>
      <c r="P36" s="963">
        <v>26.28</v>
      </c>
      <c r="Q36" s="954">
        <v>26.925000000000001</v>
      </c>
      <c r="R36" s="963">
        <v>34.2425</v>
      </c>
      <c r="S36" s="954">
        <f>+'Gasolinas 2012'!G93</f>
        <v>37.07</v>
      </c>
      <c r="T36" s="963">
        <f>+'Gasolinas 2013'!G94</f>
        <v>35.267999999999994</v>
      </c>
      <c r="U36" s="954">
        <f>+'Gasolinas 2014'!G56</f>
        <v>32.314</v>
      </c>
      <c r="V36" s="1099">
        <f>+'Gasolinas 2015'!G58</f>
        <v>22.419999999999998</v>
      </c>
      <c r="W36" s="963">
        <f>+'Gasolinas 2016'!G55</f>
        <v>22.164999999999999</v>
      </c>
      <c r="X36" s="957">
        <f>+'Gasolinas 2017'!G56</f>
        <v>24.422499999999999</v>
      </c>
      <c r="Y36" s="963">
        <f>+'Gasolinas 2018'!G56</f>
        <v>27.310000000000002</v>
      </c>
      <c r="Z36" s="963">
        <f>+'Gasolinas 2019'!G57</f>
        <v>24.982000000000003</v>
      </c>
      <c r="AA36" s="963">
        <f>+'Gasolinas 2020'!G56</f>
        <v>21.077500000000001</v>
      </c>
      <c r="AB36" s="963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</row>
    <row r="37" spans="1:39">
      <c r="A37" s="546" t="s">
        <v>50</v>
      </c>
      <c r="B37" s="548">
        <v>8.89</v>
      </c>
      <c r="C37" s="548">
        <v>10.28</v>
      </c>
      <c r="D37" s="548">
        <v>10.77</v>
      </c>
      <c r="E37" s="548">
        <v>10.87</v>
      </c>
      <c r="F37" s="548">
        <v>13.6</v>
      </c>
      <c r="G37" s="548">
        <v>15.398</v>
      </c>
      <c r="H37" s="963">
        <v>13.951999999999998</v>
      </c>
      <c r="I37" s="954">
        <v>15.6275</v>
      </c>
      <c r="J37" s="963">
        <v>16.267499999999998</v>
      </c>
      <c r="K37" s="954">
        <v>19.197500000000002</v>
      </c>
      <c r="L37" s="963">
        <v>26.851999999999997</v>
      </c>
      <c r="M37" s="954">
        <v>24.45</v>
      </c>
      <c r="N37" s="963">
        <v>27.018000000000001</v>
      </c>
      <c r="O37" s="954">
        <v>30.765000000000001</v>
      </c>
      <c r="P37" s="963">
        <v>25.572500000000002</v>
      </c>
      <c r="Q37" s="954">
        <v>28.5</v>
      </c>
      <c r="R37" s="963">
        <v>33.646000000000001</v>
      </c>
      <c r="S37" s="954">
        <f>+'Gasolinas 2012'!G99</f>
        <v>36.042000000000002</v>
      </c>
      <c r="T37" s="963">
        <f>+'Gasolinas 2013'!G99</f>
        <v>33.35</v>
      </c>
      <c r="U37" s="954">
        <f>+'Gasolinas 2014'!G61</f>
        <v>30.487500000000001</v>
      </c>
      <c r="V37" s="1099">
        <f>+'Gasolinas 2015'!G63</f>
        <v>21.997499999999999</v>
      </c>
      <c r="W37" s="963">
        <f>+'Gasolinas 2016'!G61</f>
        <v>22.541999999999998</v>
      </c>
      <c r="X37" s="957">
        <f>+'Gasolinas 2017'!G62</f>
        <v>23.55</v>
      </c>
      <c r="Y37" s="963">
        <f>+'Gasolinas 2018'!G62</f>
        <v>27.655999999999999</v>
      </c>
      <c r="Z37" s="963">
        <f>+'Gasolinas 2019'!G62</f>
        <v>24.715000000000003</v>
      </c>
      <c r="AA37" s="963">
        <v>21.15</v>
      </c>
      <c r="AB37" s="963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</row>
    <row r="38" spans="1:39">
      <c r="A38" s="546" t="s">
        <v>51</v>
      </c>
      <c r="B38" s="548">
        <v>8.83</v>
      </c>
      <c r="C38" s="548">
        <v>10.4</v>
      </c>
      <c r="D38" s="548">
        <v>10.58</v>
      </c>
      <c r="E38" s="548">
        <v>10.9</v>
      </c>
      <c r="F38" s="548">
        <v>13.51</v>
      </c>
      <c r="G38" s="548">
        <v>15.2125</v>
      </c>
      <c r="H38" s="963">
        <v>13.5275</v>
      </c>
      <c r="I38" s="954">
        <v>15.76</v>
      </c>
      <c r="J38" s="963">
        <v>16.003333333333334</v>
      </c>
      <c r="K38" s="954">
        <v>20.04</v>
      </c>
      <c r="L38" s="963">
        <v>25.5</v>
      </c>
      <c r="M38" s="954">
        <v>22.9</v>
      </c>
      <c r="N38" s="963">
        <v>27.987500000000001</v>
      </c>
      <c r="O38" s="954">
        <v>25.76</v>
      </c>
      <c r="P38" s="963">
        <v>27.332000000000001</v>
      </c>
      <c r="Q38" s="954">
        <v>28.466000000000001</v>
      </c>
      <c r="R38" s="963">
        <v>34.104999999999997</v>
      </c>
      <c r="S38" s="954">
        <f>+'Gasolinas 2012'!G104</f>
        <v>33.197500000000005</v>
      </c>
      <c r="T38" s="963">
        <f>+'Gasolinas 2013'!G104</f>
        <v>32.18</v>
      </c>
      <c r="U38" s="954">
        <f>+'Gasolinas 2014'!G66</f>
        <v>28.537499999999998</v>
      </c>
      <c r="V38" s="1099">
        <f>+'Gasolinas 2015'!G69</f>
        <v>21.119999999999997</v>
      </c>
      <c r="W38" s="963">
        <f>+'Gasolinas 2016'!G66</f>
        <v>21.844999999999999</v>
      </c>
      <c r="X38" s="957">
        <f>+'Gasolinas 2017'!G67</f>
        <v>24.475000000000001</v>
      </c>
      <c r="Y38" s="963">
        <f>+'Gasolinas 2018'!G67</f>
        <v>24.947500000000002</v>
      </c>
      <c r="Z38" s="963">
        <f>+'Gasolinas 2019'!G67</f>
        <v>24.654999999999998</v>
      </c>
      <c r="AA38" s="963">
        <v>20.11</v>
      </c>
      <c r="AB38" s="963"/>
      <c r="AC38" s="75"/>
      <c r="AD38" s="75"/>
      <c r="AE38" s="75"/>
      <c r="AF38" s="75"/>
      <c r="AG38" s="75"/>
      <c r="AH38" s="75"/>
      <c r="AI38" s="75"/>
      <c r="AJ38" s="75"/>
      <c r="AK38" s="75"/>
      <c r="AL38" s="75"/>
      <c r="AM38" s="75"/>
    </row>
    <row r="39" spans="1:39" ht="13.5" thickBot="1">
      <c r="A39" s="546" t="s">
        <v>52</v>
      </c>
      <c r="B39" s="548">
        <v>8.84</v>
      </c>
      <c r="C39" s="548">
        <v>10.58</v>
      </c>
      <c r="D39" s="548">
        <v>10.56</v>
      </c>
      <c r="E39" s="548">
        <v>10.62</v>
      </c>
      <c r="F39" s="548">
        <v>14.13</v>
      </c>
      <c r="G39" s="548">
        <v>15.0375</v>
      </c>
      <c r="H39" s="964">
        <v>12.785</v>
      </c>
      <c r="I39" s="954">
        <v>15.49</v>
      </c>
      <c r="J39" s="964">
        <v>15.49</v>
      </c>
      <c r="K39" s="954">
        <v>19.7</v>
      </c>
      <c r="L39" s="964">
        <v>22.927499999999998</v>
      </c>
      <c r="M39" s="954">
        <v>22.8825</v>
      </c>
      <c r="N39" s="964">
        <v>28.727499999999999</v>
      </c>
      <c r="O39" s="954">
        <v>22.065999999999995</v>
      </c>
      <c r="P39" s="964">
        <v>26.927499999999998</v>
      </c>
      <c r="Q39" s="954">
        <v>29.432500000000001</v>
      </c>
      <c r="R39" s="964">
        <v>32.8825</v>
      </c>
      <c r="S39" s="954">
        <f>+'Gasolinas 2012'!G109</f>
        <v>33.207500000000003</v>
      </c>
      <c r="T39" s="964">
        <f>+'Gasolinas 2013'!G110</f>
        <v>34.311999999999998</v>
      </c>
      <c r="U39" s="954">
        <f>+'Gasolinas 2014'!G72</f>
        <v>25.042000000000002</v>
      </c>
      <c r="V39" s="1100">
        <f>+'Gasolinas 2015'!G74</f>
        <v>20.177500000000002</v>
      </c>
      <c r="W39" s="964">
        <f>+'Gasolinas 2016'!G71</f>
        <v>22.795000000000002</v>
      </c>
      <c r="X39" s="1103">
        <f>+'Gasolinas 2017'!G72</f>
        <v>24.217499999999998</v>
      </c>
      <c r="Y39" s="964">
        <f>+'Gasolinas 2018'!G72</f>
        <v>22.932499999999997</v>
      </c>
      <c r="Z39" s="964">
        <f>+'Gasolinas 2019'!G73</f>
        <v>24.544</v>
      </c>
      <c r="AA39" s="964">
        <f>+'Gasolinas 2020'!G72</f>
        <v>21.604999999999997</v>
      </c>
      <c r="AB39" s="964"/>
      <c r="AC39" s="75"/>
      <c r="AD39" s="75"/>
      <c r="AE39" s="75"/>
      <c r="AF39" s="75"/>
      <c r="AG39" s="75"/>
      <c r="AH39" s="75"/>
      <c r="AI39" s="75"/>
      <c r="AJ39" s="75"/>
      <c r="AK39" s="75"/>
      <c r="AL39" s="75"/>
      <c r="AM39" s="75"/>
    </row>
    <row r="40" spans="1:39" ht="21.75" customHeight="1" thickBot="1">
      <c r="A40" s="958" t="s">
        <v>7</v>
      </c>
      <c r="B40" s="959">
        <f t="shared" ref="B40:G40" si="1">AVERAGE(B28:B39)</f>
        <v>8.8691666666666666</v>
      </c>
      <c r="C40" s="959">
        <f t="shared" si="1"/>
        <v>10.071666666666667</v>
      </c>
      <c r="D40" s="959">
        <f t="shared" si="1"/>
        <v>10.715833333333331</v>
      </c>
      <c r="E40" s="959">
        <f t="shared" si="1"/>
        <v>10.836666666666668</v>
      </c>
      <c r="F40" s="959">
        <f t="shared" si="1"/>
        <v>12.137500000000001</v>
      </c>
      <c r="G40" s="959">
        <f t="shared" si="1"/>
        <v>14.968999999999999</v>
      </c>
      <c r="H40" s="960">
        <f t="shared" ref="H40:Y40" si="2">AVERAGE(H28:H39)</f>
        <v>14.174833333333332</v>
      </c>
      <c r="I40" s="960">
        <f t="shared" si="2"/>
        <v>14.290291666666667</v>
      </c>
      <c r="J40" s="960">
        <f t="shared" si="2"/>
        <v>15.794569444444443</v>
      </c>
      <c r="K40" s="960">
        <f t="shared" si="2"/>
        <v>18.489791666666665</v>
      </c>
      <c r="L40" s="960">
        <f t="shared" si="2"/>
        <v>22.288624999999996</v>
      </c>
      <c r="M40" s="960">
        <f>AVERAGE(M28:M39)</f>
        <v>24.564083333333333</v>
      </c>
      <c r="N40" s="960">
        <f t="shared" si="2"/>
        <v>26.191125</v>
      </c>
      <c r="O40" s="960">
        <f t="shared" si="2"/>
        <v>30.871291666666664</v>
      </c>
      <c r="P40" s="960">
        <f t="shared" si="2"/>
        <v>24.140125000000001</v>
      </c>
      <c r="Q40" s="960">
        <f t="shared" si="2"/>
        <v>28.319083333333339</v>
      </c>
      <c r="R40" s="960">
        <f t="shared" si="2"/>
        <v>33.71970833333333</v>
      </c>
      <c r="S40" s="960" t="e">
        <f t="shared" si="2"/>
        <v>#REF!</v>
      </c>
      <c r="T40" s="960">
        <f t="shared" si="2"/>
        <v>34.080500000000001</v>
      </c>
      <c r="U40" s="960">
        <f t="shared" si="2"/>
        <v>32.250727272727275</v>
      </c>
      <c r="V40" s="960">
        <f t="shared" si="2"/>
        <v>26.011916666666664</v>
      </c>
      <c r="W40" s="1121">
        <f t="shared" si="2"/>
        <v>22.775388888888887</v>
      </c>
      <c r="X40" s="960">
        <f t="shared" si="2"/>
        <v>24.555083333333332</v>
      </c>
      <c r="Y40" s="960">
        <f t="shared" si="2"/>
        <v>26.773958333333336</v>
      </c>
      <c r="Z40" s="960">
        <f>AVERAGE(Z28:Z39)</f>
        <v>26.51070833333333</v>
      </c>
      <c r="AA40" s="961">
        <f>AVERAGE(AA28:AA39)</f>
        <v>21.107125</v>
      </c>
      <c r="AB40" s="961">
        <f>AVERAGE(AB28:AB39)</f>
        <v>27.842499999999998</v>
      </c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</row>
    <row r="41" spans="1:39">
      <c r="A41" s="895"/>
      <c r="B41" s="895"/>
      <c r="C41" s="895"/>
      <c r="D41" s="895"/>
      <c r="E41" s="895"/>
      <c r="F41" s="895"/>
      <c r="G41" s="895"/>
      <c r="H41" s="895"/>
      <c r="I41" s="548"/>
      <c r="J41" s="548"/>
      <c r="K41" s="548"/>
      <c r="L41" s="548"/>
      <c r="M41" s="548"/>
      <c r="N41" s="548"/>
      <c r="O41" s="548"/>
      <c r="P41" s="548"/>
      <c r="Q41" s="548"/>
      <c r="R41" s="548"/>
      <c r="S41" s="548"/>
      <c r="T41" s="548"/>
      <c r="U41" s="548"/>
      <c r="V41" s="548"/>
      <c r="W41" s="548"/>
      <c r="X41" s="548"/>
      <c r="Y41" s="75"/>
      <c r="Z41" s="548"/>
      <c r="AA41" s="548"/>
      <c r="AB41" s="548"/>
      <c r="AC41" s="75"/>
      <c r="AD41" s="75"/>
      <c r="AE41" s="75"/>
      <c r="AF41" s="75"/>
      <c r="AG41" s="75"/>
      <c r="AH41" s="75"/>
      <c r="AI41" s="75"/>
      <c r="AJ41" s="75"/>
      <c r="AK41" s="75"/>
      <c r="AL41" s="75"/>
      <c r="AM41" s="75"/>
    </row>
    <row r="42" spans="1:39" ht="12.75" hidden="1" customHeight="1">
      <c r="A42" s="1755" t="s">
        <v>562</v>
      </c>
      <c r="B42" s="1755"/>
      <c r="C42" s="1755"/>
      <c r="D42" s="1755"/>
      <c r="E42" s="1755"/>
      <c r="F42" s="1755"/>
      <c r="G42" s="1755"/>
      <c r="H42" s="1507"/>
      <c r="I42" s="1507"/>
      <c r="J42" s="1507"/>
      <c r="K42" s="1507"/>
      <c r="L42" s="1507"/>
      <c r="M42" s="1507"/>
      <c r="N42" s="1507"/>
      <c r="O42" s="1507"/>
      <c r="P42" s="1507"/>
      <c r="Q42" s="1507"/>
      <c r="R42" s="1507"/>
      <c r="S42" s="1507"/>
      <c r="T42" s="1507"/>
      <c r="U42" s="1507"/>
      <c r="V42" s="1507"/>
      <c r="W42" s="1507"/>
      <c r="X42" s="548"/>
      <c r="Y42" s="548"/>
      <c r="Z42" s="548"/>
      <c r="AA42" s="548"/>
      <c r="AB42" s="548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</row>
    <row r="43" spans="1:39" ht="12.75" hidden="1" customHeight="1">
      <c r="A43" s="1738" t="s">
        <v>39</v>
      </c>
      <c r="B43" s="1738"/>
      <c r="C43" s="1738"/>
      <c r="D43" s="1738"/>
      <c r="E43" s="1738"/>
      <c r="F43" s="1738"/>
      <c r="G43" s="1738"/>
      <c r="H43" s="1738"/>
      <c r="I43" s="1738"/>
      <c r="J43" s="1738"/>
      <c r="K43" s="1738"/>
      <c r="L43" s="1738"/>
      <c r="M43" s="1738"/>
      <c r="N43" s="1738"/>
      <c r="O43" s="1738"/>
      <c r="P43" s="1738"/>
      <c r="Q43" s="1738"/>
      <c r="R43" s="1738"/>
      <c r="S43" s="1738"/>
      <c r="T43" s="1507"/>
      <c r="U43" s="1507"/>
      <c r="V43" s="1507"/>
      <c r="W43" s="548"/>
      <c r="X43" s="548"/>
      <c r="Y43" s="548"/>
      <c r="Z43" s="548"/>
      <c r="AA43" s="548"/>
      <c r="AB43" s="548"/>
      <c r="AC43" s="75"/>
      <c r="AD43" s="75"/>
      <c r="AE43" s="75"/>
      <c r="AF43" s="75"/>
      <c r="AG43" s="75"/>
      <c r="AH43" s="75"/>
      <c r="AI43" s="75"/>
      <c r="AJ43" s="75"/>
      <c r="AK43" s="75"/>
      <c r="AL43" s="75"/>
      <c r="AM43" s="75"/>
    </row>
    <row r="44" spans="1:39" s="75" customFormat="1" ht="12.75" hidden="1" customHeight="1">
      <c r="A44" s="1752" t="s">
        <v>522</v>
      </c>
      <c r="B44" s="1752"/>
      <c r="C44" s="1752"/>
      <c r="D44" s="1752"/>
      <c r="E44" s="1752"/>
      <c r="F44" s="1752"/>
      <c r="G44" s="1752"/>
      <c r="H44" s="1752"/>
      <c r="I44" s="1752"/>
      <c r="J44" s="1752"/>
      <c r="K44" s="1752"/>
      <c r="L44" s="1752"/>
      <c r="M44" s="1752"/>
      <c r="N44" s="1752"/>
      <c r="O44" s="1752"/>
      <c r="P44" s="1752"/>
      <c r="Q44" s="1752"/>
      <c r="R44" s="1752"/>
      <c r="S44" s="1752"/>
      <c r="T44" s="1507"/>
      <c r="U44" s="1507"/>
      <c r="V44" s="1507"/>
      <c r="W44" s="548"/>
      <c r="X44" s="548"/>
      <c r="Y44" s="548"/>
      <c r="Z44" s="548"/>
      <c r="AA44" s="548"/>
      <c r="AB44" s="548"/>
    </row>
    <row r="45" spans="1:39" s="75" customFormat="1" ht="13.5" hidden="1" customHeight="1" thickBot="1">
      <c r="A45" s="1738" t="s">
        <v>40</v>
      </c>
      <c r="B45" s="1738"/>
      <c r="C45" s="1738"/>
      <c r="D45" s="1738"/>
      <c r="E45" s="1738"/>
      <c r="F45" s="1738"/>
      <c r="G45" s="1738"/>
      <c r="H45" s="1738"/>
      <c r="I45" s="1738"/>
      <c r="J45" s="1738"/>
      <c r="K45" s="1738"/>
      <c r="L45" s="1738"/>
      <c r="M45" s="1738"/>
      <c r="N45" s="1738"/>
      <c r="O45" s="1738"/>
      <c r="P45" s="1738"/>
      <c r="Q45" s="1738"/>
      <c r="R45" s="1738"/>
      <c r="S45" s="1738"/>
      <c r="T45" s="1507"/>
      <c r="U45" s="1507"/>
      <c r="V45" s="1507"/>
      <c r="W45" s="548"/>
      <c r="X45" s="548"/>
      <c r="Y45" s="1014"/>
      <c r="Z45" s="548"/>
      <c r="AA45" s="548"/>
      <c r="AB45" s="548"/>
    </row>
    <row r="46" spans="1:39" ht="12.75" hidden="1" customHeight="1">
      <c r="A46" s="548"/>
      <c r="B46" s="548"/>
      <c r="C46" s="548"/>
      <c r="D46" s="548"/>
      <c r="E46" s="548"/>
      <c r="F46" s="548"/>
      <c r="G46" s="548"/>
      <c r="H46" s="548"/>
      <c r="I46" s="548"/>
      <c r="J46" s="548"/>
      <c r="K46" s="548"/>
      <c r="L46" s="548"/>
      <c r="M46" s="548"/>
      <c r="N46" s="548"/>
      <c r="O46" s="548"/>
      <c r="P46" s="548"/>
      <c r="Q46" s="548"/>
      <c r="R46" s="548"/>
      <c r="S46" s="548"/>
      <c r="T46" s="548"/>
      <c r="U46" s="548"/>
      <c r="V46" s="548"/>
      <c r="W46" s="548"/>
      <c r="X46" s="548"/>
      <c r="Y46" s="957">
        <f>+'Gasolinas 2018'!G32</f>
        <v>33.49</v>
      </c>
      <c r="Z46" s="548"/>
      <c r="AA46" s="548"/>
      <c r="AB46" s="548"/>
      <c r="AC46" s="75"/>
      <c r="AD46" s="75"/>
      <c r="AE46" s="75"/>
      <c r="AF46" s="75"/>
      <c r="AG46" s="75"/>
      <c r="AH46" s="75"/>
      <c r="AI46" s="75"/>
      <c r="AJ46" s="75"/>
      <c r="AK46" s="75"/>
      <c r="AL46" s="75"/>
      <c r="AM46" s="75"/>
    </row>
    <row r="47" spans="1:39">
      <c r="A47" s="948" t="s">
        <v>520</v>
      </c>
      <c r="B47" s="548"/>
      <c r="C47" s="548"/>
      <c r="D47" s="548"/>
      <c r="E47" s="548"/>
      <c r="F47" s="548"/>
      <c r="G47" s="548"/>
      <c r="H47" s="548"/>
      <c r="I47" s="548"/>
      <c r="J47" s="548"/>
      <c r="K47" s="548"/>
      <c r="L47" s="548"/>
      <c r="M47" s="548"/>
      <c r="N47" s="548"/>
      <c r="O47" s="548"/>
      <c r="P47" s="548"/>
      <c r="Q47" s="548"/>
      <c r="R47" s="548"/>
      <c r="S47" s="548"/>
      <c r="T47" s="548"/>
      <c r="U47" s="548"/>
      <c r="V47" s="548"/>
      <c r="W47" s="548"/>
      <c r="X47" s="548"/>
      <c r="Y47" s="548"/>
      <c r="Z47" s="548"/>
      <c r="AA47" s="548"/>
      <c r="AB47" s="548"/>
      <c r="AC47" s="75"/>
      <c r="AD47" s="75"/>
      <c r="AE47" s="75"/>
      <c r="AF47" s="75"/>
      <c r="AG47" s="75"/>
      <c r="AH47" s="75"/>
      <c r="AI47" s="75"/>
      <c r="AJ47" s="75"/>
      <c r="AK47" s="75"/>
      <c r="AL47" s="75"/>
      <c r="AM47" s="75"/>
    </row>
    <row r="48" spans="1:39" ht="15.75" thickBot="1">
      <c r="A48" s="75"/>
      <c r="B48" s="1729" t="s">
        <v>2</v>
      </c>
      <c r="C48" s="1730"/>
      <c r="D48" s="1730"/>
      <c r="E48" s="1730"/>
      <c r="F48" s="1730"/>
      <c r="G48" s="1730"/>
      <c r="H48" s="1731" t="s">
        <v>576</v>
      </c>
      <c r="I48" s="1732"/>
      <c r="J48" s="1732"/>
      <c r="K48" s="1732"/>
      <c r="L48" s="1732"/>
      <c r="M48" s="1732"/>
      <c r="N48" s="1732"/>
      <c r="O48" s="1732"/>
      <c r="P48" s="1732"/>
      <c r="Q48" s="1732"/>
      <c r="R48" s="1732"/>
      <c r="S48" s="1732"/>
      <c r="T48" s="1732"/>
      <c r="U48" s="1732"/>
      <c r="V48" s="1732"/>
      <c r="W48" s="1732"/>
      <c r="X48" s="1732"/>
      <c r="Y48" s="548"/>
      <c r="Z48" s="548"/>
      <c r="AA48" s="548"/>
      <c r="AB48" s="548"/>
      <c r="AC48" s="75"/>
      <c r="AD48" s="75"/>
      <c r="AE48" s="75"/>
      <c r="AF48" s="75"/>
      <c r="AG48" s="75"/>
      <c r="AH48" s="75"/>
      <c r="AI48" s="75"/>
      <c r="AJ48" s="75"/>
      <c r="AK48" s="75"/>
      <c r="AL48" s="75"/>
      <c r="AM48" s="75"/>
    </row>
    <row r="49" spans="1:39">
      <c r="A49" s="1736" t="s">
        <v>517</v>
      </c>
      <c r="B49" s="549">
        <v>1995</v>
      </c>
      <c r="C49" s="549">
        <v>1996</v>
      </c>
      <c r="D49" s="549">
        <v>1997</v>
      </c>
      <c r="E49" s="549">
        <v>1998</v>
      </c>
      <c r="F49" s="549">
        <v>1999</v>
      </c>
      <c r="G49" s="549">
        <v>2000</v>
      </c>
      <c r="H49" s="1727">
        <v>2001</v>
      </c>
      <c r="I49" s="1727">
        <v>2002</v>
      </c>
      <c r="J49" s="1727">
        <v>2003</v>
      </c>
      <c r="K49" s="1727">
        <v>2004</v>
      </c>
      <c r="L49" s="1727">
        <v>2005</v>
      </c>
      <c r="M49" s="1727">
        <v>2006</v>
      </c>
      <c r="N49" s="1727">
        <v>2007</v>
      </c>
      <c r="O49" s="1727">
        <v>2008</v>
      </c>
      <c r="P49" s="1727">
        <v>2009</v>
      </c>
      <c r="Q49" s="1727">
        <v>2010</v>
      </c>
      <c r="R49" s="1727">
        <v>2011</v>
      </c>
      <c r="S49" s="1727">
        <f>+S9</f>
        <v>2012</v>
      </c>
      <c r="T49" s="1727">
        <v>2013</v>
      </c>
      <c r="U49" s="1727">
        <v>2014</v>
      </c>
      <c r="V49" s="1727">
        <v>2015</v>
      </c>
      <c r="W49" s="1727">
        <v>2016</v>
      </c>
      <c r="X49" s="1727">
        <v>2017</v>
      </c>
      <c r="Y49" s="1727">
        <v>2018</v>
      </c>
      <c r="Z49" s="1727">
        <v>2019</v>
      </c>
      <c r="AA49" s="1727">
        <v>2020</v>
      </c>
      <c r="AB49" s="1756">
        <v>2021</v>
      </c>
      <c r="AC49" s="75"/>
      <c r="AD49" s="75"/>
      <c r="AE49" s="75"/>
      <c r="AF49" s="75"/>
      <c r="AG49" s="75"/>
      <c r="AH49" s="75"/>
      <c r="AI49" s="75"/>
      <c r="AJ49" s="75"/>
      <c r="AK49" s="75"/>
      <c r="AL49" s="75"/>
      <c r="AM49" s="75"/>
    </row>
    <row r="50" spans="1:39" ht="13.5" thickBot="1">
      <c r="A50" s="1737"/>
      <c r="B50" s="887"/>
      <c r="C50" s="887"/>
      <c r="D50" s="887"/>
      <c r="E50" s="887"/>
      <c r="F50" s="887"/>
      <c r="G50" s="887"/>
      <c r="H50" s="1728"/>
      <c r="I50" s="1728"/>
      <c r="J50" s="1728"/>
      <c r="K50" s="1728"/>
      <c r="L50" s="1728"/>
      <c r="M50" s="1728"/>
      <c r="N50" s="1728"/>
      <c r="O50" s="1728"/>
      <c r="P50" s="1728"/>
      <c r="Q50" s="1728"/>
      <c r="R50" s="1728"/>
      <c r="S50" s="1728"/>
      <c r="T50" s="1728"/>
      <c r="U50" s="1728"/>
      <c r="V50" s="1728"/>
      <c r="W50" s="1728"/>
      <c r="X50" s="1728"/>
      <c r="Y50" s="1728"/>
      <c r="Z50" s="1728"/>
      <c r="AA50" s="1728"/>
      <c r="AB50" s="1757"/>
      <c r="AC50" s="75"/>
      <c r="AD50" s="75"/>
      <c r="AE50" s="75"/>
      <c r="AF50" s="75"/>
      <c r="AG50" s="75"/>
      <c r="AH50" s="75"/>
      <c r="AI50" s="75"/>
      <c r="AJ50" s="75"/>
      <c r="AK50" s="75"/>
      <c r="AL50" s="75"/>
      <c r="AM50" s="75"/>
    </row>
    <row r="51" spans="1:39">
      <c r="A51" s="889" t="s">
        <v>41</v>
      </c>
      <c r="B51" s="548">
        <v>7.84</v>
      </c>
      <c r="C51" s="548">
        <v>8.86</v>
      </c>
      <c r="D51" s="548">
        <v>10.4</v>
      </c>
      <c r="E51" s="548">
        <v>10.68</v>
      </c>
      <c r="F51" s="548">
        <v>10.029999999999999</v>
      </c>
      <c r="G51" s="548">
        <v>13.52</v>
      </c>
      <c r="H51" s="962">
        <v>13.848000000000003</v>
      </c>
      <c r="I51" s="954">
        <v>12.187999999999999</v>
      </c>
      <c r="J51" s="962">
        <v>14.922499999999999</v>
      </c>
      <c r="K51" s="954">
        <v>15.477499999999999</v>
      </c>
      <c r="L51" s="962">
        <v>18.234000000000002</v>
      </c>
      <c r="M51" s="954">
        <v>21.832000000000001</v>
      </c>
      <c r="N51" s="962">
        <v>22.16</v>
      </c>
      <c r="O51" s="954">
        <v>27.96</v>
      </c>
      <c r="P51" s="962">
        <v>20.2</v>
      </c>
      <c r="Q51" s="954">
        <v>26.99</v>
      </c>
      <c r="R51" s="962">
        <v>29.46</v>
      </c>
      <c r="S51" s="954">
        <f>+'Gasolinas 2012'!H14</f>
        <v>32.11</v>
      </c>
      <c r="T51" s="962">
        <f>+'Gasolinas 2013'!H14</f>
        <v>32.101999999999997</v>
      </c>
      <c r="U51" s="954">
        <f>+'Gasolinas 2014'!H13</f>
        <v>32.582499999999996</v>
      </c>
      <c r="V51" s="962">
        <f>+'Gasolinas 2015'!H15</f>
        <v>19.427499999999998</v>
      </c>
      <c r="W51" s="954">
        <f>+'Gasolinas 2016'!H13</f>
        <v>18.07</v>
      </c>
      <c r="X51" s="962">
        <f>+'Gasolinas 2017'!H14</f>
        <v>22.357999999999997</v>
      </c>
      <c r="Y51" s="962">
        <f>+'Gasolinas 2018'!H14</f>
        <v>23.872</v>
      </c>
      <c r="Z51" s="962">
        <f>+'Gasolinas 2019'!H14</f>
        <v>20.972000000000001</v>
      </c>
      <c r="AA51" s="962">
        <f>+'Gasolinas 2020'!H13</f>
        <v>23.74</v>
      </c>
      <c r="AB51" s="962">
        <f>+'Gasolineras 2021'!H13</f>
        <v>21.9375</v>
      </c>
      <c r="AC51" s="75"/>
      <c r="AD51" s="75"/>
      <c r="AE51" s="75"/>
      <c r="AF51" s="75"/>
      <c r="AG51" s="75"/>
      <c r="AH51" s="75"/>
      <c r="AI51" s="75"/>
      <c r="AJ51" s="75"/>
      <c r="AK51" s="75"/>
      <c r="AL51" s="75"/>
      <c r="AM51" s="75"/>
    </row>
    <row r="52" spans="1:39">
      <c r="A52" s="546" t="s">
        <v>42</v>
      </c>
      <c r="B52" s="548">
        <v>8.1199999999999992</v>
      </c>
      <c r="C52" s="548">
        <v>9.08</v>
      </c>
      <c r="D52" s="548">
        <v>10.5</v>
      </c>
      <c r="E52" s="548">
        <v>10.53</v>
      </c>
      <c r="F52" s="548">
        <v>10.02</v>
      </c>
      <c r="G52" s="548">
        <v>13.88</v>
      </c>
      <c r="H52" s="963">
        <v>13.9575</v>
      </c>
      <c r="I52" s="954">
        <v>11.9</v>
      </c>
      <c r="J52" s="963">
        <v>15.76</v>
      </c>
      <c r="K52" s="954">
        <v>16.817499999999999</v>
      </c>
      <c r="L52" s="963">
        <v>17.774999999999999</v>
      </c>
      <c r="M52" s="954">
        <v>21.537500000000001</v>
      </c>
      <c r="N52" s="963">
        <v>21.147500000000001</v>
      </c>
      <c r="O52" s="954">
        <v>27.824999999999999</v>
      </c>
      <c r="P52" s="963">
        <v>19.927499999999998</v>
      </c>
      <c r="Q52" s="954">
        <v>26.635000000000002</v>
      </c>
      <c r="R52" s="963">
        <v>30.504999999999999</v>
      </c>
      <c r="S52" s="954">
        <f>+'Gasolinas 2012'!H19</f>
        <v>34.365000000000002</v>
      </c>
      <c r="T52" s="963">
        <f>+'Gasolinas 2013'!H19</f>
        <v>33.35</v>
      </c>
      <c r="U52" s="954">
        <f>+'Gasolinas 2014'!H18</f>
        <v>31.635000000000002</v>
      </c>
      <c r="V52" s="963">
        <f>+'Gasolinas 2015'!H20</f>
        <v>37.39</v>
      </c>
      <c r="W52" s="954">
        <f>+'Gasolinas 2016'!H19</f>
        <v>17.084</v>
      </c>
      <c r="X52" s="963">
        <f>+'Gasolinas 2017'!H19</f>
        <v>21.535</v>
      </c>
      <c r="Y52" s="963">
        <f>+'Gasolinas 2018'!H19</f>
        <v>23.79</v>
      </c>
      <c r="Z52" s="963">
        <f>+'Gasolinas 2019'!H19</f>
        <v>21.799999999999997</v>
      </c>
      <c r="AA52" s="963">
        <f>+'Gasolinas 2020'!H18</f>
        <v>22.652499999999996</v>
      </c>
      <c r="AB52" s="963">
        <f>+'[6]Gasolineras 2022'!H19</f>
        <v>32.200000000000003</v>
      </c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</row>
    <row r="53" spans="1:39">
      <c r="A53" s="546" t="s">
        <v>43</v>
      </c>
      <c r="B53" s="548">
        <v>8.2899999999999991</v>
      </c>
      <c r="C53" s="548">
        <v>9.2100000000000009</v>
      </c>
      <c r="D53" s="548">
        <v>10.29</v>
      </c>
      <c r="E53" s="548">
        <v>10.46</v>
      </c>
      <c r="F53" s="548">
        <v>10.18</v>
      </c>
      <c r="G53" s="548">
        <v>14.39</v>
      </c>
      <c r="H53" s="963">
        <v>13.795</v>
      </c>
      <c r="I53" s="954">
        <v>12.17</v>
      </c>
      <c r="J53" s="963">
        <v>16.809999999999999</v>
      </c>
      <c r="K53" s="954">
        <v>17.454000000000001</v>
      </c>
      <c r="L53" s="963">
        <v>18.954999999999998</v>
      </c>
      <c r="M53" s="954">
        <v>21.35</v>
      </c>
      <c r="N53" s="963">
        <v>22.352499999999999</v>
      </c>
      <c r="O53" s="954">
        <v>29.242000000000001</v>
      </c>
      <c r="P53" s="963">
        <v>19.645999999999997</v>
      </c>
      <c r="Q53" s="954">
        <v>27.956</v>
      </c>
      <c r="R53" s="963">
        <v>33.517499999999998</v>
      </c>
      <c r="S53" s="954" t="e">
        <f>+'Gasolinas 2012'!#REF!</f>
        <v>#REF!</v>
      </c>
      <c r="T53" s="963">
        <f>+'Gasolinas 2013'!H24</f>
        <v>34.0075</v>
      </c>
      <c r="U53" s="954">
        <f>+'Gasolinas 2014'!H24</f>
        <v>33.119999999999997</v>
      </c>
      <c r="V53" s="963">
        <f>+'Gasolinas 2015'!H26</f>
        <v>23.208400000000001</v>
      </c>
      <c r="W53" s="954">
        <f>+'Gasolinas 2016'!H24</f>
        <v>23.734999999999999</v>
      </c>
      <c r="X53" s="963">
        <f>+'Gasolinas 2017'!H24</f>
        <v>25.057499999999997</v>
      </c>
      <c r="Y53" s="963">
        <f>+'Gasolinas 2018'!H24</f>
        <v>27.234999999999999</v>
      </c>
      <c r="Z53" s="963">
        <f>+'Gasolinas 2019'!H24</f>
        <v>27.397500000000001</v>
      </c>
      <c r="AA53" s="963">
        <f>+'Gasolinas 2020'!H24</f>
        <v>21.624000000000002</v>
      </c>
      <c r="AB53" s="963"/>
      <c r="AC53" s="75"/>
      <c r="AD53" s="75"/>
      <c r="AE53" s="75"/>
      <c r="AF53" s="75"/>
      <c r="AG53" s="75"/>
      <c r="AH53" s="75"/>
      <c r="AI53" s="75"/>
      <c r="AJ53" s="75"/>
      <c r="AK53" s="75"/>
      <c r="AL53" s="75"/>
      <c r="AM53" s="75"/>
    </row>
    <row r="54" spans="1:39">
      <c r="A54" s="546" t="s">
        <v>44</v>
      </c>
      <c r="B54" s="548">
        <v>8.49</v>
      </c>
      <c r="C54" s="548">
        <v>9.69</v>
      </c>
      <c r="D54" s="548">
        <v>10.29</v>
      </c>
      <c r="E54" s="548">
        <v>10.37</v>
      </c>
      <c r="F54" s="548">
        <v>11.03</v>
      </c>
      <c r="G54" s="548">
        <v>14.09</v>
      </c>
      <c r="H54" s="963">
        <v>13.71</v>
      </c>
      <c r="I54" s="954">
        <v>13.712</v>
      </c>
      <c r="J54" s="963">
        <v>15.96</v>
      </c>
      <c r="K54" s="954">
        <v>17.872499999999999</v>
      </c>
      <c r="L54" s="963">
        <v>21.18</v>
      </c>
      <c r="M54" s="954">
        <v>23.647500000000001</v>
      </c>
      <c r="N54" s="963">
        <v>24.7575</v>
      </c>
      <c r="O54" s="954">
        <v>30.67</v>
      </c>
      <c r="P54" s="963">
        <v>20.237500000000001</v>
      </c>
      <c r="Q54" s="954">
        <v>28.907499999999999</v>
      </c>
      <c r="R54" s="963">
        <v>34.527500000000003</v>
      </c>
      <c r="S54" s="954">
        <f>+'Gasolinas 2012'!H29</f>
        <v>36.543499999999995</v>
      </c>
      <c r="T54" s="963">
        <f>+'Gasolinas 2013'!H29</f>
        <v>32.017499999999998</v>
      </c>
      <c r="U54" s="954">
        <f>+'Gasolinas 2014'!H29</f>
        <v>33.072499999999998</v>
      </c>
      <c r="V54" s="963">
        <f>+'Gasolinas 2015'!H31</f>
        <v>32.799999999999997</v>
      </c>
      <c r="W54" s="954">
        <f>+'Gasolinas 2016'!H28</f>
        <v>19.986666666666665</v>
      </c>
      <c r="X54" s="963">
        <f>+'Gasolinas 2017'!H29</f>
        <v>21.8675</v>
      </c>
      <c r="Y54" s="963">
        <f>+'Gasolinas 2018'!H29</f>
        <v>24.212499999999999</v>
      </c>
      <c r="Z54" s="963">
        <f>+'Gasolinas 2019'!H30</f>
        <v>33.46</v>
      </c>
      <c r="AA54" s="963">
        <f>+'Gasolinas 2020'!H29</f>
        <v>16.872499999999999</v>
      </c>
      <c r="AB54" s="963"/>
      <c r="AC54" s="75"/>
      <c r="AD54" s="75"/>
      <c r="AE54" s="75"/>
      <c r="AF54" s="75"/>
      <c r="AG54" s="75"/>
      <c r="AH54" s="75"/>
      <c r="AI54" s="75"/>
      <c r="AJ54" s="75"/>
      <c r="AK54" s="75"/>
      <c r="AL54" s="75"/>
      <c r="AM54" s="75"/>
    </row>
    <row r="55" spans="1:39">
      <c r="A55" s="546" t="s">
        <v>45</v>
      </c>
      <c r="B55" s="548">
        <v>9.0399999999999991</v>
      </c>
      <c r="C55" s="548">
        <v>9.99</v>
      </c>
      <c r="D55" s="548">
        <v>10.33</v>
      </c>
      <c r="E55" s="548">
        <v>10.57</v>
      </c>
      <c r="F55" s="548">
        <v>11.54</v>
      </c>
      <c r="G55" s="548">
        <v>14.38</v>
      </c>
      <c r="H55" s="963">
        <v>14.796666666666665</v>
      </c>
      <c r="I55" s="954">
        <v>13.79</v>
      </c>
      <c r="J55" s="963">
        <v>14.942500000000001</v>
      </c>
      <c r="K55" s="954">
        <v>18.131999999999998</v>
      </c>
      <c r="L55" s="963">
        <v>21.728000000000002</v>
      </c>
      <c r="M55" s="954">
        <v>26.118000000000002</v>
      </c>
      <c r="N55" s="963">
        <v>26.673999999999999</v>
      </c>
      <c r="O55" s="954">
        <v>32.04</v>
      </c>
      <c r="P55" s="963">
        <v>21.47</v>
      </c>
      <c r="Q55" s="954">
        <v>28.31</v>
      </c>
      <c r="R55" s="963">
        <v>34.558</v>
      </c>
      <c r="S55" s="954">
        <f>+'Gasolinas 2012'!H34</f>
        <v>31.99</v>
      </c>
      <c r="T55" s="963">
        <f>+'Gasolinas 2013'!H34</f>
        <v>31.99</v>
      </c>
      <c r="U55" s="954">
        <f>+'Gasolinas 2014'!H34</f>
        <v>31.99</v>
      </c>
      <c r="V55" s="963">
        <f>+'Gasolinas 2015'!H36</f>
        <v>30.112500000000001</v>
      </c>
      <c r="W55" s="954">
        <f>+'Gasolinas 2016'!H34</f>
        <v>31.99</v>
      </c>
      <c r="X55" s="963">
        <f>+'Gasolinas 2017'!H35</f>
        <v>32.44</v>
      </c>
      <c r="Y55" s="963">
        <f>+'Gasolinas 2018'!H35</f>
        <v>32.44</v>
      </c>
      <c r="Z55" s="963">
        <f>+'Gasolinas 2019'!H35</f>
        <v>32.185000000000002</v>
      </c>
      <c r="AA55" s="963">
        <f>+'Gasolinas 2020'!H34</f>
        <v>16.655000000000001</v>
      </c>
      <c r="AB55" s="963"/>
      <c r="AC55" s="75"/>
      <c r="AD55" s="75"/>
      <c r="AE55" s="75"/>
      <c r="AF55" s="75"/>
      <c r="AG55" s="75"/>
      <c r="AH55" s="75"/>
      <c r="AI55" s="75"/>
      <c r="AJ55" s="75"/>
      <c r="AK55" s="75"/>
      <c r="AL55" s="75"/>
      <c r="AM55" s="75"/>
    </row>
    <row r="56" spans="1:39">
      <c r="A56" s="546" t="s">
        <v>46</v>
      </c>
      <c r="B56" s="548">
        <v>9.0500000000000007</v>
      </c>
      <c r="C56" s="548">
        <v>9.92</v>
      </c>
      <c r="D56" s="548">
        <v>10.4</v>
      </c>
      <c r="E56" s="548">
        <v>10.65</v>
      </c>
      <c r="F56" s="548">
        <v>11.53</v>
      </c>
      <c r="G56" s="548">
        <v>15.09</v>
      </c>
      <c r="H56" s="963">
        <v>14.9025</v>
      </c>
      <c r="I56" s="954">
        <v>13.615</v>
      </c>
      <c r="J56" s="963">
        <v>14.154999999999999</v>
      </c>
      <c r="K56" s="954">
        <v>18.414999999999999</v>
      </c>
      <c r="L56" s="963">
        <v>21.465</v>
      </c>
      <c r="M56" s="954">
        <v>25.945</v>
      </c>
      <c r="N56" s="963">
        <v>27.717500000000001</v>
      </c>
      <c r="O56" s="954">
        <v>34.484999999999999</v>
      </c>
      <c r="P56" s="963">
        <v>24.2</v>
      </c>
      <c r="Q56" s="954">
        <v>26.52</v>
      </c>
      <c r="R56" s="963">
        <v>33.67</v>
      </c>
      <c r="S56" s="954">
        <f>+'Gasolinas 2012'!H39</f>
        <v>32.51</v>
      </c>
      <c r="T56" s="963">
        <f>+'Gasolinas 2013'!H39</f>
        <v>32.015000000000001</v>
      </c>
      <c r="U56" s="954">
        <f>+'Gasolinas 2014'!H39</f>
        <v>33.105000000000004</v>
      </c>
      <c r="V56" s="963">
        <f>+'Gasolinas 2015'!H41</f>
        <v>24.802499999999998</v>
      </c>
      <c r="W56" s="954">
        <f>+'Gasolinas 2016'!H39</f>
        <v>21.3825</v>
      </c>
      <c r="X56" s="963">
        <f>+'Gasolinas 2017'!H40</f>
        <v>20.93</v>
      </c>
      <c r="Y56" s="963">
        <f>+'Gasolinas 2018'!H40</f>
        <v>25.967500000000001</v>
      </c>
      <c r="Z56" s="963">
        <f>+'Gasolinas 2019'!H40</f>
        <v>24.352499999999999</v>
      </c>
      <c r="AA56" s="963">
        <f>+'Gasolinas 2020'!H40</f>
        <v>19.18</v>
      </c>
      <c r="AB56" s="963"/>
      <c r="AC56" s="706"/>
      <c r="AD56" s="706"/>
      <c r="AE56" s="75"/>
      <c r="AF56" s="75"/>
      <c r="AG56" s="75"/>
      <c r="AH56" s="75"/>
      <c r="AI56" s="75"/>
      <c r="AJ56" s="75"/>
      <c r="AK56" s="75"/>
      <c r="AL56" s="75"/>
      <c r="AM56" s="75"/>
    </row>
    <row r="57" spans="1:39">
      <c r="A57" s="546" t="s">
        <v>47</v>
      </c>
      <c r="B57" s="548">
        <v>8.81</v>
      </c>
      <c r="C57" s="548">
        <v>9.82</v>
      </c>
      <c r="D57" s="548">
        <v>10.26</v>
      </c>
      <c r="E57" s="548">
        <v>10.56</v>
      </c>
      <c r="F57" s="548">
        <v>11.71</v>
      </c>
      <c r="G57" s="548">
        <v>15.11</v>
      </c>
      <c r="H57" s="963">
        <v>14.288</v>
      </c>
      <c r="I57" s="954">
        <v>14.08</v>
      </c>
      <c r="J57" s="963">
        <v>14.083999999999998</v>
      </c>
      <c r="K57" s="954">
        <v>18.399999999999999</v>
      </c>
      <c r="L57" s="963">
        <v>21.432500000000001</v>
      </c>
      <c r="M57" s="954">
        <v>25.788</v>
      </c>
      <c r="N57" s="963">
        <v>27.442499999999999</v>
      </c>
      <c r="O57" s="954">
        <v>35.386000000000003</v>
      </c>
      <c r="P57" s="963">
        <v>25.065999999999999</v>
      </c>
      <c r="Q57" s="954">
        <v>26.377500000000001</v>
      </c>
      <c r="R57" s="963">
        <v>33.895000000000003</v>
      </c>
      <c r="S57" s="954">
        <f>+'Gasolinas 2012'!G83</f>
        <v>34.217999999999996</v>
      </c>
      <c r="T57" s="963">
        <f>+'Gasolinas 2013'!H83</f>
        <v>33.375999999999998</v>
      </c>
      <c r="U57" s="954">
        <f>+'Gasolinas 2014'!H45</f>
        <v>33.331800000000001</v>
      </c>
      <c r="V57" s="963">
        <f>+'Gasolinas 2015'!H47</f>
        <v>24.884</v>
      </c>
      <c r="W57" s="954">
        <f>+'Gasolinas 2016'!H44</f>
        <v>20.2225</v>
      </c>
      <c r="X57" s="963">
        <f>+'Gasolinas 2017'!H46</f>
        <v>20.89</v>
      </c>
      <c r="Y57" s="963">
        <f>+'Gasolinas 2018'!H46</f>
        <v>25.891999999999996</v>
      </c>
      <c r="Z57" s="963">
        <f>+'Gasolinas 2019'!H46</f>
        <v>25.033999999999999</v>
      </c>
      <c r="AA57" s="963">
        <f>+'Gasolinas 2020'!H45</f>
        <v>20.692499999999999</v>
      </c>
      <c r="AB57" s="963"/>
      <c r="AC57" s="75"/>
      <c r="AD57" s="75"/>
      <c r="AE57" s="75"/>
      <c r="AF57" s="75"/>
      <c r="AG57" s="75"/>
      <c r="AH57" s="75"/>
      <c r="AI57" s="75"/>
      <c r="AJ57" s="75"/>
      <c r="AK57" s="75"/>
      <c r="AL57" s="75"/>
      <c r="AM57" s="75"/>
    </row>
    <row r="58" spans="1:39">
      <c r="A58" s="546" t="s">
        <v>48</v>
      </c>
      <c r="B58" s="548">
        <v>8.49</v>
      </c>
      <c r="C58" s="548">
        <v>9.8000000000000007</v>
      </c>
      <c r="D58" s="548">
        <v>10.36</v>
      </c>
      <c r="E58" s="548">
        <v>10.45</v>
      </c>
      <c r="F58" s="548">
        <v>12.19</v>
      </c>
      <c r="G58" s="548">
        <v>14.09</v>
      </c>
      <c r="H58" s="963">
        <v>13.492000000000001</v>
      </c>
      <c r="I58" s="954">
        <v>14.8775</v>
      </c>
      <c r="J58" s="963">
        <v>14.592499999999999</v>
      </c>
      <c r="K58" s="954">
        <v>18.22</v>
      </c>
      <c r="L58" s="963">
        <v>22.09</v>
      </c>
      <c r="M58" s="954">
        <v>27.352499999999999</v>
      </c>
      <c r="N58" s="963">
        <v>26.824000000000002</v>
      </c>
      <c r="O58" s="954">
        <v>34.734999999999999</v>
      </c>
      <c r="P58" s="963">
        <v>25.17</v>
      </c>
      <c r="Q58" s="954">
        <v>26.661999999999999</v>
      </c>
      <c r="R58" s="963">
        <v>34.037999999999997</v>
      </c>
      <c r="S58" s="954">
        <f>+'Gasolinas 2012'!H88</f>
        <v>34.129999999999995</v>
      </c>
      <c r="T58" s="963">
        <f>+'Gasolinas 2013'!H88</f>
        <v>34.082500000000003</v>
      </c>
      <c r="U58" s="954">
        <f>+'Gasolinas 2014'!D50</f>
        <v>32.537499999999994</v>
      </c>
      <c r="V58" s="963">
        <f>+'Gasolinas 2015'!H53</f>
        <v>22.881999999999998</v>
      </c>
      <c r="W58" s="954">
        <f>+'Gasolinas 2016'!H50</f>
        <v>20.053999999999998</v>
      </c>
      <c r="X58" s="963">
        <f>+'Gasolinas 2017'!H51</f>
        <v>21.549999999999997</v>
      </c>
      <c r="Y58" s="963">
        <f>+'Gasolinas 2018'!H51</f>
        <v>25.92</v>
      </c>
      <c r="Z58" s="963">
        <f>+'Gasolinas 2019'!H51</f>
        <v>23.965</v>
      </c>
      <c r="AA58" s="963">
        <f>+'Gasolinas 2020'!H51</f>
        <v>20.404000000000003</v>
      </c>
      <c r="AB58" s="963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</row>
    <row r="59" spans="1:39">
      <c r="A59" s="546" t="s">
        <v>49</v>
      </c>
      <c r="B59" s="548">
        <v>8.5299999999999994</v>
      </c>
      <c r="C59" s="548">
        <v>9.84</v>
      </c>
      <c r="D59" s="548">
        <v>10.63</v>
      </c>
      <c r="E59" s="548">
        <v>10.35</v>
      </c>
      <c r="F59" s="548">
        <v>12.42</v>
      </c>
      <c r="G59" s="548">
        <v>14.36</v>
      </c>
      <c r="H59" s="963">
        <v>13.59</v>
      </c>
      <c r="I59" s="954">
        <v>14.83</v>
      </c>
      <c r="J59" s="963">
        <v>16.052</v>
      </c>
      <c r="K59" s="954">
        <v>18.087499999999999</v>
      </c>
      <c r="L59" s="963">
        <v>24.662500000000001</v>
      </c>
      <c r="M59" s="954">
        <v>26.4575</v>
      </c>
      <c r="N59" s="963">
        <v>25.802499999999998</v>
      </c>
      <c r="O59" s="954">
        <v>33.784000000000006</v>
      </c>
      <c r="P59" s="963">
        <v>25.297499999999999</v>
      </c>
      <c r="Q59" s="954">
        <v>25.912500000000001</v>
      </c>
      <c r="R59" s="963">
        <v>33.642499999999998</v>
      </c>
      <c r="S59" s="954">
        <f>+'Gasolinas 2012'!H93</f>
        <v>36.274999999999999</v>
      </c>
      <c r="T59" s="963">
        <f>+'Gasolinas 2013'!H94</f>
        <v>33.761999999999993</v>
      </c>
      <c r="U59" s="954">
        <f>+'Gasolinas 2014'!H56</f>
        <v>30.812000000000001</v>
      </c>
      <c r="V59" s="963">
        <f>+'Gasolinas 2015'!H58</f>
        <v>20.942499999999999</v>
      </c>
      <c r="W59" s="954">
        <f>+'Gasolinas 2016'!H55</f>
        <v>20.664999999999999</v>
      </c>
      <c r="X59" s="963">
        <f>+'Gasolinas 2017'!H56</f>
        <v>23.125</v>
      </c>
      <c r="Y59" s="963">
        <f>+'Gasolinas 2018'!H56</f>
        <v>26.112500000000001</v>
      </c>
      <c r="Z59" s="963">
        <f>+'Gasolinas 2019'!H57</f>
        <v>23.788</v>
      </c>
      <c r="AA59" s="963">
        <f>+'Gasolinas 2020'!H56</f>
        <v>20.282499999999999</v>
      </c>
      <c r="AB59" s="963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</row>
    <row r="60" spans="1:39">
      <c r="A60" s="546" t="s">
        <v>50</v>
      </c>
      <c r="B60" s="548">
        <v>8.5500000000000007</v>
      </c>
      <c r="C60" s="548">
        <v>9.8699999999999992</v>
      </c>
      <c r="D60" s="548">
        <v>10.41</v>
      </c>
      <c r="E60" s="548">
        <v>10.43</v>
      </c>
      <c r="F60" s="548">
        <v>12.87</v>
      </c>
      <c r="G60" s="548">
        <v>14.85</v>
      </c>
      <c r="H60" s="963">
        <v>13.546000000000001</v>
      </c>
      <c r="I60" s="954">
        <v>15.22</v>
      </c>
      <c r="J60" s="963">
        <v>15.8025</v>
      </c>
      <c r="K60" s="954">
        <v>18.75</v>
      </c>
      <c r="L60" s="963">
        <v>26.334000000000003</v>
      </c>
      <c r="M60" s="954">
        <v>23.95</v>
      </c>
      <c r="N60" s="963">
        <v>26.046000000000003</v>
      </c>
      <c r="O60" s="954">
        <v>30.142499999999998</v>
      </c>
      <c r="P60" s="963">
        <v>24.6175</v>
      </c>
      <c r="Q60" s="954">
        <v>27.494</v>
      </c>
      <c r="R60" s="963">
        <v>33.025999999999996</v>
      </c>
      <c r="S60" s="954">
        <f>+'Gasolinas 2012'!H99</f>
        <v>35.225999999999999</v>
      </c>
      <c r="T60" s="963">
        <f>+'Gasolinas 2013'!H99</f>
        <v>31.8475</v>
      </c>
      <c r="U60" s="954">
        <f>+'Gasolinas 2014'!H61</f>
        <v>28.982500000000002</v>
      </c>
      <c r="V60" s="963">
        <f>+'Gasolinas 2015'!H63</f>
        <v>20.512500000000003</v>
      </c>
      <c r="W60" s="954">
        <f>+'Gasolinas 2016'!H61</f>
        <v>21.053999999999998</v>
      </c>
      <c r="X60" s="963">
        <f>+'Gasolinas 2017'!H62</f>
        <v>22.256</v>
      </c>
      <c r="Y60" s="963">
        <f>+'Gasolinas 2018'!H62</f>
        <v>26.477999999999998</v>
      </c>
      <c r="Z60" s="963">
        <f>+'Gasolinas 2019'!H62</f>
        <v>23.607500000000002</v>
      </c>
      <c r="AA60" s="963">
        <v>20.350000000000001</v>
      </c>
      <c r="AB60" s="963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</row>
    <row r="61" spans="1:39">
      <c r="A61" s="546" t="s">
        <v>51</v>
      </c>
      <c r="B61" s="548">
        <v>8.5</v>
      </c>
      <c r="C61" s="548">
        <v>9.9600000000000009</v>
      </c>
      <c r="D61" s="548">
        <v>10.27</v>
      </c>
      <c r="E61" s="548">
        <v>10.46</v>
      </c>
      <c r="F61" s="548">
        <v>12.89</v>
      </c>
      <c r="G61" s="548">
        <v>14.755000000000001</v>
      </c>
      <c r="H61" s="963">
        <v>13.1225</v>
      </c>
      <c r="I61" s="954">
        <v>15.335000000000001</v>
      </c>
      <c r="J61" s="963">
        <v>15.516666666666666</v>
      </c>
      <c r="K61" s="954">
        <v>19.55</v>
      </c>
      <c r="L61" s="963">
        <v>24.99</v>
      </c>
      <c r="M61" s="954">
        <v>22.43</v>
      </c>
      <c r="N61" s="963">
        <v>27.02</v>
      </c>
      <c r="O61" s="954">
        <v>24.787500000000001</v>
      </c>
      <c r="P61" s="963">
        <v>26.342000000000002</v>
      </c>
      <c r="Q61" s="954">
        <v>27.475999999999999</v>
      </c>
      <c r="R61" s="963">
        <v>33.494999999999997</v>
      </c>
      <c r="S61" s="954">
        <f>+'Gasolinas 2012'!H104</f>
        <v>32.252499999999998</v>
      </c>
      <c r="T61" s="963">
        <f>+'Gasolinas 2013'!H104</f>
        <v>30.71</v>
      </c>
      <c r="U61" s="954">
        <f>+'Gasolinas 2014'!H66</f>
        <v>27.02</v>
      </c>
      <c r="V61" s="963">
        <f>+'Gasolinas 2015'!H69</f>
        <v>19.637999999999998</v>
      </c>
      <c r="W61" s="954">
        <f>+'Gasolinas 2016'!H66</f>
        <v>20.352499999999999</v>
      </c>
      <c r="X61" s="963">
        <f>+'Gasolinas 2017'!H67</f>
        <v>23.247499999999999</v>
      </c>
      <c r="Y61" s="963">
        <f>+'Gasolinas 2018'!H67</f>
        <v>23.75</v>
      </c>
      <c r="Z61" s="963">
        <f>+'Gasolinas 2019'!H67</f>
        <v>23.57</v>
      </c>
      <c r="AA61" s="963">
        <v>19.309999999999999</v>
      </c>
      <c r="AB61" s="963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</row>
    <row r="62" spans="1:39" ht="13.5" thickBot="1">
      <c r="A62" s="546" t="s">
        <v>52</v>
      </c>
      <c r="B62" s="548">
        <v>8.51</v>
      </c>
      <c r="C62" s="548">
        <v>10.16</v>
      </c>
      <c r="D62" s="548">
        <v>10.27</v>
      </c>
      <c r="E62" s="548">
        <v>10.210000000000001</v>
      </c>
      <c r="F62" s="548">
        <v>13.53</v>
      </c>
      <c r="G62" s="548">
        <v>14.7475</v>
      </c>
      <c r="H62" s="964">
        <v>12.4275</v>
      </c>
      <c r="I62" s="954">
        <v>15.063999999999998</v>
      </c>
      <c r="J62" s="964">
        <v>15.062000000000001</v>
      </c>
      <c r="K62" s="954">
        <v>19.2</v>
      </c>
      <c r="L62" s="964">
        <v>22.42</v>
      </c>
      <c r="M62" s="954">
        <v>22.395</v>
      </c>
      <c r="N62" s="964">
        <v>27.9725</v>
      </c>
      <c r="O62" s="954">
        <v>21.3</v>
      </c>
      <c r="P62" s="964">
        <v>25.934999999999999</v>
      </c>
      <c r="Q62" s="954">
        <v>28.427499999999998</v>
      </c>
      <c r="R62" s="964">
        <v>32.265000000000001</v>
      </c>
      <c r="S62" s="954">
        <f>+'Gasolinas 2012'!H109</f>
        <v>32.25</v>
      </c>
      <c r="T62" s="964">
        <f>+'Gasolinas 2013'!H110</f>
        <v>32.832000000000001</v>
      </c>
      <c r="U62" s="954">
        <f>+'Gasolinas 2014'!H72</f>
        <v>23.602</v>
      </c>
      <c r="V62" s="964">
        <f>+'Gasolinas 2015'!H74</f>
        <v>18.689999999999998</v>
      </c>
      <c r="W62" s="954">
        <f>+'Gasolinas 2016'!H71</f>
        <v>21.299999999999997</v>
      </c>
      <c r="X62" s="964">
        <f>+'Gasolinas 2017'!H72</f>
        <v>23.2</v>
      </c>
      <c r="Y62" s="964">
        <f>+'Gasolinas 2018'!H72</f>
        <v>21.737499999999997</v>
      </c>
      <c r="Z62" s="964">
        <f>+'Gasolinas 2019'!H73</f>
        <v>23.536000000000001</v>
      </c>
      <c r="AA62" s="964">
        <f>+'Gasolinas 2020'!H72</f>
        <v>20.805</v>
      </c>
      <c r="AB62" s="964"/>
      <c r="AC62" s="75"/>
      <c r="AD62" s="75"/>
      <c r="AE62" s="75"/>
      <c r="AF62" s="75"/>
      <c r="AG62" s="75"/>
      <c r="AH62" s="75"/>
      <c r="AI62" s="75"/>
      <c r="AJ62" s="75"/>
      <c r="AK62" s="75"/>
      <c r="AL62" s="75"/>
      <c r="AM62" s="75"/>
    </row>
    <row r="63" spans="1:39" ht="17.25" customHeight="1" thickBot="1">
      <c r="A63" s="958" t="s">
        <v>7</v>
      </c>
      <c r="B63" s="959">
        <f t="shared" ref="B63:G63" si="3">AVERAGE(B51:B62)</f>
        <v>8.5183333333333326</v>
      </c>
      <c r="C63" s="959">
        <f t="shared" si="3"/>
        <v>9.6833333333333318</v>
      </c>
      <c r="D63" s="959">
        <f t="shared" si="3"/>
        <v>10.367499999999998</v>
      </c>
      <c r="E63" s="959">
        <f t="shared" si="3"/>
        <v>10.476666666666667</v>
      </c>
      <c r="F63" s="959">
        <f t="shared" si="3"/>
        <v>11.661666666666667</v>
      </c>
      <c r="G63" s="959">
        <f t="shared" si="3"/>
        <v>14.438541666666666</v>
      </c>
      <c r="H63" s="960">
        <f t="shared" ref="H63:U63" si="4">AVERAGE(H51:H62)</f>
        <v>13.78963888888889</v>
      </c>
      <c r="I63" s="960">
        <f t="shared" si="4"/>
        <v>13.898458333333332</v>
      </c>
      <c r="J63" s="960">
        <f t="shared" si="4"/>
        <v>15.304972222222224</v>
      </c>
      <c r="K63" s="960">
        <f t="shared" si="4"/>
        <v>18.031333333333333</v>
      </c>
      <c r="L63" s="960">
        <f t="shared" si="4"/>
        <v>21.772166666666667</v>
      </c>
      <c r="M63" s="960">
        <f t="shared" si="4"/>
        <v>24.066916666666668</v>
      </c>
      <c r="N63" s="960">
        <f t="shared" si="4"/>
        <v>25.49304166666667</v>
      </c>
      <c r="O63" s="960">
        <f t="shared" si="4"/>
        <v>30.196416666666664</v>
      </c>
      <c r="P63" s="960">
        <f t="shared" si="4"/>
        <v>23.175749999999997</v>
      </c>
      <c r="Q63" s="960">
        <f t="shared" si="4"/>
        <v>27.305666666666667</v>
      </c>
      <c r="R63" s="960">
        <f t="shared" si="4"/>
        <v>33.049958333333329</v>
      </c>
      <c r="S63" s="960" t="e">
        <f t="shared" si="4"/>
        <v>#REF!</v>
      </c>
      <c r="T63" s="960">
        <f t="shared" si="4"/>
        <v>32.67433333333333</v>
      </c>
      <c r="U63" s="960">
        <f t="shared" si="4"/>
        <v>30.98256666666666</v>
      </c>
      <c r="V63" s="960">
        <f t="shared" ref="V63:AB63" si="5">AVERAGE(V51:V62)</f>
        <v>24.607491666666665</v>
      </c>
      <c r="W63" s="960">
        <f t="shared" si="5"/>
        <v>21.324680555555556</v>
      </c>
      <c r="X63" s="960">
        <f t="shared" si="5"/>
        <v>23.20470833333334</v>
      </c>
      <c r="Y63" s="960">
        <f t="shared" si="5"/>
        <v>25.617250000000002</v>
      </c>
      <c r="Z63" s="960">
        <f t="shared" si="5"/>
        <v>25.305625000000003</v>
      </c>
      <c r="AA63" s="961">
        <f t="shared" si="5"/>
        <v>20.214000000000002</v>
      </c>
      <c r="AB63" s="961">
        <f t="shared" si="5"/>
        <v>27.068750000000001</v>
      </c>
      <c r="AC63" s="75"/>
      <c r="AD63" s="75"/>
      <c r="AE63" s="75"/>
      <c r="AF63" s="75"/>
      <c r="AG63" s="75"/>
      <c r="AH63" s="75"/>
      <c r="AI63" s="75"/>
      <c r="AJ63" s="75"/>
      <c r="AK63" s="75"/>
      <c r="AL63" s="75"/>
      <c r="AM63" s="75"/>
    </row>
    <row r="64" spans="1:39">
      <c r="A64" s="956"/>
      <c r="B64" s="548"/>
      <c r="C64" s="548"/>
      <c r="D64" s="548"/>
      <c r="E64" s="548"/>
      <c r="F64" s="548"/>
      <c r="G64" s="548"/>
      <c r="H64" s="548"/>
      <c r="I64" s="548"/>
      <c r="J64" s="548"/>
      <c r="K64" s="548"/>
      <c r="L64" s="548"/>
      <c r="M64" s="548"/>
      <c r="N64" s="548"/>
      <c r="O64" s="548"/>
      <c r="P64" s="548"/>
      <c r="Q64" s="548"/>
      <c r="R64" s="548"/>
      <c r="S64" s="548"/>
      <c r="T64" s="548"/>
      <c r="U64" s="548"/>
      <c r="V64" s="548"/>
      <c r="W64" s="548"/>
      <c r="X64" s="548"/>
      <c r="Y64" s="75"/>
      <c r="Z64" s="548"/>
      <c r="AA64" s="548"/>
      <c r="AB64" s="548"/>
      <c r="AC64" s="75"/>
      <c r="AD64" s="75"/>
      <c r="AE64" s="75"/>
      <c r="AF64" s="75"/>
      <c r="AG64" s="75"/>
      <c r="AH64" s="75"/>
      <c r="AI64" s="75"/>
      <c r="AJ64" s="75"/>
      <c r="AK64" s="75"/>
      <c r="AL64" s="75"/>
      <c r="AM64" s="75"/>
    </row>
    <row r="65" spans="1:40">
      <c r="A65" s="949" t="s">
        <v>521</v>
      </c>
      <c r="B65" s="548"/>
      <c r="C65" s="548"/>
      <c r="D65" s="548"/>
      <c r="E65" s="548"/>
      <c r="F65" s="548"/>
      <c r="G65" s="548"/>
      <c r="H65" s="548"/>
      <c r="I65" s="548"/>
      <c r="J65" s="548"/>
      <c r="K65" s="548"/>
      <c r="L65" s="548"/>
      <c r="M65" s="548"/>
      <c r="N65" s="548"/>
      <c r="O65" s="548"/>
      <c r="P65" s="548"/>
      <c r="Q65" s="548"/>
      <c r="R65" s="548"/>
      <c r="S65" s="548"/>
      <c r="T65" s="548"/>
      <c r="U65" s="548"/>
      <c r="V65" s="548"/>
      <c r="W65" s="548"/>
      <c r="X65" s="548"/>
      <c r="Y65" s="548"/>
      <c r="Z65" s="548"/>
      <c r="AA65" s="548"/>
      <c r="AB65" s="548"/>
      <c r="AC65" s="75"/>
      <c r="AD65" s="75"/>
      <c r="AE65" s="75"/>
      <c r="AF65" s="75"/>
      <c r="AG65" s="75"/>
      <c r="AH65" s="75"/>
      <c r="AI65" s="75"/>
      <c r="AJ65" s="75"/>
      <c r="AK65" s="75"/>
      <c r="AL65" s="75"/>
      <c r="AM65" s="75"/>
    </row>
    <row r="66" spans="1:40" ht="15.75" thickBot="1">
      <c r="A66" s="949"/>
      <c r="B66" s="1729" t="s">
        <v>2</v>
      </c>
      <c r="C66" s="1730"/>
      <c r="D66" s="1730"/>
      <c r="E66" s="1730"/>
      <c r="F66" s="1730"/>
      <c r="G66" s="1730"/>
      <c r="H66" s="1733" t="s">
        <v>576</v>
      </c>
      <c r="I66" s="1734"/>
      <c r="J66" s="1734"/>
      <c r="K66" s="1734"/>
      <c r="L66" s="1734"/>
      <c r="M66" s="1734"/>
      <c r="N66" s="1734"/>
      <c r="O66" s="1734"/>
      <c r="P66" s="1734"/>
      <c r="Q66" s="1734"/>
      <c r="R66" s="1734"/>
      <c r="S66" s="1734"/>
      <c r="T66" s="1734"/>
      <c r="U66" s="1734"/>
      <c r="V66" s="1734"/>
      <c r="W66" s="1735"/>
      <c r="X66" s="1734"/>
      <c r="Y66" s="548"/>
      <c r="Z66" s="548"/>
      <c r="AA66" s="548" t="s">
        <v>648</v>
      </c>
      <c r="AB66" s="548" t="s">
        <v>648</v>
      </c>
      <c r="AC66" s="75"/>
      <c r="AD66" s="75"/>
      <c r="AE66" s="75"/>
      <c r="AF66" s="75"/>
      <c r="AG66" s="75"/>
      <c r="AH66" s="75"/>
      <c r="AI66" s="75"/>
      <c r="AJ66" s="75"/>
      <c r="AK66" s="75"/>
      <c r="AL66" s="75"/>
      <c r="AM66" s="75"/>
    </row>
    <row r="67" spans="1:40">
      <c r="A67" s="1736" t="s">
        <v>517</v>
      </c>
      <c r="B67" s="549">
        <v>1995</v>
      </c>
      <c r="C67" s="549">
        <v>1996</v>
      </c>
      <c r="D67" s="549">
        <v>1997</v>
      </c>
      <c r="E67" s="549">
        <v>1998</v>
      </c>
      <c r="F67" s="549">
        <v>1999</v>
      </c>
      <c r="G67" s="549">
        <v>2000</v>
      </c>
      <c r="H67" s="1727">
        <v>2001</v>
      </c>
      <c r="I67" s="1727">
        <v>2002</v>
      </c>
      <c r="J67" s="1727">
        <v>2003</v>
      </c>
      <c r="K67" s="1727">
        <v>2004</v>
      </c>
      <c r="L67" s="1727">
        <v>2005</v>
      </c>
      <c r="M67" s="1727">
        <v>2006</v>
      </c>
      <c r="N67" s="1727">
        <v>2007</v>
      </c>
      <c r="O67" s="1727">
        <v>2008</v>
      </c>
      <c r="P67" s="1727">
        <v>2009</v>
      </c>
      <c r="Q67" s="1727">
        <v>2010</v>
      </c>
      <c r="R67" s="1727">
        <v>2011</v>
      </c>
      <c r="S67" s="1727">
        <f>+S9</f>
        <v>2012</v>
      </c>
      <c r="T67" s="1727">
        <v>2013</v>
      </c>
      <c r="U67" s="1727">
        <v>2014</v>
      </c>
      <c r="V67" s="1727">
        <v>2015</v>
      </c>
      <c r="W67" s="1739">
        <v>2016</v>
      </c>
      <c r="X67" s="1727">
        <v>2017</v>
      </c>
      <c r="Y67" s="1727">
        <v>2018</v>
      </c>
      <c r="Z67" s="1727">
        <v>2019</v>
      </c>
      <c r="AA67" s="1727">
        <v>2020</v>
      </c>
      <c r="AB67" s="1756">
        <v>2021</v>
      </c>
      <c r="AC67" s="75"/>
      <c r="AD67" s="75"/>
      <c r="AE67" s="75"/>
      <c r="AF67" s="75"/>
      <c r="AG67" s="75"/>
      <c r="AH67" s="75"/>
      <c r="AI67" s="75"/>
      <c r="AJ67" s="75"/>
      <c r="AK67" s="75"/>
      <c r="AL67" s="75"/>
      <c r="AM67" s="75"/>
    </row>
    <row r="68" spans="1:40" ht="13.5" thickBot="1">
      <c r="A68" s="1737"/>
      <c r="B68" s="887"/>
      <c r="C68" s="887"/>
      <c r="D68" s="887"/>
      <c r="E68" s="887"/>
      <c r="F68" s="887"/>
      <c r="G68" s="887"/>
      <c r="H68" s="1728"/>
      <c r="I68" s="1728"/>
      <c r="J68" s="1728"/>
      <c r="K68" s="1728"/>
      <c r="L68" s="1728"/>
      <c r="M68" s="1728"/>
      <c r="N68" s="1728"/>
      <c r="O68" s="1728"/>
      <c r="P68" s="1728"/>
      <c r="Q68" s="1728"/>
      <c r="R68" s="1728"/>
      <c r="S68" s="1728"/>
      <c r="T68" s="1728"/>
      <c r="U68" s="1728"/>
      <c r="V68" s="1728"/>
      <c r="W68" s="1740"/>
      <c r="X68" s="1728"/>
      <c r="Y68" s="1728"/>
      <c r="Z68" s="1728"/>
      <c r="AA68" s="1728"/>
      <c r="AB68" s="1757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</row>
    <row r="69" spans="1:40">
      <c r="A69" s="889" t="s">
        <v>41</v>
      </c>
      <c r="B69" s="548">
        <v>6.54</v>
      </c>
      <c r="C69" s="548">
        <v>7.39</v>
      </c>
      <c r="D69" s="548">
        <v>9.09</v>
      </c>
      <c r="E69" s="548">
        <v>8.2799999999999994</v>
      </c>
      <c r="F69" s="548">
        <v>7.14</v>
      </c>
      <c r="G69" s="548">
        <v>10.28</v>
      </c>
      <c r="H69" s="962">
        <v>11.326000000000001</v>
      </c>
      <c r="I69" s="954">
        <v>8.952</v>
      </c>
      <c r="J69" s="962">
        <v>10.4575</v>
      </c>
      <c r="K69" s="954">
        <v>12.187999999999999</v>
      </c>
      <c r="L69" s="962">
        <v>15.684000000000001</v>
      </c>
      <c r="M69" s="954">
        <v>19.59</v>
      </c>
      <c r="N69" s="962">
        <v>18.68</v>
      </c>
      <c r="O69" s="954">
        <v>26.015000000000001</v>
      </c>
      <c r="P69" s="962">
        <v>19.11</v>
      </c>
      <c r="Q69" s="954">
        <v>24.13</v>
      </c>
      <c r="R69" s="962">
        <v>27.502500000000001</v>
      </c>
      <c r="S69" s="954">
        <f>+'Gasolinas 2012'!I14</f>
        <v>30.690000000000005</v>
      </c>
      <c r="T69" s="962">
        <f>+'Gasolinas 2013'!I14</f>
        <v>31.744</v>
      </c>
      <c r="U69" s="954">
        <f>+'Gasolinas 2014'!I13</f>
        <v>31.295000000000002</v>
      </c>
      <c r="V69" s="1104">
        <f>+'Gasolinas 2015'!I15</f>
        <v>18.855</v>
      </c>
      <c r="W69" s="962">
        <f>+'Gasolinas 2016'!I13</f>
        <v>13.647500000000001</v>
      </c>
      <c r="X69" s="1105">
        <f>+'Gasolinas 2017'!I14</f>
        <v>18.348000000000003</v>
      </c>
      <c r="Y69" s="962">
        <f>+'Gasolinas 2018'!I14</f>
        <v>20.74</v>
      </c>
      <c r="Z69" s="962">
        <f>+'Gasolinas 2019'!I14</f>
        <v>19.869999999999997</v>
      </c>
      <c r="AA69" s="962">
        <f>+'Gasolinas 2020'!I13</f>
        <v>21.085000000000001</v>
      </c>
      <c r="AB69" s="962">
        <f>+'Gasolineras 2021'!I13</f>
        <v>18.017499999999998</v>
      </c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</row>
    <row r="70" spans="1:40">
      <c r="A70" s="546" t="s">
        <v>42</v>
      </c>
      <c r="B70" s="548">
        <v>6.63</v>
      </c>
      <c r="C70" s="548">
        <v>7.58</v>
      </c>
      <c r="D70" s="548">
        <v>9.15</v>
      </c>
      <c r="E70" s="548">
        <v>7.88</v>
      </c>
      <c r="F70" s="548">
        <v>7.14</v>
      </c>
      <c r="G70" s="548">
        <v>10.66</v>
      </c>
      <c r="H70" s="963">
        <v>11.092499999999999</v>
      </c>
      <c r="I70" s="954">
        <v>8.6549999999999994</v>
      </c>
      <c r="J70" s="963">
        <v>11.4975</v>
      </c>
      <c r="K70" s="954">
        <v>11.9</v>
      </c>
      <c r="L70" s="963">
        <v>15.102499999999999</v>
      </c>
      <c r="M70" s="954">
        <v>19.16</v>
      </c>
      <c r="N70" s="963">
        <v>17.642499999999998</v>
      </c>
      <c r="O70" s="954">
        <v>26.09</v>
      </c>
      <c r="P70" s="963">
        <v>17.9725</v>
      </c>
      <c r="Q70" s="954">
        <v>23.592500000000001</v>
      </c>
      <c r="R70" s="963">
        <v>28.35</v>
      </c>
      <c r="S70" s="954">
        <f>+'Gasolinas 2012'!I19</f>
        <v>32.2425</v>
      </c>
      <c r="T70" s="963">
        <f>+'Gasolinas 2013'!I19</f>
        <v>32.32</v>
      </c>
      <c r="U70" s="954">
        <f>+'Gasolinas 2014'!I18</f>
        <v>30.487500000000001</v>
      </c>
      <c r="V70" s="1099">
        <f>+'Gasolinas 2015'!I20</f>
        <v>36.090000000000003</v>
      </c>
      <c r="W70" s="963">
        <f>+'Gasolinas 2016'!I19</f>
        <v>13.02</v>
      </c>
      <c r="X70" s="957">
        <f>+'Gasolinas 2017'!I19</f>
        <v>17.89</v>
      </c>
      <c r="Y70" s="963">
        <f>+'Gasolinas 2018'!I19</f>
        <v>20.387500000000003</v>
      </c>
      <c r="Z70" s="963">
        <f>+'Gasolinas 2019'!I19</f>
        <v>21.092500000000001</v>
      </c>
      <c r="AA70" s="963">
        <f>+'Gasolinas 2020'!I18</f>
        <v>18.7425</v>
      </c>
      <c r="AB70" s="963">
        <f>+'[6]Gasolineras 2022'!I19</f>
        <v>29.29</v>
      </c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</row>
    <row r="71" spans="1:40">
      <c r="A71" s="546" t="s">
        <v>43</v>
      </c>
      <c r="B71" s="548">
        <v>6.59</v>
      </c>
      <c r="C71" s="548">
        <v>7.71</v>
      </c>
      <c r="D71" s="548">
        <v>8.81</v>
      </c>
      <c r="E71" s="548">
        <v>7.84</v>
      </c>
      <c r="F71" s="548">
        <v>7.26</v>
      </c>
      <c r="G71" s="548">
        <v>10.8</v>
      </c>
      <c r="H71" s="963">
        <v>10.762499999999999</v>
      </c>
      <c r="I71" s="954">
        <v>8.6850000000000005</v>
      </c>
      <c r="J71" s="963">
        <v>12.83</v>
      </c>
      <c r="K71" s="954">
        <v>12.17</v>
      </c>
      <c r="L71" s="963">
        <v>16.004999999999999</v>
      </c>
      <c r="M71" s="954">
        <v>18.510000000000002</v>
      </c>
      <c r="N71" s="963">
        <v>18.8</v>
      </c>
      <c r="O71" s="954">
        <v>27.838000000000001</v>
      </c>
      <c r="P71" s="963">
        <v>16.73</v>
      </c>
      <c r="Q71" s="954">
        <v>23.961999999999996</v>
      </c>
      <c r="R71" s="963">
        <v>31.395</v>
      </c>
      <c r="S71" s="954" t="e">
        <f>+'Gasolinas 2012'!#REF!</f>
        <v>#REF!</v>
      </c>
      <c r="T71" s="963">
        <f>+'Gasolinas 2013'!I24</f>
        <v>32.204999999999998</v>
      </c>
      <c r="U71" s="954">
        <f>+'Gasolinas 2014'!I24</f>
        <v>31.366000000000003</v>
      </c>
      <c r="V71" s="1099">
        <f>+'Gasolinas 2015'!I26</f>
        <v>20.91</v>
      </c>
      <c r="W71" s="963">
        <f>+'Gasolinas 2016'!I24</f>
        <v>20.4925</v>
      </c>
      <c r="X71" s="957">
        <f>+'Gasolinas 2017'!I24</f>
        <v>22.115000000000002</v>
      </c>
      <c r="Y71" s="963">
        <f>+'Gasolinas 2018'!I24</f>
        <v>24.02</v>
      </c>
      <c r="Z71" s="963">
        <f>+'Gasolinas 2019'!I24</f>
        <v>25.432500000000001</v>
      </c>
      <c r="AA71" s="963">
        <f>+'Gasolinas 2020'!I24</f>
        <v>17.107999999999997</v>
      </c>
      <c r="AB71" s="963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</row>
    <row r="72" spans="1:40">
      <c r="A72" s="546" t="s">
        <v>44</v>
      </c>
      <c r="B72" s="548">
        <v>6.62</v>
      </c>
      <c r="C72" s="548">
        <v>8.0500000000000007</v>
      </c>
      <c r="D72" s="548">
        <v>8.66</v>
      </c>
      <c r="E72" s="548">
        <v>7.81</v>
      </c>
      <c r="F72" s="548">
        <v>7.9</v>
      </c>
      <c r="G72" s="548">
        <v>10.43</v>
      </c>
      <c r="H72" s="963">
        <v>10.505000000000001</v>
      </c>
      <c r="I72" s="954">
        <v>9.3780000000000001</v>
      </c>
      <c r="J72" s="963">
        <v>12.2225</v>
      </c>
      <c r="K72" s="954">
        <v>13.712</v>
      </c>
      <c r="L72" s="963">
        <v>17.89</v>
      </c>
      <c r="M72" s="954">
        <v>19.352499999999999</v>
      </c>
      <c r="N72" s="963">
        <v>20.335000000000001</v>
      </c>
      <c r="O72" s="954">
        <v>30.4725</v>
      </c>
      <c r="P72" s="963">
        <v>16.594999999999999</v>
      </c>
      <c r="Q72" s="954">
        <v>24.56</v>
      </c>
      <c r="R72" s="963">
        <v>32.162500000000001</v>
      </c>
      <c r="S72" s="954">
        <f>+'Gasolinas 2012'!I29</f>
        <v>32.641499999999994</v>
      </c>
      <c r="T72" s="963">
        <f>+'Gasolinas 2013'!I29</f>
        <v>29.052499999999998</v>
      </c>
      <c r="U72" s="954">
        <f>+'Gasolinas 2014'!I29</f>
        <v>30.747800000000005</v>
      </c>
      <c r="V72" s="1099">
        <f>+'Gasolinas 2015'!I31</f>
        <v>27.68</v>
      </c>
      <c r="W72" s="963">
        <f>+'Gasolinas 2016'!I28</f>
        <v>15.06</v>
      </c>
      <c r="X72" s="957">
        <f>+'Gasolinas 2017'!I29</f>
        <v>17.594999999999999</v>
      </c>
      <c r="Y72" s="963">
        <f>+'Gasolinas 2018'!I29</f>
        <v>20.327500000000001</v>
      </c>
      <c r="Z72" s="963">
        <f>+'Gasolinas 2019'!I30</f>
        <v>28.43</v>
      </c>
      <c r="AA72" s="963">
        <f>+'Gasolinas 2020'!I29</f>
        <v>14.907499999999999</v>
      </c>
      <c r="AB72" s="963"/>
      <c r="AC72" s="75"/>
      <c r="AD72" s="75"/>
      <c r="AE72" s="75"/>
      <c r="AF72" s="75"/>
      <c r="AG72" s="75"/>
      <c r="AH72" s="75"/>
      <c r="AI72" s="75"/>
      <c r="AJ72" s="75"/>
      <c r="AK72" s="75"/>
      <c r="AL72" s="75"/>
      <c r="AM72" s="75"/>
      <c r="AN72" t="s">
        <v>586</v>
      </c>
    </row>
    <row r="73" spans="1:40">
      <c r="A73" s="546" t="s">
        <v>45</v>
      </c>
      <c r="B73" s="548">
        <v>6.78</v>
      </c>
      <c r="C73" s="548">
        <v>8.14</v>
      </c>
      <c r="D73" s="548">
        <v>8.43</v>
      </c>
      <c r="E73" s="548">
        <v>7.85</v>
      </c>
      <c r="F73" s="548">
        <v>8.1300000000000008</v>
      </c>
      <c r="G73" s="548">
        <v>10.27</v>
      </c>
      <c r="H73" s="963">
        <v>10.598333333333334</v>
      </c>
      <c r="I73" s="954">
        <v>9.4425000000000008</v>
      </c>
      <c r="J73" s="963">
        <v>10.6325</v>
      </c>
      <c r="K73" s="954">
        <v>13.79</v>
      </c>
      <c r="L73" s="963">
        <v>18.306000000000001</v>
      </c>
      <c r="M73" s="954">
        <v>20.378</v>
      </c>
      <c r="N73" s="963">
        <v>20.905999999999999</v>
      </c>
      <c r="O73" s="954">
        <v>32.31</v>
      </c>
      <c r="P73" s="963">
        <v>17.329999999999998</v>
      </c>
      <c r="Q73" s="954">
        <v>24.415999999999997</v>
      </c>
      <c r="R73" s="963">
        <v>31.948</v>
      </c>
      <c r="S73" s="954">
        <f>+'Gasolinas 2012'!I34</f>
        <v>27</v>
      </c>
      <c r="T73" s="963">
        <f>+'Gasolinas 2013'!I34</f>
        <v>27</v>
      </c>
      <c r="U73" s="954">
        <f>+'Gasolinas 2014'!I34</f>
        <v>27</v>
      </c>
      <c r="V73" s="1099">
        <f>+'Gasolinas 2015'!I36</f>
        <v>25.587499999999999</v>
      </c>
      <c r="W73" s="963">
        <f>+'Gasolinas 2016'!I34</f>
        <v>27</v>
      </c>
      <c r="X73" s="957">
        <f>+'Gasolinas 2017'!I35</f>
        <v>27.427999999999997</v>
      </c>
      <c r="Y73" s="963">
        <f>+'Gasolinas 2018'!I35</f>
        <v>27.427999999999997</v>
      </c>
      <c r="Z73" s="963">
        <f>+'Gasolinas 2019'!I35</f>
        <v>27.177500000000002</v>
      </c>
      <c r="AA73" s="963">
        <f>+'Gasolinas 2020'!I34</f>
        <v>14.092500000000001</v>
      </c>
      <c r="AB73" s="963"/>
      <c r="AC73" s="75"/>
      <c r="AD73" s="75"/>
      <c r="AE73" s="75"/>
      <c r="AF73" s="75"/>
      <c r="AG73" s="75"/>
      <c r="AH73" s="75"/>
      <c r="AI73" s="75"/>
      <c r="AJ73" s="75"/>
      <c r="AK73" s="75"/>
      <c r="AL73" s="75"/>
      <c r="AM73" s="75"/>
    </row>
    <row r="74" spans="1:40">
      <c r="A74" s="546" t="s">
        <v>46</v>
      </c>
      <c r="B74" s="548">
        <v>6.77</v>
      </c>
      <c r="C74" s="548">
        <v>8.02</v>
      </c>
      <c r="D74" s="548">
        <v>8.4499999999999993</v>
      </c>
      <c r="E74" s="548">
        <v>7.78</v>
      </c>
      <c r="F74" s="548">
        <v>8.1199999999999992</v>
      </c>
      <c r="G74" s="548">
        <v>10.27</v>
      </c>
      <c r="H74" s="963">
        <v>10.385</v>
      </c>
      <c r="I74" s="954">
        <v>9.3149999999999995</v>
      </c>
      <c r="J74" s="963">
        <v>9.4625000000000004</v>
      </c>
      <c r="K74" s="954">
        <v>13.615</v>
      </c>
      <c r="L74" s="963">
        <v>16.989999999999998</v>
      </c>
      <c r="M74" s="954">
        <v>20.482500000000002</v>
      </c>
      <c r="N74" s="963">
        <v>21.387499999999999</v>
      </c>
      <c r="O74" s="954">
        <v>36.155000000000001</v>
      </c>
      <c r="P74" s="963">
        <v>19.510000000000002</v>
      </c>
      <c r="Q74" s="954">
        <v>22.68</v>
      </c>
      <c r="R74" s="963">
        <v>30.954999999999998</v>
      </c>
      <c r="S74" s="954">
        <f>+'Gasolinas 2012'!I39</f>
        <v>28.734999999999999</v>
      </c>
      <c r="T74" s="963">
        <f>+'Gasolinas 2013'!I39</f>
        <v>28.020000000000003</v>
      </c>
      <c r="U74" s="954">
        <f>'Gasolinas 2014'!$I$39</f>
        <v>30.282499999999999</v>
      </c>
      <c r="V74" s="1099">
        <f>+'Gasolinas 2015'!I41</f>
        <v>20.7775</v>
      </c>
      <c r="W74" s="963">
        <f>+'Gasolinas 2016'!I39</f>
        <v>17.204999999999998</v>
      </c>
      <c r="X74" s="957">
        <f>+'Gasolinas 2017'!I40</f>
        <v>16.445</v>
      </c>
      <c r="Y74" s="963">
        <f>+'Gasolinas 2018'!I40</f>
        <v>22.1</v>
      </c>
      <c r="Z74" s="963">
        <f>+'Gasolinas 2019'!I40</f>
        <v>20.75</v>
      </c>
      <c r="AA74" s="963">
        <f>+'Gasolinas 2020'!I40</f>
        <v>15.337999999999999</v>
      </c>
      <c r="AB74" s="963"/>
      <c r="AC74" s="75"/>
      <c r="AD74" s="75"/>
      <c r="AE74" s="75"/>
      <c r="AF74" s="75"/>
      <c r="AG74" s="75"/>
      <c r="AH74" s="75"/>
      <c r="AI74" s="75"/>
      <c r="AJ74" s="75"/>
      <c r="AK74" s="75"/>
      <c r="AL74" s="75"/>
      <c r="AM74" s="75"/>
    </row>
    <row r="75" spans="1:40">
      <c r="A75" s="546" t="s">
        <v>47</v>
      </c>
      <c r="B75" s="548">
        <v>6.61</v>
      </c>
      <c r="C75" s="548">
        <v>7.9</v>
      </c>
      <c r="D75" s="548">
        <v>8.2799999999999994</v>
      </c>
      <c r="E75" s="548">
        <v>7.58</v>
      </c>
      <c r="F75" s="548">
        <v>8.2799999999999994</v>
      </c>
      <c r="G75" s="548">
        <v>10.46</v>
      </c>
      <c r="H75" s="963">
        <v>10.166</v>
      </c>
      <c r="I75" s="954">
        <v>9.4659999999999993</v>
      </c>
      <c r="J75" s="963">
        <v>9.5740000000000016</v>
      </c>
      <c r="K75" s="954">
        <v>14.08</v>
      </c>
      <c r="L75" s="963">
        <v>17.032499999999999</v>
      </c>
      <c r="M75" s="954">
        <v>20.571999999999999</v>
      </c>
      <c r="N75" s="963">
        <v>21.477499999999999</v>
      </c>
      <c r="O75" s="954">
        <v>36.951999999999998</v>
      </c>
      <c r="P75" s="963">
        <v>20.256</v>
      </c>
      <c r="Q75" s="954">
        <v>22.912500000000001</v>
      </c>
      <c r="R75" s="963">
        <v>31.1</v>
      </c>
      <c r="S75" s="954">
        <f>+'Gasolinas 2012'!I83</f>
        <v>29.304000000000002</v>
      </c>
      <c r="T75" s="963">
        <f>+'Gasolinas 2013'!I83</f>
        <v>30.242000000000001</v>
      </c>
      <c r="U75" s="954">
        <f>+'Gasolinas 2014'!I45</f>
        <v>30.142000000000003</v>
      </c>
      <c r="V75" s="1099">
        <f>+'Gasolinas 2015'!I47</f>
        <v>19.527999999999999</v>
      </c>
      <c r="W75" s="963">
        <f>+'Gasolinas 2016'!I44</f>
        <v>16.362499999999997</v>
      </c>
      <c r="X75" s="957">
        <f>+'Gasolinas 2017'!I46</f>
        <v>16.606000000000002</v>
      </c>
      <c r="Y75" s="963">
        <f>+'Gasolinas 2018'!I46</f>
        <v>22.095999999999997</v>
      </c>
      <c r="Z75" s="963">
        <f>+'Gasolinas 2019'!I46</f>
        <v>20.98</v>
      </c>
      <c r="AA75" s="963">
        <f>+'Gasolinas 2020'!I45</f>
        <v>16.342499999999998</v>
      </c>
      <c r="AB75" s="963"/>
      <c r="AC75" s="75"/>
      <c r="AD75" s="75"/>
      <c r="AE75" s="75"/>
      <c r="AF75" s="75"/>
      <c r="AG75" s="75"/>
      <c r="AH75" s="75"/>
      <c r="AI75" s="75"/>
      <c r="AJ75" s="75"/>
      <c r="AK75" s="75"/>
      <c r="AL75" s="75"/>
      <c r="AM75" s="75"/>
    </row>
    <row r="76" spans="1:40">
      <c r="A76" s="546" t="s">
        <v>48</v>
      </c>
      <c r="B76" s="548">
        <v>6.53</v>
      </c>
      <c r="C76" s="548">
        <v>7.89</v>
      </c>
      <c r="D76" s="548">
        <v>8.2200000000000006</v>
      </c>
      <c r="E76" s="548">
        <v>7.45</v>
      </c>
      <c r="F76" s="548">
        <v>8.6</v>
      </c>
      <c r="G76" s="548">
        <v>10.43</v>
      </c>
      <c r="H76" s="963">
        <v>10.022</v>
      </c>
      <c r="I76" s="954">
        <v>9.8450000000000006</v>
      </c>
      <c r="J76" s="963">
        <v>10.244999999999999</v>
      </c>
      <c r="K76" s="954">
        <v>14.8775</v>
      </c>
      <c r="L76" s="963">
        <v>17.63</v>
      </c>
      <c r="M76" s="954">
        <v>21.425000000000001</v>
      </c>
      <c r="N76" s="963">
        <v>21.61</v>
      </c>
      <c r="O76" s="954">
        <v>34.979999999999997</v>
      </c>
      <c r="P76" s="963">
        <v>21.41</v>
      </c>
      <c r="Q76" s="954">
        <v>23.165999999999997</v>
      </c>
      <c r="R76" s="963">
        <v>31.145999999999997</v>
      </c>
      <c r="S76" s="954">
        <f>+'Gasolinas 2012'!I88</f>
        <v>30.8825</v>
      </c>
      <c r="T76" s="963">
        <f>+'Gasolinas 2013'!I88</f>
        <v>30.689999999999998</v>
      </c>
      <c r="U76" s="954">
        <f>+'Gasolinas 2014'!E50</f>
        <v>30.414999999999999</v>
      </c>
      <c r="V76" s="963">
        <f>+'Gasolinas 2015'!I53</f>
        <v>17.398</v>
      </c>
      <c r="W76" s="963">
        <f>+'Gasolinas 2016'!I50</f>
        <v>16.218</v>
      </c>
      <c r="X76" s="957">
        <f>+'Gasolinas 2017'!I51</f>
        <v>17.547500000000003</v>
      </c>
      <c r="Y76" s="963">
        <f>+'Gasolinas 2018'!I51</f>
        <v>22.055</v>
      </c>
      <c r="Z76" s="963">
        <f>+'Gasolinas 2019'!I51</f>
        <v>20.205000000000002</v>
      </c>
      <c r="AA76" s="963">
        <f>+'Gasolinas 2020'!I51</f>
        <v>16.622</v>
      </c>
      <c r="AB76" s="963"/>
      <c r="AC76" s="75"/>
      <c r="AD76" s="75"/>
      <c r="AE76" s="75"/>
      <c r="AF76" s="75"/>
      <c r="AG76" s="75"/>
      <c r="AH76" s="75"/>
      <c r="AI76" s="75"/>
      <c r="AJ76" s="75"/>
      <c r="AK76" s="75"/>
      <c r="AL76" s="75"/>
      <c r="AM76" s="75"/>
    </row>
    <row r="77" spans="1:40">
      <c r="A77" s="546" t="s">
        <v>49</v>
      </c>
      <c r="B77" s="548">
        <v>6.65</v>
      </c>
      <c r="C77" s="548">
        <v>7.99</v>
      </c>
      <c r="D77" s="548">
        <v>8.31</v>
      </c>
      <c r="E77" s="548">
        <v>7.35</v>
      </c>
      <c r="F77" s="548">
        <v>8.99</v>
      </c>
      <c r="G77" s="548">
        <v>11.04</v>
      </c>
      <c r="H77" s="963">
        <v>10.1425</v>
      </c>
      <c r="I77" s="954">
        <v>9.81</v>
      </c>
      <c r="J77" s="963">
        <v>10.916</v>
      </c>
      <c r="K77" s="954">
        <v>14.83</v>
      </c>
      <c r="L77" s="963">
        <v>19.012499999999999</v>
      </c>
      <c r="M77" s="954">
        <v>20.984999999999999</v>
      </c>
      <c r="N77" s="963">
        <v>21.24</v>
      </c>
      <c r="O77" s="954">
        <v>32.465999999999994</v>
      </c>
      <c r="P77" s="963">
        <v>21.4575</v>
      </c>
      <c r="Q77" s="954">
        <v>22.594999999999999</v>
      </c>
      <c r="R77" s="963">
        <v>30.74</v>
      </c>
      <c r="S77" s="954">
        <f>+'Gasolinas 2012'!I93</f>
        <v>33.005000000000003</v>
      </c>
      <c r="T77" s="963">
        <f>+'Gasolinas 2013'!I94</f>
        <v>31.768000000000001</v>
      </c>
      <c r="U77" s="954">
        <f>+'Gasolinas 2014'!I56</f>
        <v>28.695999999999998</v>
      </c>
      <c r="V77" s="963">
        <f>+'Gasolinas 2015'!I58</f>
        <v>17.625</v>
      </c>
      <c r="W77" s="963">
        <f>+'Gasolinas 2016'!I55</f>
        <v>16.8825</v>
      </c>
      <c r="X77" s="957">
        <f>+'Gasolinas 2017'!I56</f>
        <v>18.302500000000002</v>
      </c>
      <c r="Y77" s="963">
        <f>+'Gasolinas 2018'!I56</f>
        <v>22.974999999999998</v>
      </c>
      <c r="Z77" s="963">
        <f>+'Gasolinas 2019'!I57</f>
        <v>20.988</v>
      </c>
      <c r="AA77" s="963">
        <f>+'Gasolinas 2020'!I56</f>
        <v>15.447500000000002</v>
      </c>
      <c r="AB77" s="963"/>
      <c r="AC77" s="75"/>
      <c r="AD77" s="75"/>
      <c r="AE77" s="75"/>
      <c r="AF77" s="75"/>
      <c r="AG77" s="75"/>
      <c r="AH77" s="75"/>
      <c r="AI77" s="75"/>
      <c r="AJ77" s="75"/>
      <c r="AK77" s="75"/>
      <c r="AL77" s="75"/>
      <c r="AM77" s="75"/>
    </row>
    <row r="78" spans="1:40">
      <c r="A78" s="546" t="s">
        <v>50</v>
      </c>
      <c r="B78" s="548">
        <v>6.71</v>
      </c>
      <c r="C78" s="548">
        <v>8.24</v>
      </c>
      <c r="D78" s="548">
        <v>8.31</v>
      </c>
      <c r="E78" s="548">
        <v>7.48</v>
      </c>
      <c r="F78" s="548">
        <v>9.36</v>
      </c>
      <c r="G78" s="548">
        <v>11.956</v>
      </c>
      <c r="H78" s="963">
        <v>10.133999999999999</v>
      </c>
      <c r="I78" s="954">
        <v>10.065</v>
      </c>
      <c r="J78" s="963">
        <v>10.5625</v>
      </c>
      <c r="K78" s="954">
        <v>15.22</v>
      </c>
      <c r="L78" s="963">
        <v>20.271999999999998</v>
      </c>
      <c r="M78" s="954">
        <v>19.73</v>
      </c>
      <c r="N78" s="963">
        <v>22.768000000000001</v>
      </c>
      <c r="O78" s="954">
        <v>28.875</v>
      </c>
      <c r="P78" s="963">
        <v>20.967500000000001</v>
      </c>
      <c r="Q78" s="954">
        <v>24.55</v>
      </c>
      <c r="R78" s="963">
        <v>30.477999999999998</v>
      </c>
      <c r="S78" s="954">
        <f>+'Gasolinas 2012'!I99</f>
        <v>32.47</v>
      </c>
      <c r="T78" s="963">
        <f>+'Gasolinas 2013'!I99</f>
        <v>30.567499999999999</v>
      </c>
      <c r="U78" s="954">
        <f>+'Gasolinas 2014'!I61</f>
        <v>26.8475</v>
      </c>
      <c r="V78" s="963">
        <f>+'Gasolinas 2015'!I63</f>
        <v>17.650000000000002</v>
      </c>
      <c r="W78" s="963">
        <f>+'Gasolinas 2016'!I61</f>
        <v>17.572000000000003</v>
      </c>
      <c r="X78" s="957">
        <f>+'Gasolinas 2017'!I62</f>
        <v>19.102</v>
      </c>
      <c r="Y78" s="963">
        <f>+'Gasolinas 2018'!I62</f>
        <v>24.192</v>
      </c>
      <c r="Z78" s="963">
        <f>+'Gasolinas 2019'!I61</f>
        <v>21.2</v>
      </c>
      <c r="AA78" s="963">
        <v>15.01</v>
      </c>
      <c r="AB78" s="963"/>
      <c r="AC78" s="75"/>
      <c r="AD78" s="75"/>
      <c r="AE78" s="75"/>
      <c r="AF78" s="75"/>
      <c r="AG78" s="75"/>
      <c r="AH78" s="75"/>
      <c r="AI78" s="75"/>
      <c r="AJ78" s="75"/>
      <c r="AK78" s="75"/>
      <c r="AL78" s="75"/>
      <c r="AM78" s="75"/>
    </row>
    <row r="79" spans="1:40">
      <c r="A79" s="546" t="s">
        <v>51</v>
      </c>
      <c r="B79" s="548">
        <v>6.77</v>
      </c>
      <c r="C79" s="548">
        <v>8.7100000000000009</v>
      </c>
      <c r="D79" s="548">
        <v>8.36</v>
      </c>
      <c r="E79" s="548">
        <v>7.56</v>
      </c>
      <c r="F79" s="548">
        <v>9.44</v>
      </c>
      <c r="G79" s="548">
        <v>12.13</v>
      </c>
      <c r="H79" s="963">
        <v>9.93</v>
      </c>
      <c r="I79" s="954">
        <v>10.1425</v>
      </c>
      <c r="J79" s="963">
        <v>10.72</v>
      </c>
      <c r="K79" s="954">
        <v>15.335000000000001</v>
      </c>
      <c r="L79" s="963">
        <v>20.85</v>
      </c>
      <c r="M79" s="954">
        <v>18.760000000000002</v>
      </c>
      <c r="N79" s="963">
        <v>25.002500000000001</v>
      </c>
      <c r="O79" s="954">
        <v>24.715</v>
      </c>
      <c r="P79" s="963">
        <v>23.128000000000004</v>
      </c>
      <c r="Q79" s="954">
        <v>25.166000000000004</v>
      </c>
      <c r="R79" s="963">
        <v>31.8675</v>
      </c>
      <c r="S79" s="954">
        <f>+'Gasolinas 2012'!I104</f>
        <v>30.884999999999998</v>
      </c>
      <c r="T79" s="963">
        <f>+'Gasolinas 2013'!I104</f>
        <v>30.477499999999999</v>
      </c>
      <c r="U79" s="954">
        <f>+'Gasolinas 2014'!I66</f>
        <v>25.09</v>
      </c>
      <c r="V79" s="963">
        <f>+'Gasolinas 2015'!I69</f>
        <v>17.213999999999999</v>
      </c>
      <c r="W79" s="963">
        <f>+'Gasolinas 2016'!I66</f>
        <v>17.175000000000001</v>
      </c>
      <c r="X79" s="957">
        <f>+'Gasolinas 2017'!I67</f>
        <v>19.93</v>
      </c>
      <c r="Y79" s="963">
        <f>+'Gasolinas 2018'!I67</f>
        <v>22.872500000000002</v>
      </c>
      <c r="Z79" s="963">
        <f>+'Gasolinas 2019'!I67</f>
        <v>20.932500000000001</v>
      </c>
      <c r="AA79" s="963">
        <v>15.07</v>
      </c>
      <c r="AB79" s="963"/>
      <c r="AC79" s="75"/>
      <c r="AD79" s="75"/>
      <c r="AE79" s="75"/>
      <c r="AF79" s="75"/>
      <c r="AG79" s="75"/>
      <c r="AH79" s="75"/>
      <c r="AI79" s="75"/>
      <c r="AJ79" s="75"/>
      <c r="AK79" s="75"/>
      <c r="AL79" s="75"/>
      <c r="AM79" s="75"/>
    </row>
    <row r="80" spans="1:40" ht="13.5" thickBot="1">
      <c r="A80" s="546" t="s">
        <v>52</v>
      </c>
      <c r="B80" s="548">
        <v>6.97</v>
      </c>
      <c r="C80" s="548">
        <v>8.89</v>
      </c>
      <c r="D80" s="548">
        <v>8.58</v>
      </c>
      <c r="E80" s="548">
        <v>7.35</v>
      </c>
      <c r="F80" s="548">
        <v>10.1</v>
      </c>
      <c r="G80" s="548">
        <v>12.205</v>
      </c>
      <c r="H80" s="964">
        <v>9.3949999999999996</v>
      </c>
      <c r="I80" s="954">
        <v>10.064</v>
      </c>
      <c r="J80" s="964">
        <v>11</v>
      </c>
      <c r="K80" s="954">
        <v>15.063999999999998</v>
      </c>
      <c r="L80" s="964">
        <v>20.434999999999999</v>
      </c>
      <c r="M80" s="954">
        <v>18.63</v>
      </c>
      <c r="N80" s="964">
        <v>25.927499999999998</v>
      </c>
      <c r="O80" s="954">
        <v>20.706</v>
      </c>
      <c r="P80" s="964">
        <v>23.052499999999998</v>
      </c>
      <c r="Q80" s="954">
        <v>26.65</v>
      </c>
      <c r="R80" s="964">
        <v>30.642499999999998</v>
      </c>
      <c r="S80" s="954">
        <f>+'Gasolinas 2012'!I109</f>
        <v>32.167499999999997</v>
      </c>
      <c r="T80" s="964">
        <f>+'Gasolinas 2013'!I110</f>
        <v>31.6</v>
      </c>
      <c r="U80" s="954">
        <f>+'Gasolinas 2014'!I72</f>
        <v>22.27</v>
      </c>
      <c r="V80" s="964">
        <f>+'Gasolinas 2015'!I74</f>
        <v>15.404999999999999</v>
      </c>
      <c r="W80" s="964">
        <f>+'Gasolinas 2016'!I71</f>
        <v>18.149999999999999</v>
      </c>
      <c r="X80" s="1103">
        <f>+'Gasolinas 2017'!I72</f>
        <v>20.072499999999998</v>
      </c>
      <c r="Y80" s="964">
        <f>+'Gasolinas 2018'!I72</f>
        <v>20.7225</v>
      </c>
      <c r="Z80" s="964">
        <f>+'Gasolinas 2019'!I73</f>
        <v>21.088000000000001</v>
      </c>
      <c r="AA80" s="964">
        <f>+'Gasolinas 2020'!I72</f>
        <v>17.225000000000001</v>
      </c>
      <c r="AB80" s="964"/>
      <c r="AC80" s="75"/>
      <c r="AD80" s="75"/>
      <c r="AE80" s="75"/>
      <c r="AF80" s="75"/>
      <c r="AG80" s="75"/>
      <c r="AH80" s="75"/>
      <c r="AI80" s="75"/>
      <c r="AJ80" s="75"/>
      <c r="AK80" s="75"/>
      <c r="AL80" s="75"/>
      <c r="AM80" s="75"/>
    </row>
    <row r="81" spans="1:39" ht="21" customHeight="1" thickBot="1">
      <c r="A81" s="958" t="s">
        <v>7</v>
      </c>
      <c r="B81" s="959">
        <f t="shared" ref="B81:G81" si="6">AVERAGE(B69:B80)</f>
        <v>6.6808333333333323</v>
      </c>
      <c r="C81" s="959">
        <f t="shared" si="6"/>
        <v>8.0425000000000004</v>
      </c>
      <c r="D81" s="959">
        <f t="shared" si="6"/>
        <v>8.5541666666666671</v>
      </c>
      <c r="E81" s="959">
        <f t="shared" si="6"/>
        <v>7.6841666666666661</v>
      </c>
      <c r="F81" s="959">
        <f t="shared" si="6"/>
        <v>8.3716666666666661</v>
      </c>
      <c r="G81" s="959">
        <f t="shared" si="6"/>
        <v>10.910916666666665</v>
      </c>
      <c r="H81" s="960">
        <f t="shared" ref="H81:U81" si="7">AVERAGE(H69:H80)</f>
        <v>10.371569444444445</v>
      </c>
      <c r="I81" s="960">
        <f t="shared" si="7"/>
        <v>9.4849999999999994</v>
      </c>
      <c r="J81" s="960">
        <f t="shared" si="7"/>
        <v>10.843333333333334</v>
      </c>
      <c r="K81" s="960">
        <f t="shared" si="7"/>
        <v>13.898458333333332</v>
      </c>
      <c r="L81" s="960">
        <f t="shared" si="7"/>
        <v>17.934124999999998</v>
      </c>
      <c r="M81" s="960">
        <f t="shared" si="7"/>
        <v>19.797916666666669</v>
      </c>
      <c r="N81" s="960">
        <f t="shared" si="7"/>
        <v>21.314708333333336</v>
      </c>
      <c r="O81" s="960">
        <f t="shared" si="7"/>
        <v>29.797875000000001</v>
      </c>
      <c r="P81" s="960">
        <f t="shared" si="7"/>
        <v>19.793250000000004</v>
      </c>
      <c r="Q81" s="960">
        <f t="shared" si="7"/>
        <v>24.031666666666666</v>
      </c>
      <c r="R81" s="960">
        <f t="shared" si="7"/>
        <v>30.690583333333333</v>
      </c>
      <c r="S81" s="960" t="e">
        <f t="shared" si="7"/>
        <v>#REF!</v>
      </c>
      <c r="T81" s="960">
        <f t="shared" si="7"/>
        <v>30.473875000000003</v>
      </c>
      <c r="U81" s="960">
        <f t="shared" si="7"/>
        <v>28.71994166666666</v>
      </c>
      <c r="V81" s="960">
        <f t="shared" ref="V81:AB81" si="8">AVERAGE(V69:V80)</f>
        <v>21.226666666666667</v>
      </c>
      <c r="W81" s="960">
        <f t="shared" si="8"/>
        <v>17.39875</v>
      </c>
      <c r="X81" s="960">
        <f t="shared" si="8"/>
        <v>19.281791666666667</v>
      </c>
      <c r="Y81" s="960">
        <f t="shared" si="8"/>
        <v>22.492999999999999</v>
      </c>
      <c r="Z81" s="960">
        <f t="shared" si="8"/>
        <v>22.345500000000001</v>
      </c>
      <c r="AA81" s="961">
        <f t="shared" si="8"/>
        <v>16.415874999999996</v>
      </c>
      <c r="AB81" s="961">
        <f t="shared" si="8"/>
        <v>23.653749999999999</v>
      </c>
      <c r="AC81" s="75"/>
      <c r="AD81" s="75"/>
      <c r="AE81" s="75"/>
      <c r="AF81" s="75"/>
      <c r="AG81" s="75"/>
      <c r="AH81" s="75"/>
      <c r="AI81" s="75"/>
      <c r="AJ81" s="75"/>
      <c r="AK81" s="75"/>
      <c r="AL81" s="75"/>
      <c r="AM81" s="75"/>
    </row>
    <row r="82" spans="1:39">
      <c r="A82" s="895"/>
      <c r="B82" s="895"/>
      <c r="C82" s="895"/>
      <c r="D82" s="895"/>
      <c r="E82" s="895"/>
      <c r="F82" s="895"/>
      <c r="G82" s="895"/>
      <c r="H82" s="895"/>
      <c r="I82" s="899"/>
      <c r="J82" s="899"/>
      <c r="K82" s="899"/>
      <c r="L82" s="899"/>
      <c r="M82" s="899"/>
      <c r="N82" s="899"/>
      <c r="O82" s="899"/>
      <c r="P82" s="899"/>
      <c r="Q82" s="899"/>
      <c r="R82" s="899"/>
      <c r="S82" s="899"/>
      <c r="T82" s="899"/>
      <c r="U82" s="899"/>
      <c r="V82" s="899"/>
      <c r="W82" s="548"/>
      <c r="X82" s="548"/>
      <c r="Y82" s="548"/>
      <c r="Z82" s="548"/>
      <c r="AA82" s="548"/>
      <c r="AB82" s="548"/>
      <c r="AC82" s="75"/>
      <c r="AD82" s="75"/>
      <c r="AE82" s="75"/>
      <c r="AF82" s="75"/>
      <c r="AG82" s="75"/>
      <c r="AH82" s="75"/>
      <c r="AI82" s="75"/>
      <c r="AJ82" s="75"/>
      <c r="AK82" s="75"/>
      <c r="AL82" s="75"/>
      <c r="AM82" s="75"/>
    </row>
    <row r="83" spans="1:39">
      <c r="A83" s="1707" t="s">
        <v>563</v>
      </c>
      <c r="B83" s="1707"/>
      <c r="C83" s="1707"/>
      <c r="D83" s="1707"/>
      <c r="E83" s="1707"/>
      <c r="F83" s="1707"/>
      <c r="G83" s="1707"/>
      <c r="H83" s="1708"/>
      <c r="I83" s="1708"/>
      <c r="J83" s="1708"/>
      <c r="K83" s="1708"/>
      <c r="L83" s="1708"/>
      <c r="M83" s="1708"/>
      <c r="N83" s="1708"/>
      <c r="O83" s="1708"/>
      <c r="P83" s="1708"/>
      <c r="Q83" s="1708"/>
      <c r="R83" s="1708"/>
      <c r="S83" s="1708"/>
      <c r="T83" s="1708"/>
      <c r="U83" s="1708"/>
      <c r="V83" s="1708"/>
      <c r="W83" s="1708"/>
      <c r="X83" s="548"/>
      <c r="Y83" s="548"/>
      <c r="Z83" s="548"/>
      <c r="AA83" s="75"/>
      <c r="AB83" s="548"/>
      <c r="AC83" s="75"/>
      <c r="AD83" s="75"/>
      <c r="AE83" s="75"/>
      <c r="AF83" s="75"/>
      <c r="AG83" s="75"/>
      <c r="AH83" s="75"/>
      <c r="AI83" s="75"/>
      <c r="AJ83" s="75"/>
      <c r="AK83" s="75"/>
      <c r="AL83" s="75"/>
      <c r="AM83" s="75"/>
    </row>
    <row r="84" spans="1:39">
      <c r="U84" t="s">
        <v>148</v>
      </c>
    </row>
  </sheetData>
  <mergeCells count="105">
    <mergeCell ref="AB9:AB10"/>
    <mergeCell ref="AB26:AB27"/>
    <mergeCell ref="AB49:AB50"/>
    <mergeCell ref="AB67:AB68"/>
    <mergeCell ref="AA9:AA10"/>
    <mergeCell ref="AA26:AA27"/>
    <mergeCell ref="AA49:AA50"/>
    <mergeCell ref="AA67:AA68"/>
    <mergeCell ref="AA5:AM5"/>
    <mergeCell ref="A6:Z6"/>
    <mergeCell ref="A7:Z7"/>
    <mergeCell ref="Z26:Z27"/>
    <mergeCell ref="Z49:Z50"/>
    <mergeCell ref="J49:J50"/>
    <mergeCell ref="K49:K50"/>
    <mergeCell ref="P9:P10"/>
    <mergeCell ref="V26:V27"/>
    <mergeCell ref="O26:O27"/>
    <mergeCell ref="M9:M10"/>
    <mergeCell ref="N9:N10"/>
    <mergeCell ref="U9:U10"/>
    <mergeCell ref="V9:V10"/>
    <mergeCell ref="R9:R10"/>
    <mergeCell ref="Q9:Q10"/>
    <mergeCell ref="X9:X10"/>
    <mergeCell ref="X26:X27"/>
    <mergeCell ref="W9:W10"/>
    <mergeCell ref="T9:T10"/>
    <mergeCell ref="U26:U27"/>
    <mergeCell ref="A42:W42"/>
    <mergeCell ref="X49:X50"/>
    <mergeCell ref="I9:I10"/>
    <mergeCell ref="J9:J10"/>
    <mergeCell ref="Z67:Z68"/>
    <mergeCell ref="R67:R68"/>
    <mergeCell ref="S67:S68"/>
    <mergeCell ref="T67:T68"/>
    <mergeCell ref="A1:Z1"/>
    <mergeCell ref="A2:Z2"/>
    <mergeCell ref="A3:Z3"/>
    <mergeCell ref="A4:Z4"/>
    <mergeCell ref="A5:Z5"/>
    <mergeCell ref="P49:P50"/>
    <mergeCell ref="S49:S50"/>
    <mergeCell ref="A43:V43"/>
    <mergeCell ref="A44:V44"/>
    <mergeCell ref="T49:T50"/>
    <mergeCell ref="A49:A50"/>
    <mergeCell ref="I49:I50"/>
    <mergeCell ref="W49:W50"/>
    <mergeCell ref="Y9:Y10"/>
    <mergeCell ref="Y26:Y27"/>
    <mergeCell ref="A9:A10"/>
    <mergeCell ref="Z9:Z10"/>
    <mergeCell ref="Y49:Y50"/>
    <mergeCell ref="H9:H10"/>
    <mergeCell ref="S9:S10"/>
    <mergeCell ref="A83:W83"/>
    <mergeCell ref="H49:H50"/>
    <mergeCell ref="H67:H68"/>
    <mergeCell ref="A26:A27"/>
    <mergeCell ref="I26:I27"/>
    <mergeCell ref="J26:J27"/>
    <mergeCell ref="K26:K27"/>
    <mergeCell ref="L26:L27"/>
    <mergeCell ref="H26:H27"/>
    <mergeCell ref="S26:S27"/>
    <mergeCell ref="T26:T27"/>
    <mergeCell ref="V49:V50"/>
    <mergeCell ref="W26:W27"/>
    <mergeCell ref="W67:W68"/>
    <mergeCell ref="U67:U68"/>
    <mergeCell ref="V67:V68"/>
    <mergeCell ref="K9:K10"/>
    <mergeCell ref="L9:L10"/>
    <mergeCell ref="O9:O10"/>
    <mergeCell ref="P26:P27"/>
    <mergeCell ref="Q26:Q27"/>
    <mergeCell ref="R26:R27"/>
    <mergeCell ref="M26:M27"/>
    <mergeCell ref="N26:N27"/>
    <mergeCell ref="A67:A68"/>
    <mergeCell ref="I67:I68"/>
    <mergeCell ref="J67:J68"/>
    <mergeCell ref="K67:K68"/>
    <mergeCell ref="A45:V45"/>
    <mergeCell ref="L49:L50"/>
    <mergeCell ref="L67:L68"/>
    <mergeCell ref="U49:U50"/>
    <mergeCell ref="Q49:Q50"/>
    <mergeCell ref="Y67:Y68"/>
    <mergeCell ref="B48:G48"/>
    <mergeCell ref="H48:X48"/>
    <mergeCell ref="B66:G66"/>
    <mergeCell ref="H66:X66"/>
    <mergeCell ref="M49:M50"/>
    <mergeCell ref="O67:O68"/>
    <mergeCell ref="P67:P68"/>
    <mergeCell ref="Q67:Q68"/>
    <mergeCell ref="R49:R50"/>
    <mergeCell ref="M67:M68"/>
    <mergeCell ref="N67:N68"/>
    <mergeCell ref="N49:N50"/>
    <mergeCell ref="O49:O50"/>
    <mergeCell ref="X67:X68"/>
  </mergeCells>
  <printOptions horizontalCentered="1"/>
  <pageMargins left="0.74748031496062994" right="0.19685039370078741" top="1.0236220472440944" bottom="0.19685039370078741" header="0" footer="0"/>
  <pageSetup paperSize="9" scale="68" fitToHeight="2" orientation="landscape" r:id="rId1"/>
  <headerFooter alignWithMargins="0"/>
  <rowBreaks count="1" manualBreakCount="1">
    <brk id="46" max="27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A7E89-3B44-4630-B061-2B54E7C26F66}">
  <dimension ref="A1:T449"/>
  <sheetViews>
    <sheetView view="pageBreakPreview" topLeftCell="C319" zoomScale="205" zoomScaleNormal="100" zoomScaleSheetLayoutView="205" workbookViewId="0">
      <selection activeCell="J446" sqref="J446"/>
    </sheetView>
  </sheetViews>
  <sheetFormatPr baseColWidth="10" defaultColWidth="11.42578125" defaultRowHeight="12.75"/>
  <cols>
    <col min="1" max="1" width="0.28515625" style="590" customWidth="1"/>
    <col min="2" max="2" width="7.42578125" style="590" customWidth="1"/>
    <col min="3" max="3" width="11.42578125" style="590"/>
    <col min="4" max="5" width="11.42578125" style="590" hidden="1" customWidth="1"/>
    <col min="6" max="6" width="11.42578125" style="590"/>
    <col min="7" max="7" width="12.28515625" style="590" bestFit="1" customWidth="1"/>
    <col min="8" max="9" width="11.42578125" style="590" customWidth="1"/>
    <col min="10" max="16384" width="11.42578125" style="590"/>
  </cols>
  <sheetData>
    <row r="1" spans="3:20" ht="14.25">
      <c r="C1" s="1760"/>
      <c r="D1" s="1761"/>
      <c r="E1" s="1761"/>
      <c r="F1" s="1761"/>
      <c r="G1" s="1761"/>
      <c r="H1" s="1761"/>
      <c r="I1" s="1761"/>
      <c r="J1" s="1762"/>
    </row>
    <row r="2" spans="3:20">
      <c r="C2" s="1763" t="s">
        <v>674</v>
      </c>
      <c r="D2" s="1764"/>
      <c r="E2" s="1764"/>
      <c r="F2" s="1764"/>
      <c r="G2" s="1764"/>
      <c r="H2" s="1764"/>
      <c r="I2" s="1764"/>
      <c r="J2" s="1765"/>
    </row>
    <row r="3" spans="3:20">
      <c r="C3" s="1763" t="s">
        <v>675</v>
      </c>
      <c r="D3" s="1764"/>
      <c r="E3" s="1764"/>
      <c r="F3" s="1764"/>
      <c r="G3" s="1764"/>
      <c r="H3" s="1764"/>
      <c r="I3" s="1764"/>
      <c r="J3" s="1765"/>
    </row>
    <row r="4" spans="3:20">
      <c r="C4" s="1763" t="s">
        <v>676</v>
      </c>
      <c r="D4" s="1764"/>
      <c r="E4" s="1764"/>
      <c r="F4" s="1764"/>
      <c r="G4" s="1764"/>
      <c r="H4" s="1764"/>
      <c r="I4" s="1764"/>
      <c r="J4" s="1765"/>
    </row>
    <row r="5" spans="3:20" ht="13.5" thickBot="1">
      <c r="C5" s="1766" t="s">
        <v>685</v>
      </c>
      <c r="D5" s="1767"/>
      <c r="E5" s="1767"/>
      <c r="F5" s="1767"/>
      <c r="G5" s="1767"/>
      <c r="H5" s="1767"/>
      <c r="I5" s="1767"/>
      <c r="J5" s="1768"/>
    </row>
    <row r="6" spans="3:20" ht="15">
      <c r="C6" s="1334" t="s">
        <v>25</v>
      </c>
      <c r="D6" s="1159" t="s">
        <v>677</v>
      </c>
      <c r="E6" s="1159" t="s">
        <v>678</v>
      </c>
      <c r="F6" s="1159" t="s">
        <v>679</v>
      </c>
      <c r="G6" s="1159" t="s">
        <v>680</v>
      </c>
      <c r="H6" s="1159" t="s">
        <v>681</v>
      </c>
      <c r="I6" s="1159" t="s">
        <v>682</v>
      </c>
      <c r="J6" s="1159" t="s">
        <v>683</v>
      </c>
    </row>
    <row r="7" spans="3:20" ht="15">
      <c r="C7" s="1335">
        <v>36556</v>
      </c>
      <c r="D7" s="1164"/>
      <c r="E7" s="1164"/>
      <c r="F7" s="1164">
        <v>51.375782857142866</v>
      </c>
      <c r="G7" s="1164">
        <v>71.926096000000015</v>
      </c>
      <c r="H7" s="1164">
        <v>82.201252571428597</v>
      </c>
      <c r="I7" s="1164">
        <v>123.3018788571429</v>
      </c>
      <c r="J7" s="1336">
        <v>205.50313142857149</v>
      </c>
    </row>
    <row r="8" spans="3:20" ht="15">
      <c r="C8" s="1337">
        <v>36584</v>
      </c>
      <c r="D8" s="1162"/>
      <c r="E8" s="1162"/>
      <c r="F8" s="1162">
        <v>60.769676000000011</v>
      </c>
      <c r="G8" s="1162">
        <v>85.077546400000003</v>
      </c>
      <c r="H8" s="1162">
        <v>97.231481600000009</v>
      </c>
      <c r="I8" s="1162">
        <v>145.84722240000002</v>
      </c>
      <c r="J8" s="1338">
        <v>243.07870400000002</v>
      </c>
    </row>
    <row r="9" spans="3:20" ht="15">
      <c r="C9" s="1335">
        <v>36616</v>
      </c>
      <c r="D9" s="1164"/>
      <c r="E9" s="1164"/>
      <c r="F9" s="1164">
        <v>62.183447542857152</v>
      </c>
      <c r="G9" s="1164">
        <v>87.056826560000005</v>
      </c>
      <c r="H9" s="1164">
        <v>99.493516068571438</v>
      </c>
      <c r="I9" s="1164">
        <v>149.24027410285717</v>
      </c>
      <c r="J9" s="1336">
        <v>248.73379017142861</v>
      </c>
    </row>
    <row r="10" spans="3:20" ht="15">
      <c r="C10" s="1337">
        <v>36646</v>
      </c>
      <c r="D10" s="1162"/>
      <c r="E10" s="1162"/>
      <c r="F10" s="1162">
        <v>59.459031028571438</v>
      </c>
      <c r="G10" s="1162">
        <v>83.242643440000023</v>
      </c>
      <c r="H10" s="1162">
        <v>95.134449645714312</v>
      </c>
      <c r="I10" s="1162">
        <v>142.70167446857147</v>
      </c>
      <c r="J10" s="1338">
        <v>237.83612411428575</v>
      </c>
    </row>
    <row r="11" spans="3:20" ht="15">
      <c r="C11" s="1335">
        <v>36677</v>
      </c>
      <c r="D11" s="1164"/>
      <c r="E11" s="1164"/>
      <c r="F11" s="1164">
        <v>64.454277600000012</v>
      </c>
      <c r="G11" s="1164">
        <v>90.235988640000016</v>
      </c>
      <c r="H11" s="1164">
        <v>103.12684416000002</v>
      </c>
      <c r="I11" s="1164">
        <v>154.69026624000003</v>
      </c>
      <c r="J11" s="1336">
        <v>257.81711040000005</v>
      </c>
    </row>
    <row r="12" spans="3:20" ht="15">
      <c r="C12" s="1337">
        <v>36707</v>
      </c>
      <c r="D12" s="1162"/>
      <c r="E12" s="1162"/>
      <c r="F12" s="1162">
        <v>51.787863000000016</v>
      </c>
      <c r="G12" s="1162">
        <v>72.503008200000011</v>
      </c>
      <c r="H12" s="1162">
        <v>82.860580800000022</v>
      </c>
      <c r="I12" s="1162">
        <v>124.29087120000003</v>
      </c>
      <c r="J12" s="1338">
        <v>207.15145200000003</v>
      </c>
    </row>
    <row r="13" spans="3:20" ht="15">
      <c r="C13" s="1335">
        <v>36738</v>
      </c>
      <c r="D13" s="1164"/>
      <c r="E13" s="1164"/>
      <c r="F13" s="1164">
        <v>56.333741928571428</v>
      </c>
      <c r="G13" s="1164">
        <v>78.867238699999987</v>
      </c>
      <c r="H13" s="1164">
        <v>90.133987085714281</v>
      </c>
      <c r="I13" s="1164">
        <v>135.20098062857141</v>
      </c>
      <c r="J13" s="1336">
        <v>225.33496771428568</v>
      </c>
    </row>
    <row r="14" spans="3:20" ht="15">
      <c r="C14" s="1337">
        <v>36769</v>
      </c>
      <c r="D14" s="1162"/>
      <c r="E14" s="1162"/>
      <c r="F14" s="1162">
        <v>56.333741928571428</v>
      </c>
      <c r="G14" s="1162">
        <v>78.867238699999987</v>
      </c>
      <c r="H14" s="1162">
        <v>90.133987085714281</v>
      </c>
      <c r="I14" s="1162">
        <v>135.20098062857141</v>
      </c>
      <c r="J14" s="1338">
        <v>225.33496771428568</v>
      </c>
    </row>
    <row r="15" spans="3:20" ht="15">
      <c r="C15" s="1335">
        <v>36799</v>
      </c>
      <c r="D15" s="1164"/>
      <c r="E15" s="1164"/>
      <c r="F15" s="1164">
        <v>65.148719999999997</v>
      </c>
      <c r="G15" s="1164">
        <v>91.208207999999985</v>
      </c>
      <c r="H15" s="1164">
        <v>104.23795199999999</v>
      </c>
      <c r="I15" s="1164">
        <v>156.35692799999998</v>
      </c>
      <c r="J15" s="1336">
        <v>260.59487999999999</v>
      </c>
    </row>
    <row r="16" spans="3:20" ht="15">
      <c r="C16" s="1337">
        <v>36830</v>
      </c>
      <c r="D16" s="1162"/>
      <c r="E16" s="1162"/>
      <c r="F16" s="1162">
        <v>65.148719999999997</v>
      </c>
      <c r="G16" s="1162">
        <v>91.208207999999985</v>
      </c>
      <c r="H16" s="1162">
        <v>104.23795199999999</v>
      </c>
      <c r="I16" s="1162">
        <v>156.35692799999998</v>
      </c>
      <c r="J16" s="1338">
        <v>260.59487999999999</v>
      </c>
      <c r="M16" s="1334"/>
      <c r="N16" s="1159" t="s">
        <v>684</v>
      </c>
      <c r="O16" s="1159"/>
      <c r="P16" s="1159"/>
      <c r="Q16" s="1159"/>
      <c r="R16" s="1159"/>
      <c r="S16" s="1159"/>
      <c r="T16" s="1159"/>
    </row>
    <row r="17" spans="1:12" ht="15.75" thickBot="1">
      <c r="C17" s="1339">
        <v>36860</v>
      </c>
      <c r="D17" s="1340"/>
      <c r="E17" s="1340"/>
      <c r="F17" s="1340">
        <v>65.148719999999997</v>
      </c>
      <c r="G17" s="1340">
        <v>91.208207999999985</v>
      </c>
      <c r="H17" s="1340">
        <v>104.23795199999999</v>
      </c>
      <c r="I17" s="1340">
        <v>156.35692799999998</v>
      </c>
      <c r="J17" s="1341">
        <v>260.59487999999999</v>
      </c>
    </row>
    <row r="18" spans="1:12" ht="14.25">
      <c r="C18" s="1760"/>
      <c r="D18" s="1761"/>
      <c r="E18" s="1761"/>
      <c r="F18" s="1761"/>
      <c r="G18" s="1761"/>
      <c r="H18" s="1761"/>
      <c r="I18" s="1761"/>
      <c r="J18" s="1762"/>
    </row>
    <row r="19" spans="1:12" ht="13.5" thickBot="1">
      <c r="C19" s="1770" t="s">
        <v>562</v>
      </c>
      <c r="D19" s="1631"/>
      <c r="E19" s="1631"/>
      <c r="F19" s="1631"/>
      <c r="G19" s="1631"/>
      <c r="H19" s="1631"/>
      <c r="I19" s="1631"/>
      <c r="J19" s="1631"/>
    </row>
    <row r="20" spans="1:12" ht="14.25">
      <c r="A20" s="1342"/>
      <c r="B20" s="1342"/>
      <c r="C20" s="1760" t="s">
        <v>674</v>
      </c>
      <c r="D20" s="1761"/>
      <c r="E20" s="1761"/>
      <c r="F20" s="1761"/>
      <c r="G20" s="1761"/>
      <c r="H20" s="1761"/>
      <c r="I20" s="1761"/>
      <c r="J20" s="1762"/>
      <c r="K20" s="1342"/>
      <c r="L20" s="1342"/>
    </row>
    <row r="21" spans="1:12">
      <c r="A21" s="1342"/>
      <c r="B21" s="1342"/>
      <c r="C21" s="1763" t="s">
        <v>675</v>
      </c>
      <c r="D21" s="1764"/>
      <c r="E21" s="1764"/>
      <c r="F21" s="1764"/>
      <c r="G21" s="1764"/>
      <c r="H21" s="1764"/>
      <c r="I21" s="1764"/>
      <c r="J21" s="1765"/>
      <c r="K21" s="1342"/>
      <c r="L21" s="1342"/>
    </row>
    <row r="22" spans="1:12">
      <c r="A22" s="1342"/>
      <c r="B22" s="1342"/>
      <c r="C22" s="1763" t="s">
        <v>676</v>
      </c>
      <c r="D22" s="1764"/>
      <c r="E22" s="1764"/>
      <c r="F22" s="1764"/>
      <c r="G22" s="1764"/>
      <c r="H22" s="1764"/>
      <c r="I22" s="1764"/>
      <c r="J22" s="1765"/>
      <c r="K22" s="1342"/>
      <c r="L22" s="1342"/>
    </row>
    <row r="23" spans="1:12" ht="13.5" thickBot="1">
      <c r="A23" s="1342"/>
      <c r="B23" s="1342"/>
      <c r="C23" s="1766" t="s">
        <v>685</v>
      </c>
      <c r="D23" s="1767"/>
      <c r="E23" s="1767"/>
      <c r="F23" s="1767"/>
      <c r="G23" s="1767"/>
      <c r="H23" s="1767"/>
      <c r="I23" s="1767"/>
      <c r="J23" s="1768"/>
      <c r="K23" s="1342"/>
      <c r="L23" s="1342"/>
    </row>
    <row r="24" spans="1:12" ht="15.75" thickBot="1">
      <c r="A24" s="1342"/>
      <c r="B24" s="1342"/>
      <c r="C24" s="1334" t="s">
        <v>25</v>
      </c>
      <c r="D24" s="1159" t="s">
        <v>677</v>
      </c>
      <c r="E24" s="1159" t="s">
        <v>678</v>
      </c>
      <c r="F24" s="1159" t="s">
        <v>679</v>
      </c>
      <c r="G24" s="1159" t="s">
        <v>680</v>
      </c>
      <c r="H24" s="1159" t="s">
        <v>681</v>
      </c>
      <c r="I24" s="1159" t="s">
        <v>682</v>
      </c>
      <c r="J24" s="1159" t="s">
        <v>683</v>
      </c>
      <c r="K24" s="1342"/>
      <c r="L24" s="1342"/>
    </row>
    <row r="25" spans="1:12" ht="15">
      <c r="A25" s="1342"/>
      <c r="B25" s="1342"/>
      <c r="C25" s="1343">
        <v>37468</v>
      </c>
      <c r="D25" s="1344"/>
      <c r="E25" s="1344"/>
      <c r="F25" s="1344">
        <v>38.950000000000003</v>
      </c>
      <c r="G25" s="1344">
        <v>54.99</v>
      </c>
      <c r="H25" s="1344">
        <v>65.959999999999994</v>
      </c>
      <c r="I25" s="1344">
        <v>93.48</v>
      </c>
      <c r="J25" s="1345">
        <v>154.74</v>
      </c>
      <c r="K25" s="1342"/>
      <c r="L25" s="1342"/>
    </row>
    <row r="26" spans="1:12" ht="15">
      <c r="A26" s="1342"/>
      <c r="B26" s="1342"/>
      <c r="C26" s="1335">
        <v>37499</v>
      </c>
      <c r="D26" s="1164"/>
      <c r="E26" s="1164"/>
      <c r="F26" s="1164">
        <v>39.75</v>
      </c>
      <c r="G26" s="1164">
        <v>55.08</v>
      </c>
      <c r="H26" s="1164">
        <v>66.459999999999994</v>
      </c>
      <c r="I26" s="1164">
        <v>95.4</v>
      </c>
      <c r="J26" s="1336">
        <v>156</v>
      </c>
      <c r="K26" s="1342"/>
      <c r="L26" s="1342"/>
    </row>
    <row r="27" spans="1:12" ht="15">
      <c r="A27" s="1342"/>
      <c r="B27" s="1342"/>
      <c r="C27" s="1337">
        <v>37529</v>
      </c>
      <c r="D27" s="1162"/>
      <c r="E27" s="1162"/>
      <c r="F27" s="1162">
        <v>43.97</v>
      </c>
      <c r="G27" s="1162">
        <v>60.79</v>
      </c>
      <c r="H27" s="1162">
        <v>73.790000000000006</v>
      </c>
      <c r="I27" s="1162">
        <v>105.53</v>
      </c>
      <c r="J27" s="1338">
        <v>172.53</v>
      </c>
      <c r="K27" s="1342"/>
      <c r="L27" s="1342"/>
    </row>
    <row r="28" spans="1:12" ht="15">
      <c r="A28" s="1342"/>
      <c r="B28" s="1342"/>
      <c r="C28" s="1335">
        <v>37560</v>
      </c>
      <c r="D28" s="1164"/>
      <c r="E28" s="1164"/>
      <c r="F28" s="1164">
        <v>52.84</v>
      </c>
      <c r="G28" s="1164">
        <v>73.27</v>
      </c>
      <c r="H28" s="1164">
        <v>85.52</v>
      </c>
      <c r="I28" s="1164">
        <v>126.82</v>
      </c>
      <c r="J28" s="1336">
        <v>207.95</v>
      </c>
      <c r="K28" s="1342"/>
      <c r="L28" s="1342"/>
    </row>
    <row r="29" spans="1:12" ht="15">
      <c r="A29" s="1342"/>
      <c r="B29" s="1342"/>
      <c r="C29" s="1337">
        <v>37590</v>
      </c>
      <c r="D29" s="1162"/>
      <c r="E29" s="1162"/>
      <c r="F29" s="1162">
        <v>54.98</v>
      </c>
      <c r="G29" s="1162">
        <v>76.319999999999993</v>
      </c>
      <c r="H29" s="1162">
        <v>89.59</v>
      </c>
      <c r="I29" s="1162">
        <v>131.94999999999999</v>
      </c>
      <c r="J29" s="1338">
        <v>217.09</v>
      </c>
      <c r="K29" s="1342"/>
      <c r="L29" s="1342"/>
    </row>
    <row r="30" spans="1:12" ht="15">
      <c r="A30" s="1342"/>
      <c r="B30" s="1342"/>
      <c r="C30" s="1335">
        <v>37621</v>
      </c>
      <c r="D30" s="1164"/>
      <c r="E30" s="1164"/>
      <c r="F30" s="1164">
        <v>55.22</v>
      </c>
      <c r="G30" s="1164">
        <v>76.63</v>
      </c>
      <c r="H30" s="1164">
        <v>90.34</v>
      </c>
      <c r="I30" s="1164">
        <v>132.53</v>
      </c>
      <c r="J30" s="1336">
        <v>217.15</v>
      </c>
      <c r="K30" s="1342"/>
      <c r="L30" s="1342"/>
    </row>
    <row r="31" spans="1:12" ht="13.5" thickBot="1">
      <c r="A31" s="1342"/>
      <c r="B31" s="1342"/>
      <c r="C31" s="1774" t="s">
        <v>686</v>
      </c>
      <c r="D31" s="1775"/>
      <c r="E31" s="1775"/>
      <c r="F31" s="1775"/>
      <c r="G31" s="1775"/>
      <c r="H31" s="1775"/>
      <c r="I31" s="1775"/>
      <c r="J31" s="1775"/>
      <c r="K31" s="1342"/>
      <c r="L31" s="1342"/>
    </row>
    <row r="32" spans="1:12" ht="14.25">
      <c r="A32" s="1342"/>
      <c r="B32" s="1342"/>
      <c r="C32" s="1760" t="s">
        <v>674</v>
      </c>
      <c r="D32" s="1761"/>
      <c r="E32" s="1761"/>
      <c r="F32" s="1761"/>
      <c r="G32" s="1761"/>
      <c r="H32" s="1761"/>
      <c r="I32" s="1761"/>
      <c r="J32" s="1762"/>
      <c r="K32" s="1342"/>
      <c r="L32" s="1342"/>
    </row>
    <row r="33" spans="1:12">
      <c r="A33" s="1342"/>
      <c r="B33" s="1342"/>
      <c r="C33" s="1763" t="s">
        <v>675</v>
      </c>
      <c r="D33" s="1764"/>
      <c r="E33" s="1764"/>
      <c r="F33" s="1764"/>
      <c r="G33" s="1764"/>
      <c r="H33" s="1764"/>
      <c r="I33" s="1764"/>
      <c r="J33" s="1765"/>
      <c r="K33" s="1342"/>
      <c r="L33" s="1342"/>
    </row>
    <row r="34" spans="1:12">
      <c r="A34" s="1342"/>
      <c r="B34" s="1342"/>
      <c r="C34" s="1763" t="s">
        <v>676</v>
      </c>
      <c r="D34" s="1764"/>
      <c r="E34" s="1764"/>
      <c r="F34" s="1764"/>
      <c r="G34" s="1764"/>
      <c r="H34" s="1764"/>
      <c r="I34" s="1764"/>
      <c r="J34" s="1765"/>
      <c r="K34" s="1342"/>
      <c r="L34" s="1342"/>
    </row>
    <row r="35" spans="1:12" ht="13.5" thickBot="1">
      <c r="A35" s="1342"/>
      <c r="B35" s="1342"/>
      <c r="C35" s="1766" t="s">
        <v>685</v>
      </c>
      <c r="D35" s="1767"/>
      <c r="E35" s="1767"/>
      <c r="F35" s="1767"/>
      <c r="G35" s="1767"/>
      <c r="H35" s="1767"/>
      <c r="I35" s="1767"/>
      <c r="J35" s="1768"/>
      <c r="K35" s="1342"/>
      <c r="L35" s="1342"/>
    </row>
    <row r="36" spans="1:12" ht="15.75" thickBot="1">
      <c r="A36" s="1342"/>
      <c r="B36" s="1342"/>
      <c r="C36" s="1334" t="s">
        <v>25</v>
      </c>
      <c r="D36" s="1159" t="s">
        <v>677</v>
      </c>
      <c r="E36" s="1159" t="s">
        <v>678</v>
      </c>
      <c r="F36" s="1159" t="s">
        <v>679</v>
      </c>
      <c r="G36" s="1159" t="s">
        <v>680</v>
      </c>
      <c r="H36" s="1159" t="s">
        <v>681</v>
      </c>
      <c r="I36" s="1159" t="s">
        <v>682</v>
      </c>
      <c r="J36" s="1159" t="s">
        <v>683</v>
      </c>
      <c r="K36" s="1342"/>
      <c r="L36" s="1342"/>
    </row>
    <row r="37" spans="1:12" ht="15">
      <c r="A37" s="1342"/>
      <c r="B37" s="1342"/>
      <c r="C37" s="1343">
        <v>37652</v>
      </c>
      <c r="D37" s="1344">
        <v>0</v>
      </c>
      <c r="E37" s="1344">
        <v>0</v>
      </c>
      <c r="F37" s="1344">
        <v>56.616</v>
      </c>
      <c r="G37" s="1344">
        <v>78.98</v>
      </c>
      <c r="H37" s="1344">
        <v>94.681999999999988</v>
      </c>
      <c r="I37" s="1344">
        <v>141.24600000000001</v>
      </c>
      <c r="J37" s="1345">
        <v>224.63400000000001</v>
      </c>
      <c r="K37" s="1342"/>
      <c r="L37" s="1342"/>
    </row>
    <row r="38" spans="1:12" ht="15">
      <c r="A38" s="1342"/>
      <c r="B38" s="1342"/>
      <c r="C38" s="1335">
        <v>37680</v>
      </c>
      <c r="D38" s="1164">
        <v>0</v>
      </c>
      <c r="E38" s="1164">
        <v>0</v>
      </c>
      <c r="F38" s="1164">
        <v>56.227999999999994</v>
      </c>
      <c r="G38" s="1164">
        <v>77.792000000000002</v>
      </c>
      <c r="H38" s="1164">
        <v>90.921999999999997</v>
      </c>
      <c r="I38" s="1164">
        <v>136.28800000000001</v>
      </c>
      <c r="J38" s="1336">
        <v>221.10800000000003</v>
      </c>
      <c r="K38" s="1342"/>
      <c r="L38" s="1342"/>
    </row>
    <row r="39" spans="1:12" ht="15">
      <c r="A39" s="1342"/>
      <c r="B39" s="1342"/>
      <c r="C39" s="1337">
        <v>37711</v>
      </c>
      <c r="D39" s="1162">
        <v>0</v>
      </c>
      <c r="E39" s="1162">
        <v>0</v>
      </c>
      <c r="F39" s="1162">
        <v>55.015999999999998</v>
      </c>
      <c r="G39" s="1162">
        <v>76.42</v>
      </c>
      <c r="H39" s="1162">
        <v>90.977999999999994</v>
      </c>
      <c r="I39" s="1162">
        <v>135.88399999999999</v>
      </c>
      <c r="J39" s="1338">
        <v>216.964</v>
      </c>
      <c r="K39" s="1342"/>
      <c r="L39" s="1342"/>
    </row>
    <row r="40" spans="1:12" ht="15">
      <c r="A40" s="1342"/>
      <c r="B40" s="1342"/>
      <c r="C40" s="1335">
        <v>37741</v>
      </c>
      <c r="D40" s="1164"/>
      <c r="E40" s="1164"/>
      <c r="F40" s="1164">
        <v>55.96</v>
      </c>
      <c r="G40" s="1164">
        <v>77.81</v>
      </c>
      <c r="H40" s="1164">
        <v>91.85</v>
      </c>
      <c r="I40" s="1164">
        <v>137.55000000000001</v>
      </c>
      <c r="J40" s="1336">
        <v>221.48</v>
      </c>
      <c r="K40" s="1342"/>
      <c r="L40" s="1342"/>
    </row>
    <row r="41" spans="1:12" ht="15">
      <c r="A41" s="1342"/>
      <c r="B41" s="1342"/>
      <c r="C41" s="1337">
        <v>37772</v>
      </c>
      <c r="D41" s="1162"/>
      <c r="E41" s="1162"/>
      <c r="F41" s="1162">
        <v>57.087499999999999</v>
      </c>
      <c r="G41" s="1162">
        <v>79.237499999999997</v>
      </c>
      <c r="H41" s="1162">
        <v>93.722499999999997</v>
      </c>
      <c r="I41" s="1162">
        <v>139.3475</v>
      </c>
      <c r="J41" s="1338">
        <v>225.88499999999999</v>
      </c>
      <c r="K41" s="1342"/>
      <c r="L41" s="1342"/>
    </row>
    <row r="42" spans="1:12" ht="15">
      <c r="A42" s="1342"/>
      <c r="B42" s="1342"/>
      <c r="C42" s="1335">
        <v>37802</v>
      </c>
      <c r="D42" s="1164"/>
      <c r="E42" s="1164"/>
      <c r="F42" s="1164">
        <v>51.26</v>
      </c>
      <c r="G42" s="1164">
        <v>70.88</v>
      </c>
      <c r="H42" s="1164">
        <v>83.59</v>
      </c>
      <c r="I42" s="1164">
        <v>123.4225</v>
      </c>
      <c r="J42" s="1336">
        <v>200.57249999999999</v>
      </c>
      <c r="K42" s="1342"/>
      <c r="L42" s="1342"/>
    </row>
    <row r="43" spans="1:12" ht="15">
      <c r="A43" s="1342"/>
      <c r="B43" s="1342"/>
      <c r="C43" s="1337">
        <v>37833</v>
      </c>
      <c r="D43" s="1162"/>
      <c r="E43" s="1162"/>
      <c r="F43" s="1162">
        <v>44.253999999999998</v>
      </c>
      <c r="G43" s="1162">
        <v>61.71</v>
      </c>
      <c r="H43" s="1162">
        <v>73.239999999999995</v>
      </c>
      <c r="I43" s="1162">
        <v>108.65</v>
      </c>
      <c r="J43" s="1338">
        <v>174.81400000000002</v>
      </c>
      <c r="K43" s="1342"/>
      <c r="L43" s="1342"/>
    </row>
    <row r="44" spans="1:12" ht="15">
      <c r="A44" s="1342"/>
      <c r="B44" s="1342"/>
      <c r="C44" s="1335">
        <v>37864</v>
      </c>
      <c r="D44" s="1164"/>
      <c r="E44" s="1164"/>
      <c r="F44" s="1164">
        <v>44.16</v>
      </c>
      <c r="G44" s="1164">
        <v>61.62</v>
      </c>
      <c r="H44" s="1164">
        <v>72.997500000000002</v>
      </c>
      <c r="I44" s="1164">
        <v>109.1675</v>
      </c>
      <c r="J44" s="1336">
        <v>174.95750000000001</v>
      </c>
      <c r="K44" s="1342"/>
      <c r="L44" s="1342"/>
    </row>
    <row r="45" spans="1:12" ht="15">
      <c r="A45" s="1342"/>
      <c r="B45" s="1342"/>
      <c r="C45" s="1337">
        <v>37894</v>
      </c>
      <c r="D45" s="1162"/>
      <c r="E45" s="1162"/>
      <c r="F45" s="1162">
        <v>43.46</v>
      </c>
      <c r="G45" s="1162">
        <v>60.765999999999998</v>
      </c>
      <c r="H45" s="1162">
        <v>71.093999999999994</v>
      </c>
      <c r="I45" s="1162">
        <v>105.73</v>
      </c>
      <c r="J45" s="1338">
        <v>172.27800000000002</v>
      </c>
      <c r="K45" s="1342"/>
      <c r="L45" s="1342"/>
    </row>
    <row r="46" spans="1:12" ht="15">
      <c r="A46" s="1342"/>
      <c r="B46" s="1342"/>
      <c r="C46" s="1335">
        <v>37925</v>
      </c>
      <c r="D46" s="1164"/>
      <c r="E46" s="1164"/>
      <c r="F46" s="1164">
        <v>45.4925</v>
      </c>
      <c r="G46" s="1164">
        <v>63.725000000000001</v>
      </c>
      <c r="H46" s="1164">
        <v>73.540000000000006</v>
      </c>
      <c r="I46" s="1164">
        <v>110.08750000000001</v>
      </c>
      <c r="J46" s="1336">
        <v>181.095</v>
      </c>
      <c r="K46" s="1342"/>
      <c r="L46" s="1342"/>
    </row>
    <row r="47" spans="1:12" ht="15">
      <c r="A47" s="1342"/>
      <c r="B47" s="1342"/>
      <c r="C47" s="1337">
        <v>37955</v>
      </c>
      <c r="D47" s="1162"/>
      <c r="E47" s="1162"/>
      <c r="F47" s="1162">
        <v>48.42</v>
      </c>
      <c r="G47" s="1162">
        <v>67.635000000000005</v>
      </c>
      <c r="H47" s="1162">
        <v>79.930000000000007</v>
      </c>
      <c r="I47" s="1162">
        <v>117.75749999999999</v>
      </c>
      <c r="J47" s="1338">
        <v>192.07249999999999</v>
      </c>
      <c r="K47" s="1342"/>
      <c r="L47" s="1342"/>
    </row>
    <row r="48" spans="1:12" ht="15.75" thickBot="1">
      <c r="A48" s="1342"/>
      <c r="B48" s="1342"/>
      <c r="C48" s="1339">
        <v>37986</v>
      </c>
      <c r="D48" s="1340"/>
      <c r="E48" s="1340"/>
      <c r="F48" s="1340">
        <v>51.054000000000002</v>
      </c>
      <c r="G48" s="1340">
        <v>71.416000000000011</v>
      </c>
      <c r="H48" s="1340">
        <v>82.798000000000002</v>
      </c>
      <c r="I48" s="1340">
        <v>125.032</v>
      </c>
      <c r="J48" s="1341">
        <v>203.672</v>
      </c>
      <c r="K48" s="1342"/>
      <c r="L48" s="1342"/>
    </row>
    <row r="49" spans="1:12" ht="13.5" thickBot="1">
      <c r="A49" s="1342"/>
      <c r="B49" s="1342"/>
      <c r="C49" s="1770" t="s">
        <v>687</v>
      </c>
      <c r="D49" s="1631"/>
      <c r="E49" s="1631"/>
      <c r="F49" s="1631"/>
      <c r="G49" s="1631"/>
      <c r="H49" s="1631"/>
      <c r="I49" s="1631"/>
      <c r="J49" s="1631"/>
      <c r="K49" s="1342"/>
      <c r="L49" s="1342"/>
    </row>
    <row r="50" spans="1:12" ht="14.25">
      <c r="A50" s="1342"/>
      <c r="B50" s="1342"/>
      <c r="C50" s="1760" t="s">
        <v>674</v>
      </c>
      <c r="D50" s="1761"/>
      <c r="E50" s="1761"/>
      <c r="F50" s="1761"/>
      <c r="G50" s="1761"/>
      <c r="H50" s="1761"/>
      <c r="I50" s="1761"/>
      <c r="J50" s="1762"/>
      <c r="K50" s="1342"/>
      <c r="L50" s="1342"/>
    </row>
    <row r="51" spans="1:12">
      <c r="A51" s="1342"/>
      <c r="B51" s="1342"/>
      <c r="C51" s="1763" t="s">
        <v>675</v>
      </c>
      <c r="D51" s="1764"/>
      <c r="E51" s="1764"/>
      <c r="F51" s="1764"/>
      <c r="G51" s="1764"/>
      <c r="H51" s="1764"/>
      <c r="I51" s="1764"/>
      <c r="J51" s="1765"/>
      <c r="K51" s="1342"/>
      <c r="L51" s="1342"/>
    </row>
    <row r="52" spans="1:12">
      <c r="A52" s="1342"/>
      <c r="B52" s="1342"/>
      <c r="C52" s="1763" t="s">
        <v>676</v>
      </c>
      <c r="D52" s="1764"/>
      <c r="E52" s="1764"/>
      <c r="F52" s="1764"/>
      <c r="G52" s="1764"/>
      <c r="H52" s="1764"/>
      <c r="I52" s="1764"/>
      <c r="J52" s="1765"/>
      <c r="K52" s="1342"/>
      <c r="L52" s="1342"/>
    </row>
    <row r="53" spans="1:12" ht="13.5" thickBot="1">
      <c r="A53" s="1342"/>
      <c r="B53" s="1342"/>
      <c r="C53" s="1766" t="s">
        <v>685</v>
      </c>
      <c r="D53" s="1767"/>
      <c r="E53" s="1767"/>
      <c r="F53" s="1767"/>
      <c r="G53" s="1767"/>
      <c r="H53" s="1767"/>
      <c r="I53" s="1767"/>
      <c r="J53" s="1768"/>
      <c r="K53" s="1342"/>
      <c r="L53" s="1342"/>
    </row>
    <row r="54" spans="1:12" ht="15.75" thickBot="1">
      <c r="A54" s="1342"/>
      <c r="B54" s="1342"/>
      <c r="C54" s="1334" t="s">
        <v>25</v>
      </c>
      <c r="D54" s="1159" t="s">
        <v>677</v>
      </c>
      <c r="E54" s="1159" t="s">
        <v>678</v>
      </c>
      <c r="F54" s="1159" t="s">
        <v>679</v>
      </c>
      <c r="G54" s="1159" t="s">
        <v>680</v>
      </c>
      <c r="H54" s="1159" t="s">
        <v>681</v>
      </c>
      <c r="I54" s="1159" t="s">
        <v>682</v>
      </c>
      <c r="J54" s="1159" t="s">
        <v>683</v>
      </c>
      <c r="K54" s="1342"/>
      <c r="L54" s="1342"/>
    </row>
    <row r="55" spans="1:12" ht="15">
      <c r="A55" s="1342"/>
      <c r="B55" s="1342"/>
      <c r="C55" s="1343">
        <v>38017</v>
      </c>
      <c r="D55" s="1344"/>
      <c r="E55" s="1344"/>
      <c r="F55" s="1344">
        <v>57.97</v>
      </c>
      <c r="G55" s="1344">
        <v>81.011999999999986</v>
      </c>
      <c r="H55" s="1344">
        <v>93.29</v>
      </c>
      <c r="I55" s="1344">
        <v>140.76400000000001</v>
      </c>
      <c r="J55" s="1345">
        <v>230.642</v>
      </c>
      <c r="K55" s="1342"/>
      <c r="L55" s="1342"/>
    </row>
    <row r="56" spans="1:12" ht="15">
      <c r="A56" s="1342"/>
      <c r="B56" s="1342"/>
      <c r="C56" s="1335">
        <v>38046</v>
      </c>
      <c r="D56" s="1164"/>
      <c r="E56" s="1164"/>
      <c r="F56" s="1164">
        <v>60.8825</v>
      </c>
      <c r="G56" s="1164">
        <v>84.962500000000006</v>
      </c>
      <c r="H56" s="1164">
        <v>97.757499999999993</v>
      </c>
      <c r="I56" s="1164">
        <v>147.85499999999999</v>
      </c>
      <c r="J56" s="1336">
        <v>242.82499999999999</v>
      </c>
      <c r="K56" s="1342"/>
      <c r="L56" s="1342"/>
    </row>
    <row r="57" spans="1:12" ht="15">
      <c r="A57" s="1342"/>
      <c r="B57" s="1342"/>
      <c r="C57" s="1337">
        <v>38077</v>
      </c>
      <c r="D57" s="1162"/>
      <c r="E57" s="1162"/>
      <c r="F57" s="1162">
        <v>60.874000000000002</v>
      </c>
      <c r="G57" s="1162">
        <v>84.914000000000001</v>
      </c>
      <c r="H57" s="1162">
        <v>98.27</v>
      </c>
      <c r="I57" s="1162">
        <v>147.86600000000001</v>
      </c>
      <c r="J57" s="1338">
        <v>243.10399999999998</v>
      </c>
      <c r="K57" s="1342"/>
      <c r="L57" s="1342"/>
    </row>
    <row r="58" spans="1:12" ht="15">
      <c r="A58" s="1342"/>
      <c r="B58" s="1342"/>
      <c r="C58" s="1335">
        <v>38107</v>
      </c>
      <c r="D58" s="1164"/>
      <c r="E58" s="1164"/>
      <c r="F58" s="1164">
        <v>60.93</v>
      </c>
      <c r="G58" s="1164">
        <v>85.087500000000006</v>
      </c>
      <c r="H58" s="1164">
        <v>98.532499999999999</v>
      </c>
      <c r="I58" s="1164">
        <v>147.95249999999999</v>
      </c>
      <c r="J58" s="1336">
        <v>243.28749999999999</v>
      </c>
      <c r="K58" s="1342"/>
      <c r="L58" s="1342"/>
    </row>
    <row r="59" spans="1:12" ht="15">
      <c r="A59" s="1342"/>
      <c r="B59" s="1342"/>
      <c r="C59" s="1337">
        <v>38138</v>
      </c>
      <c r="D59" s="1162"/>
      <c r="E59" s="1162"/>
      <c r="F59" s="1162">
        <v>60.882000000000005</v>
      </c>
      <c r="G59" s="1162">
        <v>84.996000000000009</v>
      </c>
      <c r="H59" s="1162">
        <v>98.412000000000006</v>
      </c>
      <c r="I59" s="1162">
        <v>147.82600000000002</v>
      </c>
      <c r="J59" s="1338">
        <v>243.05599999999998</v>
      </c>
      <c r="K59" s="1342"/>
      <c r="L59" s="1342"/>
    </row>
    <row r="60" spans="1:12" ht="15">
      <c r="A60" s="1342"/>
      <c r="B60" s="1342"/>
      <c r="C60" s="1335">
        <v>38168</v>
      </c>
      <c r="D60" s="1164"/>
      <c r="E60" s="1164"/>
      <c r="F60" s="1164">
        <v>60.89</v>
      </c>
      <c r="G60" s="1164">
        <v>85.044000000000011</v>
      </c>
      <c r="H60" s="1164">
        <v>98.568000000000012</v>
      </c>
      <c r="I60" s="1164">
        <v>148.00600000000003</v>
      </c>
      <c r="J60" s="1336">
        <v>243.24799999999999</v>
      </c>
      <c r="K60" s="1342"/>
      <c r="L60" s="1342"/>
    </row>
    <row r="61" spans="1:12" ht="15">
      <c r="A61" s="1342"/>
      <c r="B61" s="1342"/>
      <c r="C61" s="1337">
        <v>38199</v>
      </c>
      <c r="D61" s="1162"/>
      <c r="E61" s="1162"/>
      <c r="F61" s="1162">
        <v>60.755000000000003</v>
      </c>
      <c r="G61" s="1162">
        <v>84.94</v>
      </c>
      <c r="H61" s="1162">
        <v>98.152500000000003</v>
      </c>
      <c r="I61" s="1162">
        <v>147.4975</v>
      </c>
      <c r="J61" s="1338">
        <v>242.91</v>
      </c>
      <c r="K61" s="1342"/>
      <c r="L61" s="1342"/>
    </row>
    <row r="62" spans="1:12" ht="15">
      <c r="A62" s="1342"/>
      <c r="B62" s="1342"/>
      <c r="C62" s="1335">
        <v>38230</v>
      </c>
      <c r="D62" s="1164"/>
      <c r="E62" s="1164"/>
      <c r="F62" s="1164">
        <v>66.921999999999997</v>
      </c>
      <c r="G62" s="1164">
        <v>93.537999999999997</v>
      </c>
      <c r="H62" s="1164">
        <v>107.726</v>
      </c>
      <c r="I62" s="1164">
        <v>162.078</v>
      </c>
      <c r="J62" s="1336">
        <v>267.64800000000002</v>
      </c>
      <c r="K62" s="1342"/>
      <c r="L62" s="1342"/>
    </row>
    <row r="63" spans="1:12" ht="15">
      <c r="A63" s="1342"/>
      <c r="B63" s="1342"/>
      <c r="C63" s="1337">
        <v>38260</v>
      </c>
      <c r="D63" s="1162"/>
      <c r="E63" s="1162"/>
      <c r="F63" s="1162">
        <v>69.982500000000002</v>
      </c>
      <c r="G63" s="1162">
        <v>97.847499999999997</v>
      </c>
      <c r="H63" s="1162">
        <v>113.88249999999999</v>
      </c>
      <c r="I63" s="1162">
        <v>170.8075</v>
      </c>
      <c r="J63" s="1338">
        <v>280.01749999999998</v>
      </c>
      <c r="K63" s="1342"/>
      <c r="L63" s="1342"/>
    </row>
    <row r="64" spans="1:12" ht="15">
      <c r="A64" s="1342"/>
      <c r="B64" s="1342"/>
      <c r="C64" s="1335">
        <v>38291</v>
      </c>
      <c r="D64" s="1164"/>
      <c r="E64" s="1164"/>
      <c r="F64" s="1164">
        <v>71.757499999999993</v>
      </c>
      <c r="G64" s="1164">
        <v>100.3125</v>
      </c>
      <c r="H64" s="1164">
        <v>116.7525</v>
      </c>
      <c r="I64" s="1164">
        <v>175.20500000000001</v>
      </c>
      <c r="J64" s="1336">
        <v>287.23500000000001</v>
      </c>
      <c r="K64" s="1342"/>
      <c r="L64" s="1342"/>
    </row>
    <row r="65" spans="1:12" ht="15">
      <c r="A65" s="1342"/>
      <c r="B65" s="1342"/>
      <c r="C65" s="1337">
        <v>38321</v>
      </c>
      <c r="D65" s="1162"/>
      <c r="E65" s="1162"/>
      <c r="F65" s="1162">
        <v>77.573999999999998</v>
      </c>
      <c r="G65" s="1162">
        <v>108.508</v>
      </c>
      <c r="H65" s="1162">
        <v>125.66</v>
      </c>
      <c r="I65" s="1162">
        <v>188.36200000000002</v>
      </c>
      <c r="J65" s="1338">
        <v>310.07799999999997</v>
      </c>
      <c r="K65" s="1342"/>
      <c r="L65" s="1342"/>
    </row>
    <row r="66" spans="1:12" ht="15.75" thickBot="1">
      <c r="A66" s="1342"/>
      <c r="B66" s="1342"/>
      <c r="C66" s="1339">
        <v>38352</v>
      </c>
      <c r="D66" s="1340"/>
      <c r="E66" s="1340"/>
      <c r="F66" s="1340">
        <v>77.569999999999993</v>
      </c>
      <c r="G66" s="1340">
        <v>108.49</v>
      </c>
      <c r="H66" s="1340">
        <v>125.75749999999999</v>
      </c>
      <c r="I66" s="1340">
        <v>188.4425</v>
      </c>
      <c r="J66" s="1341">
        <v>309.875</v>
      </c>
      <c r="K66" s="1342"/>
      <c r="L66" s="1342"/>
    </row>
    <row r="67" spans="1:12" ht="13.5" thickBot="1">
      <c r="A67" s="1342"/>
      <c r="B67" s="1342"/>
      <c r="C67" s="1770" t="s">
        <v>688</v>
      </c>
      <c r="D67" s="1631"/>
      <c r="E67" s="1631"/>
      <c r="F67" s="1631"/>
      <c r="G67" s="1631"/>
      <c r="H67" s="1631"/>
      <c r="I67" s="1631"/>
      <c r="J67" s="1631"/>
      <c r="K67" s="1342"/>
      <c r="L67" s="1342"/>
    </row>
    <row r="68" spans="1:12" ht="14.25">
      <c r="A68" s="1342"/>
      <c r="B68" s="1342"/>
      <c r="C68" s="1760" t="s">
        <v>674</v>
      </c>
      <c r="D68" s="1761"/>
      <c r="E68" s="1761"/>
      <c r="F68" s="1761"/>
      <c r="G68" s="1761"/>
      <c r="H68" s="1761"/>
      <c r="I68" s="1761"/>
      <c r="J68" s="1762"/>
      <c r="K68" s="1342"/>
      <c r="L68" s="1342"/>
    </row>
    <row r="69" spans="1:12">
      <c r="A69" s="1342"/>
      <c r="B69" s="1342"/>
      <c r="C69" s="1763" t="s">
        <v>675</v>
      </c>
      <c r="D69" s="1764"/>
      <c r="E69" s="1764"/>
      <c r="F69" s="1764"/>
      <c r="G69" s="1764"/>
      <c r="H69" s="1764"/>
      <c r="I69" s="1764"/>
      <c r="J69" s="1765"/>
      <c r="K69" s="1342"/>
      <c r="L69" s="1342"/>
    </row>
    <row r="70" spans="1:12">
      <c r="A70" s="1342"/>
      <c r="B70" s="1342"/>
      <c r="C70" s="1763" t="s">
        <v>676</v>
      </c>
      <c r="D70" s="1764"/>
      <c r="E70" s="1764"/>
      <c r="F70" s="1764"/>
      <c r="G70" s="1764"/>
      <c r="H70" s="1764"/>
      <c r="I70" s="1764"/>
      <c r="J70" s="1765"/>
      <c r="K70" s="1342"/>
      <c r="L70" s="1342"/>
    </row>
    <row r="71" spans="1:12" ht="13.5" thickBot="1">
      <c r="A71" s="1342"/>
      <c r="B71" s="1342"/>
      <c r="C71" s="1766" t="s">
        <v>685</v>
      </c>
      <c r="D71" s="1767"/>
      <c r="E71" s="1767"/>
      <c r="F71" s="1767"/>
      <c r="G71" s="1767"/>
      <c r="H71" s="1767"/>
      <c r="I71" s="1767"/>
      <c r="J71" s="1768"/>
      <c r="K71" s="1342"/>
      <c r="L71" s="1342"/>
    </row>
    <row r="72" spans="1:12" ht="15.75" thickBot="1">
      <c r="A72" s="1342"/>
      <c r="B72" s="1342"/>
      <c r="C72" s="1334" t="s">
        <v>25</v>
      </c>
      <c r="D72" s="1159" t="s">
        <v>677</v>
      </c>
      <c r="E72" s="1159" t="s">
        <v>678</v>
      </c>
      <c r="F72" s="1159" t="s">
        <v>679</v>
      </c>
      <c r="G72" s="1159" t="s">
        <v>680</v>
      </c>
      <c r="H72" s="1159" t="s">
        <v>681</v>
      </c>
      <c r="I72" s="1159" t="s">
        <v>682</v>
      </c>
      <c r="J72" s="1159" t="s">
        <v>683</v>
      </c>
      <c r="K72" s="1342"/>
      <c r="L72" s="1342"/>
    </row>
    <row r="73" spans="1:12" ht="15">
      <c r="A73" s="1342"/>
      <c r="B73" s="1342"/>
      <c r="C73" s="1343">
        <v>38383</v>
      </c>
      <c r="D73" s="1344"/>
      <c r="E73" s="1344"/>
      <c r="F73" s="1344">
        <v>76.995000000000005</v>
      </c>
      <c r="G73" s="1344">
        <v>107.63</v>
      </c>
      <c r="H73" s="1344">
        <v>125.94</v>
      </c>
      <c r="I73" s="1344">
        <v>188.87</v>
      </c>
      <c r="J73" s="1345">
        <v>307.22750000000002</v>
      </c>
      <c r="K73" s="1342"/>
      <c r="L73" s="1342"/>
    </row>
    <row r="74" spans="1:12" ht="15">
      <c r="A74" s="1342"/>
      <c r="B74" s="1342"/>
      <c r="C74" s="1335">
        <v>38411</v>
      </c>
      <c r="D74" s="1164"/>
      <c r="E74" s="1164"/>
      <c r="F74" s="1164">
        <v>72.855000000000004</v>
      </c>
      <c r="G74" s="1164">
        <v>101.94750000000001</v>
      </c>
      <c r="H74" s="1164">
        <v>125.0275</v>
      </c>
      <c r="I74" s="1164">
        <v>188.0575</v>
      </c>
      <c r="J74" s="1336">
        <v>290.75749999999999</v>
      </c>
      <c r="K74" s="1342"/>
      <c r="L74" s="1342"/>
    </row>
    <row r="75" spans="1:12" ht="15">
      <c r="A75" s="1342"/>
      <c r="B75" s="1342"/>
      <c r="C75" s="1337">
        <v>38442</v>
      </c>
      <c r="D75" s="1162"/>
      <c r="E75" s="1162"/>
      <c r="F75" s="1162">
        <v>70.739999999999995</v>
      </c>
      <c r="G75" s="1162">
        <v>99.032000000000011</v>
      </c>
      <c r="H75" s="1162">
        <v>124.88199999999999</v>
      </c>
      <c r="I75" s="1162">
        <v>187.93800000000002</v>
      </c>
      <c r="J75" s="1338">
        <v>282.66800000000001</v>
      </c>
      <c r="K75" s="1342"/>
      <c r="L75" s="1342"/>
    </row>
    <row r="76" spans="1:12" ht="15">
      <c r="A76" s="1342"/>
      <c r="B76" s="1342"/>
      <c r="C76" s="1335">
        <v>38472</v>
      </c>
      <c r="D76" s="1164"/>
      <c r="E76" s="1164"/>
      <c r="F76" s="1164">
        <v>73.057500000000005</v>
      </c>
      <c r="G76" s="1164">
        <v>102.24</v>
      </c>
      <c r="H76" s="1164">
        <v>125.735</v>
      </c>
      <c r="I76" s="1164">
        <v>188.63749999999999</v>
      </c>
      <c r="J76" s="1336">
        <v>291.70749999999998</v>
      </c>
      <c r="K76" s="1342"/>
      <c r="L76" s="1342"/>
    </row>
    <row r="77" spans="1:12" ht="15">
      <c r="A77" s="1342"/>
      <c r="B77" s="1342"/>
      <c r="C77" s="1337">
        <v>38503</v>
      </c>
      <c r="D77" s="1162"/>
      <c r="E77" s="1162"/>
      <c r="F77" s="1162">
        <v>63.726000000000013</v>
      </c>
      <c r="G77" s="1162">
        <v>89.171999999999997</v>
      </c>
      <c r="H77" s="1162">
        <v>103.87800000000001</v>
      </c>
      <c r="I77" s="1162">
        <v>155.74799999999999</v>
      </c>
      <c r="J77" s="1338">
        <v>253.92799999999997</v>
      </c>
      <c r="K77" s="1342"/>
      <c r="L77" s="1342"/>
    </row>
    <row r="78" spans="1:12" ht="15">
      <c r="A78" s="1342"/>
      <c r="B78" s="1342"/>
      <c r="C78" s="1335">
        <v>38533</v>
      </c>
      <c r="D78" s="1164"/>
      <c r="E78" s="1164"/>
      <c r="F78" s="1164">
        <v>60.51</v>
      </c>
      <c r="G78" s="1164">
        <v>84.644999999999996</v>
      </c>
      <c r="H78" s="1164">
        <v>98.37</v>
      </c>
      <c r="I78" s="1164">
        <v>146.98249999999999</v>
      </c>
      <c r="J78" s="1336">
        <v>241.0325</v>
      </c>
      <c r="K78" s="1342"/>
      <c r="L78" s="1342"/>
    </row>
    <row r="79" spans="1:12" ht="15">
      <c r="A79" s="1342"/>
      <c r="B79" s="1342"/>
      <c r="C79" s="1337">
        <v>38564</v>
      </c>
      <c r="D79" s="1162"/>
      <c r="E79" s="1162"/>
      <c r="F79" s="1162">
        <v>60.564999999999998</v>
      </c>
      <c r="G79" s="1162">
        <v>84.652500000000003</v>
      </c>
      <c r="H79" s="1162">
        <v>98.337500000000006</v>
      </c>
      <c r="I79" s="1162">
        <v>147.83000000000001</v>
      </c>
      <c r="J79" s="1338">
        <v>241.34</v>
      </c>
      <c r="K79" s="1342"/>
      <c r="L79" s="1342"/>
    </row>
    <row r="80" spans="1:12" ht="15">
      <c r="A80" s="1342"/>
      <c r="B80" s="1342"/>
      <c r="C80" s="1335">
        <v>38595</v>
      </c>
      <c r="D80" s="1164"/>
      <c r="E80" s="1164"/>
      <c r="F80" s="1164">
        <v>65.06</v>
      </c>
      <c r="G80" s="1164">
        <v>91</v>
      </c>
      <c r="H80" s="1164">
        <v>105.61800000000001</v>
      </c>
      <c r="I80" s="1164">
        <v>158.31400000000002</v>
      </c>
      <c r="J80" s="1336">
        <v>259.25200000000001</v>
      </c>
      <c r="K80" s="1342"/>
      <c r="L80" s="1342"/>
    </row>
    <row r="81" spans="1:12" ht="15">
      <c r="A81" s="1342"/>
      <c r="B81" s="1342"/>
      <c r="C81" s="1337">
        <v>38625</v>
      </c>
      <c r="D81" s="1162"/>
      <c r="E81" s="1162"/>
      <c r="F81" s="1162">
        <v>83.685000000000002</v>
      </c>
      <c r="G81" s="1162">
        <v>117.005</v>
      </c>
      <c r="H81" s="1162">
        <v>135.37</v>
      </c>
      <c r="I81" s="1162">
        <v>201.9675</v>
      </c>
      <c r="J81" s="1338">
        <v>333.25</v>
      </c>
      <c r="K81" s="1342"/>
      <c r="L81" s="1342"/>
    </row>
    <row r="82" spans="1:12" ht="15">
      <c r="A82" s="1342"/>
      <c r="B82" s="1342"/>
      <c r="C82" s="1335">
        <v>38656</v>
      </c>
      <c r="D82" s="1164"/>
      <c r="E82" s="1164"/>
      <c r="F82" s="1164">
        <v>90.587999999999994</v>
      </c>
      <c r="G82" s="1164">
        <v>126.792</v>
      </c>
      <c r="H82" s="1164">
        <v>145.93800000000002</v>
      </c>
      <c r="I82" s="1164">
        <v>217.804</v>
      </c>
      <c r="J82" s="1336">
        <v>361.13800000000003</v>
      </c>
      <c r="K82" s="1342"/>
      <c r="L82" s="1342"/>
    </row>
    <row r="83" spans="1:12" ht="15">
      <c r="A83" s="1342"/>
      <c r="B83" s="1342"/>
      <c r="C83" s="1337">
        <v>38686</v>
      </c>
      <c r="D83" s="1162"/>
      <c r="E83" s="1162"/>
      <c r="F83" s="1162">
        <v>93.097499999999997</v>
      </c>
      <c r="G83" s="1162">
        <v>130.3775</v>
      </c>
      <c r="H83" s="1162">
        <v>149.85749999999999</v>
      </c>
      <c r="I83" s="1162">
        <v>224.1275</v>
      </c>
      <c r="J83" s="1338">
        <v>371.47250000000003</v>
      </c>
      <c r="K83" s="1342"/>
      <c r="L83" s="1342"/>
    </row>
    <row r="84" spans="1:12" ht="15.75" thickBot="1">
      <c r="A84" s="1342"/>
      <c r="B84" s="1342"/>
      <c r="C84" s="1339">
        <v>38717</v>
      </c>
      <c r="D84" s="1340"/>
      <c r="E84" s="1340"/>
      <c r="F84" s="1340">
        <v>95.43</v>
      </c>
      <c r="G84" s="1340">
        <v>133.55250000000001</v>
      </c>
      <c r="H84" s="1340">
        <v>153.75</v>
      </c>
      <c r="I84" s="1340">
        <v>229.63499999999999</v>
      </c>
      <c r="J84" s="1341">
        <v>381.21749999999997</v>
      </c>
      <c r="K84" s="1342"/>
      <c r="L84" s="1342"/>
    </row>
    <row r="85" spans="1:12" ht="13.5" thickBot="1">
      <c r="A85" s="1342"/>
      <c r="B85" s="1342"/>
      <c r="C85" s="1770" t="s">
        <v>689</v>
      </c>
      <c r="D85" s="1631"/>
      <c r="E85" s="1631"/>
      <c r="F85" s="1631"/>
      <c r="G85" s="1631"/>
      <c r="H85" s="1631"/>
      <c r="I85" s="1631"/>
      <c r="J85" s="1631"/>
      <c r="K85" s="1342"/>
      <c r="L85" s="1342"/>
    </row>
    <row r="86" spans="1:12" ht="14.25">
      <c r="A86" s="1342"/>
      <c r="B86" s="1342"/>
      <c r="C86" s="1760" t="s">
        <v>674</v>
      </c>
      <c r="D86" s="1761"/>
      <c r="E86" s="1761"/>
      <c r="F86" s="1761"/>
      <c r="G86" s="1761"/>
      <c r="H86" s="1761"/>
      <c r="I86" s="1761"/>
      <c r="J86" s="1762"/>
      <c r="K86" s="1342"/>
      <c r="L86" s="1342"/>
    </row>
    <row r="87" spans="1:12">
      <c r="A87" s="1342"/>
      <c r="B87" s="1342"/>
      <c r="C87" s="1763" t="s">
        <v>675</v>
      </c>
      <c r="D87" s="1764"/>
      <c r="E87" s="1764"/>
      <c r="F87" s="1764"/>
      <c r="G87" s="1764"/>
      <c r="H87" s="1764"/>
      <c r="I87" s="1764"/>
      <c r="J87" s="1765"/>
      <c r="K87" s="1342"/>
      <c r="L87" s="1342"/>
    </row>
    <row r="88" spans="1:12">
      <c r="A88" s="1342"/>
      <c r="B88" s="1342"/>
      <c r="C88" s="1763" t="s">
        <v>676</v>
      </c>
      <c r="D88" s="1764"/>
      <c r="E88" s="1764"/>
      <c r="F88" s="1764"/>
      <c r="G88" s="1764"/>
      <c r="H88" s="1764"/>
      <c r="I88" s="1764"/>
      <c r="J88" s="1765"/>
      <c r="K88" s="1342"/>
      <c r="L88" s="1342"/>
    </row>
    <row r="89" spans="1:12" ht="13.5" thickBot="1">
      <c r="A89" s="1342"/>
      <c r="B89" s="1342"/>
      <c r="C89" s="1766" t="s">
        <v>685</v>
      </c>
      <c r="D89" s="1767"/>
      <c r="E89" s="1767"/>
      <c r="F89" s="1767"/>
      <c r="G89" s="1767"/>
      <c r="H89" s="1767"/>
      <c r="I89" s="1767"/>
      <c r="J89" s="1768"/>
      <c r="K89" s="1342"/>
      <c r="L89" s="1342"/>
    </row>
    <row r="90" spans="1:12" ht="15.75" thickBot="1">
      <c r="A90" s="1342"/>
      <c r="B90" s="1342"/>
      <c r="C90" s="1334" t="s">
        <v>25</v>
      </c>
      <c r="D90" s="1159" t="s">
        <v>677</v>
      </c>
      <c r="E90" s="1159" t="s">
        <v>678</v>
      </c>
      <c r="F90" s="1159" t="s">
        <v>679</v>
      </c>
      <c r="G90" s="1159" t="s">
        <v>680</v>
      </c>
      <c r="H90" s="1159" t="s">
        <v>681</v>
      </c>
      <c r="I90" s="1159" t="s">
        <v>682</v>
      </c>
      <c r="J90" s="1159" t="s">
        <v>683</v>
      </c>
      <c r="K90" s="1342"/>
      <c r="L90" s="1342"/>
    </row>
    <row r="91" spans="1:12" ht="15">
      <c r="A91" s="1342"/>
      <c r="B91" s="1342"/>
      <c r="C91" s="1343">
        <v>38748</v>
      </c>
      <c r="D91" s="1344"/>
      <c r="E91" s="1344"/>
      <c r="F91" s="1344">
        <v>95.41</v>
      </c>
      <c r="G91" s="1344">
        <v>133.55400000000003</v>
      </c>
      <c r="H91" s="1344">
        <v>153.63800000000001</v>
      </c>
      <c r="I91" s="1344">
        <v>229.654</v>
      </c>
      <c r="J91" s="1345">
        <v>381.22200000000004</v>
      </c>
      <c r="K91" s="1342"/>
      <c r="L91" s="1342"/>
    </row>
    <row r="92" spans="1:12" ht="15">
      <c r="A92" s="1342"/>
      <c r="B92" s="1342"/>
      <c r="C92" s="1335">
        <v>38776</v>
      </c>
      <c r="D92" s="1164"/>
      <c r="E92" s="1164"/>
      <c r="F92" s="1164">
        <v>95.385000000000005</v>
      </c>
      <c r="G92" s="1164">
        <v>133.54249999999999</v>
      </c>
      <c r="H92" s="1164">
        <v>153.54499999999999</v>
      </c>
      <c r="I92" s="1164">
        <v>229.66</v>
      </c>
      <c r="J92" s="1336">
        <v>381.22750000000002</v>
      </c>
      <c r="K92" s="1342"/>
      <c r="L92" s="1342"/>
    </row>
    <row r="93" spans="1:12" ht="15">
      <c r="A93" s="1342"/>
      <c r="B93" s="1342"/>
      <c r="C93" s="1337">
        <v>38807</v>
      </c>
      <c r="D93" s="1162"/>
      <c r="E93" s="1162"/>
      <c r="F93" s="1162">
        <v>91.767499999999998</v>
      </c>
      <c r="G93" s="1162">
        <v>128.48500000000001</v>
      </c>
      <c r="H93" s="1162">
        <v>147.47</v>
      </c>
      <c r="I93" s="1162">
        <v>220.89</v>
      </c>
      <c r="J93" s="1338">
        <v>366.7475</v>
      </c>
      <c r="K93" s="1342"/>
      <c r="L93" s="1342"/>
    </row>
    <row r="94" spans="1:12" ht="15">
      <c r="A94" s="1342"/>
      <c r="B94" s="1342"/>
      <c r="C94" s="1335">
        <v>38837</v>
      </c>
      <c r="D94" s="1164"/>
      <c r="E94" s="1164"/>
      <c r="F94" s="1164">
        <v>85.67</v>
      </c>
      <c r="G94" s="1164">
        <v>119.91</v>
      </c>
      <c r="H94" s="1164">
        <v>137.82</v>
      </c>
      <c r="I94" s="1164">
        <v>206.70750000000001</v>
      </c>
      <c r="J94" s="1336">
        <v>341.84500000000003</v>
      </c>
      <c r="K94" s="1342"/>
      <c r="L94" s="1342"/>
    </row>
    <row r="95" spans="1:12" ht="15">
      <c r="A95" s="1342"/>
      <c r="B95" s="1342"/>
      <c r="C95" s="1337">
        <v>38868</v>
      </c>
      <c r="D95" s="1162"/>
      <c r="E95" s="1162"/>
      <c r="F95" s="1162">
        <v>85.626000000000005</v>
      </c>
      <c r="G95" s="1162">
        <v>119.73399999999999</v>
      </c>
      <c r="H95" s="1162">
        <v>138.17400000000001</v>
      </c>
      <c r="I95" s="1162">
        <v>206.62</v>
      </c>
      <c r="J95" s="1338">
        <v>341.42200000000003</v>
      </c>
      <c r="K95" s="1342"/>
      <c r="L95" s="1342"/>
    </row>
    <row r="96" spans="1:12" ht="15">
      <c r="A96" s="1342"/>
      <c r="B96" s="1342"/>
      <c r="C96" s="1335">
        <v>38898</v>
      </c>
      <c r="D96" s="1164"/>
      <c r="E96" s="1164"/>
      <c r="F96" s="1164">
        <v>85.602500000000006</v>
      </c>
      <c r="G96" s="1164">
        <v>119.7325</v>
      </c>
      <c r="H96" s="1164">
        <v>138.1875</v>
      </c>
      <c r="I96" s="1164">
        <v>207.12</v>
      </c>
      <c r="J96" s="1336">
        <v>341.42500000000001</v>
      </c>
      <c r="K96" s="1342"/>
      <c r="L96" s="1342"/>
    </row>
    <row r="97" spans="1:12" ht="15">
      <c r="A97" s="1342"/>
      <c r="B97" s="1342"/>
      <c r="C97" s="1337">
        <v>38929</v>
      </c>
      <c r="D97" s="1162"/>
      <c r="E97" s="1162"/>
      <c r="F97" s="1162">
        <v>87.635999999999996</v>
      </c>
      <c r="G97" s="1162">
        <v>122.53</v>
      </c>
      <c r="H97" s="1162">
        <v>141.602</v>
      </c>
      <c r="I97" s="1162">
        <v>211.91199999999998</v>
      </c>
      <c r="J97" s="1338">
        <v>349.67800000000005</v>
      </c>
      <c r="K97" s="1342"/>
      <c r="L97" s="1342"/>
    </row>
    <row r="98" spans="1:12" ht="15">
      <c r="A98" s="1342"/>
      <c r="B98" s="1342"/>
      <c r="C98" s="1335">
        <v>38960</v>
      </c>
      <c r="D98" s="1164"/>
      <c r="E98" s="1164"/>
      <c r="F98" s="1164">
        <v>93.224999999999994</v>
      </c>
      <c r="G98" s="1164">
        <v>130.41749999999999</v>
      </c>
      <c r="H98" s="1164">
        <v>149.9075</v>
      </c>
      <c r="I98" s="1164">
        <v>224.6525</v>
      </c>
      <c r="J98" s="1336">
        <v>371.99250000000001</v>
      </c>
      <c r="K98" s="1342"/>
      <c r="L98" s="1342"/>
    </row>
    <row r="99" spans="1:12" ht="15">
      <c r="A99" s="1342"/>
      <c r="B99" s="1342"/>
      <c r="C99" s="1337">
        <v>38990</v>
      </c>
      <c r="D99" s="1162"/>
      <c r="E99" s="1162"/>
      <c r="F99" s="1162">
        <v>95.5</v>
      </c>
      <c r="G99" s="1162">
        <v>133.59</v>
      </c>
      <c r="H99" s="1162">
        <v>153.66</v>
      </c>
      <c r="I99" s="1162">
        <v>230.39</v>
      </c>
      <c r="J99" s="1338">
        <v>380.9425</v>
      </c>
      <c r="K99" s="1342"/>
      <c r="L99" s="1342"/>
    </row>
    <row r="100" spans="1:12" ht="15">
      <c r="A100" s="1342"/>
      <c r="B100" s="1342"/>
      <c r="C100" s="1335">
        <v>39021</v>
      </c>
      <c r="D100" s="1164"/>
      <c r="E100" s="1164"/>
      <c r="F100" s="1164">
        <v>95.588000000000008</v>
      </c>
      <c r="G100" s="1164">
        <v>133.702</v>
      </c>
      <c r="H100" s="1164">
        <v>153.49799999999999</v>
      </c>
      <c r="I100" s="1164">
        <v>230.27800000000002</v>
      </c>
      <c r="J100" s="1336">
        <v>381.20600000000002</v>
      </c>
      <c r="K100" s="1342"/>
      <c r="L100" s="1342"/>
    </row>
    <row r="101" spans="1:12" ht="15">
      <c r="A101" s="1342"/>
      <c r="B101" s="1342"/>
      <c r="C101" s="1337">
        <v>39051</v>
      </c>
      <c r="D101" s="1162"/>
      <c r="E101" s="1162"/>
      <c r="F101" s="1162">
        <v>95.6</v>
      </c>
      <c r="G101" s="1162">
        <v>133.67250000000001</v>
      </c>
      <c r="H101" s="1162">
        <v>153.70500000000001</v>
      </c>
      <c r="I101" s="1162">
        <v>231.70500000000001</v>
      </c>
      <c r="J101" s="1338">
        <v>381.22750000000002</v>
      </c>
      <c r="K101" s="1342"/>
      <c r="L101" s="1342"/>
    </row>
    <row r="102" spans="1:12" ht="15.75" thickBot="1">
      <c r="A102" s="1342"/>
      <c r="B102" s="1342"/>
      <c r="C102" s="1339">
        <v>39082</v>
      </c>
      <c r="D102" s="1340"/>
      <c r="E102" s="1340"/>
      <c r="F102" s="1340">
        <v>95.567499999999995</v>
      </c>
      <c r="G102" s="1340">
        <v>133.69499999999999</v>
      </c>
      <c r="H102" s="1340">
        <v>153.65</v>
      </c>
      <c r="I102" s="1340">
        <v>230.71250000000001</v>
      </c>
      <c r="J102" s="1341">
        <v>381.2</v>
      </c>
      <c r="K102" s="1342"/>
      <c r="L102" s="1342"/>
    </row>
    <row r="103" spans="1:12" ht="13.5" thickBot="1">
      <c r="A103" s="1342"/>
      <c r="B103" s="1342"/>
      <c r="C103" s="1770" t="s">
        <v>690</v>
      </c>
      <c r="D103" s="1631"/>
      <c r="E103" s="1631"/>
      <c r="F103" s="1631"/>
      <c r="G103" s="1631"/>
      <c r="H103" s="1631"/>
      <c r="I103" s="1631"/>
      <c r="J103" s="1631"/>
      <c r="K103" s="1342"/>
      <c r="L103" s="1342"/>
    </row>
    <row r="104" spans="1:12" ht="14.25">
      <c r="A104" s="1342"/>
      <c r="B104" s="1342"/>
      <c r="C104" s="1760" t="s">
        <v>674</v>
      </c>
      <c r="D104" s="1761"/>
      <c r="E104" s="1761"/>
      <c r="F104" s="1761"/>
      <c r="G104" s="1761"/>
      <c r="H104" s="1761"/>
      <c r="I104" s="1761"/>
      <c r="J104" s="1762"/>
      <c r="K104" s="1342"/>
      <c r="L104" s="1342"/>
    </row>
    <row r="105" spans="1:12">
      <c r="A105" s="1342"/>
      <c r="B105" s="1342"/>
      <c r="C105" s="1763" t="s">
        <v>675</v>
      </c>
      <c r="D105" s="1764"/>
      <c r="E105" s="1764"/>
      <c r="F105" s="1764"/>
      <c r="G105" s="1764"/>
      <c r="H105" s="1764"/>
      <c r="I105" s="1764"/>
      <c r="J105" s="1765"/>
      <c r="K105" s="1342"/>
      <c r="L105" s="1342"/>
    </row>
    <row r="106" spans="1:12">
      <c r="A106" s="1342"/>
      <c r="B106" s="1342"/>
      <c r="C106" s="1763" t="s">
        <v>676</v>
      </c>
      <c r="D106" s="1764"/>
      <c r="E106" s="1764"/>
      <c r="F106" s="1764"/>
      <c r="G106" s="1764"/>
      <c r="H106" s="1764"/>
      <c r="I106" s="1764"/>
      <c r="J106" s="1765"/>
      <c r="K106" s="1342"/>
      <c r="L106" s="1342"/>
    </row>
    <row r="107" spans="1:12" ht="13.5" thickBot="1">
      <c r="A107" s="1342"/>
      <c r="B107" s="1342"/>
      <c r="C107" s="1766" t="s">
        <v>685</v>
      </c>
      <c r="D107" s="1767"/>
      <c r="E107" s="1767"/>
      <c r="F107" s="1767"/>
      <c r="G107" s="1767"/>
      <c r="H107" s="1767"/>
      <c r="I107" s="1767"/>
      <c r="J107" s="1768"/>
      <c r="K107" s="1342"/>
      <c r="L107" s="1342"/>
    </row>
    <row r="108" spans="1:12" ht="15.75" thickBot="1">
      <c r="A108" s="1342"/>
      <c r="B108" s="1342"/>
      <c r="C108" s="1334" t="s">
        <v>25</v>
      </c>
      <c r="D108" s="1159" t="s">
        <v>677</v>
      </c>
      <c r="E108" s="1159" t="s">
        <v>678</v>
      </c>
      <c r="F108" s="1159" t="s">
        <v>679</v>
      </c>
      <c r="G108" s="1159" t="s">
        <v>680</v>
      </c>
      <c r="H108" s="1159" t="s">
        <v>681</v>
      </c>
      <c r="I108" s="1159" t="s">
        <v>682</v>
      </c>
      <c r="J108" s="1159" t="s">
        <v>683</v>
      </c>
      <c r="K108" s="1342"/>
      <c r="L108" s="1342"/>
    </row>
    <row r="109" spans="1:12" ht="15">
      <c r="A109" s="1342"/>
      <c r="B109" s="1342"/>
      <c r="C109" s="1343">
        <v>39113</v>
      </c>
      <c r="D109" s="1344"/>
      <c r="E109" s="1344"/>
      <c r="F109" s="1344">
        <v>95.567499999999995</v>
      </c>
      <c r="G109" s="1344">
        <v>133.69499999999999</v>
      </c>
      <c r="H109" s="1344">
        <v>153.65</v>
      </c>
      <c r="I109" s="1344">
        <v>230.71250000000001</v>
      </c>
      <c r="J109" s="1345">
        <v>381.2</v>
      </c>
      <c r="K109" s="1342"/>
      <c r="L109" s="1342"/>
    </row>
    <row r="110" spans="1:12" ht="15">
      <c r="A110" s="1342"/>
      <c r="B110" s="1342"/>
      <c r="C110" s="1335">
        <v>39141</v>
      </c>
      <c r="D110" s="1164"/>
      <c r="E110" s="1164"/>
      <c r="F110" s="1164">
        <v>95.56</v>
      </c>
      <c r="G110" s="1164">
        <v>133.70750000000001</v>
      </c>
      <c r="H110" s="1164">
        <v>153.66</v>
      </c>
      <c r="I110" s="1164">
        <v>230.67</v>
      </c>
      <c r="J110" s="1336">
        <v>381.10500000000002</v>
      </c>
      <c r="K110" s="1342"/>
      <c r="L110" s="1342"/>
    </row>
    <row r="111" spans="1:12" ht="15">
      <c r="A111" s="1342"/>
      <c r="B111" s="1342"/>
      <c r="C111" s="1337">
        <v>39172</v>
      </c>
      <c r="D111" s="1162"/>
      <c r="E111" s="1162"/>
      <c r="F111" s="1162">
        <v>95.527500000000003</v>
      </c>
      <c r="G111" s="1162">
        <v>133.67750000000001</v>
      </c>
      <c r="H111" s="1162">
        <v>153.66999999999999</v>
      </c>
      <c r="I111" s="1162">
        <v>230.6875</v>
      </c>
      <c r="J111" s="1338">
        <v>381.08499999999998</v>
      </c>
      <c r="K111" s="1342"/>
      <c r="L111" s="1342"/>
    </row>
    <row r="112" spans="1:12" ht="15">
      <c r="A112" s="1342"/>
      <c r="B112" s="1342"/>
      <c r="C112" s="1335">
        <v>39202</v>
      </c>
      <c r="D112" s="1164"/>
      <c r="E112" s="1164"/>
      <c r="F112" s="1164">
        <v>95.499647058823527</v>
      </c>
      <c r="G112" s="1164">
        <v>133.65082352941175</v>
      </c>
      <c r="H112" s="1164">
        <v>153.67541463414631</v>
      </c>
      <c r="I112" s="1164">
        <v>230.68266666666668</v>
      </c>
      <c r="J112" s="1336">
        <v>381.11800000000005</v>
      </c>
      <c r="K112" s="1342"/>
      <c r="L112" s="1342"/>
    </row>
    <row r="113" spans="1:12" ht="15">
      <c r="A113" s="1342"/>
      <c r="B113" s="1342"/>
      <c r="C113" s="1337">
        <v>39233</v>
      </c>
      <c r="D113" s="1162"/>
      <c r="E113" s="1162"/>
      <c r="F113" s="1162">
        <v>96.09</v>
      </c>
      <c r="G113" s="1162">
        <v>134.47</v>
      </c>
      <c r="H113" s="1162">
        <v>153.85</v>
      </c>
      <c r="I113" s="1162">
        <v>230.7</v>
      </c>
      <c r="J113" s="1338">
        <v>383.65</v>
      </c>
      <c r="K113" s="1342"/>
      <c r="L113" s="1342"/>
    </row>
    <row r="114" spans="1:12" ht="15">
      <c r="A114" s="1342"/>
      <c r="B114" s="1342"/>
      <c r="C114" s="1335">
        <v>39263</v>
      </c>
      <c r="D114" s="1164"/>
      <c r="E114" s="1164"/>
      <c r="F114" s="1164">
        <v>95.67</v>
      </c>
      <c r="G114" s="1164">
        <v>133.88</v>
      </c>
      <c r="H114" s="1164">
        <v>153.71</v>
      </c>
      <c r="I114" s="1164">
        <v>230.69</v>
      </c>
      <c r="J114" s="1336">
        <v>381.74</v>
      </c>
      <c r="K114" s="1342"/>
      <c r="L114" s="1342"/>
    </row>
    <row r="115" spans="1:12" ht="15">
      <c r="A115" s="1342"/>
      <c r="B115" s="1342"/>
      <c r="C115" s="1337">
        <v>39294</v>
      </c>
      <c r="D115" s="1162"/>
      <c r="E115" s="1162"/>
      <c r="F115" s="1162">
        <v>100.43199999999999</v>
      </c>
      <c r="G115" s="1162">
        <v>140.488</v>
      </c>
      <c r="H115" s="1162">
        <v>161.864</v>
      </c>
      <c r="I115" s="1162">
        <v>241.92</v>
      </c>
      <c r="J115" s="1338">
        <v>400.90200000000004</v>
      </c>
      <c r="K115" s="1342"/>
      <c r="L115" s="1342"/>
    </row>
    <row r="116" spans="1:12" ht="15">
      <c r="A116" s="1342"/>
      <c r="B116" s="1342"/>
      <c r="C116" s="1335">
        <v>39325</v>
      </c>
      <c r="D116" s="1164"/>
      <c r="E116" s="1164"/>
      <c r="F116" s="1164">
        <v>100.44</v>
      </c>
      <c r="G116" s="1164">
        <v>140.5</v>
      </c>
      <c r="H116" s="1164">
        <v>161.47999999999999</v>
      </c>
      <c r="I116" s="1164">
        <v>241.98</v>
      </c>
      <c r="J116" s="1336">
        <v>400.86</v>
      </c>
      <c r="K116" s="1342"/>
      <c r="L116" s="1342"/>
    </row>
    <row r="117" spans="1:12" ht="15">
      <c r="A117" s="1342"/>
      <c r="B117" s="1342"/>
      <c r="C117" s="1337">
        <v>39355</v>
      </c>
      <c r="D117" s="1162"/>
      <c r="E117" s="1162"/>
      <c r="F117" s="1162">
        <v>100.44</v>
      </c>
      <c r="G117" s="1162">
        <v>140.5</v>
      </c>
      <c r="H117" s="1162">
        <v>161.47999999999999</v>
      </c>
      <c r="I117" s="1162">
        <v>241.98</v>
      </c>
      <c r="J117" s="1338">
        <v>400.86</v>
      </c>
      <c r="K117" s="1342"/>
      <c r="L117" s="1342"/>
    </row>
    <row r="118" spans="1:12" ht="15">
      <c r="A118" s="1342"/>
      <c r="B118" s="1342"/>
      <c r="C118" s="1335">
        <v>39386</v>
      </c>
      <c r="D118" s="1164"/>
      <c r="E118" s="1164"/>
      <c r="F118" s="1164">
        <v>103.33</v>
      </c>
      <c r="G118" s="1164">
        <v>144.57</v>
      </c>
      <c r="H118" s="1164">
        <v>164.738</v>
      </c>
      <c r="I118" s="1164">
        <v>246.988</v>
      </c>
      <c r="J118" s="1336">
        <v>412.71199999999999</v>
      </c>
      <c r="K118" s="1342"/>
      <c r="L118" s="1342"/>
    </row>
    <row r="119" spans="1:12" ht="15">
      <c r="A119" s="1342"/>
      <c r="B119" s="1342"/>
      <c r="C119" s="1337">
        <v>39416</v>
      </c>
      <c r="D119" s="1162"/>
      <c r="E119" s="1162"/>
      <c r="F119" s="1162">
        <v>117.81</v>
      </c>
      <c r="G119" s="1162">
        <v>164.85</v>
      </c>
      <c r="H119" s="1162">
        <v>189.2</v>
      </c>
      <c r="I119" s="1162">
        <v>283.47000000000003</v>
      </c>
      <c r="J119" s="1338">
        <v>470.3125</v>
      </c>
      <c r="K119" s="1342"/>
      <c r="L119" s="1342"/>
    </row>
    <row r="120" spans="1:12" ht="15.75" thickBot="1">
      <c r="A120" s="1342"/>
      <c r="B120" s="1342"/>
      <c r="C120" s="1339">
        <v>39447</v>
      </c>
      <c r="D120" s="1340"/>
      <c r="E120" s="1340"/>
      <c r="F120" s="1340">
        <v>120.37</v>
      </c>
      <c r="G120" s="1340">
        <v>168.41</v>
      </c>
      <c r="H120" s="1340">
        <v>193.47</v>
      </c>
      <c r="I120" s="1340">
        <v>289.44</v>
      </c>
      <c r="J120" s="1341">
        <v>480.37</v>
      </c>
      <c r="K120" s="1342"/>
      <c r="L120" s="1342"/>
    </row>
    <row r="121" spans="1:12" ht="13.5" thickBot="1">
      <c r="A121" s="1342"/>
      <c r="B121" s="1342"/>
      <c r="C121" s="1770" t="s">
        <v>691</v>
      </c>
      <c r="D121" s="1631"/>
      <c r="E121" s="1631"/>
      <c r="F121" s="1631"/>
      <c r="G121" s="1631"/>
      <c r="H121" s="1631"/>
      <c r="I121" s="1631"/>
      <c r="J121" s="1631"/>
      <c r="K121" s="1770"/>
      <c r="L121" s="1631"/>
    </row>
    <row r="122" spans="1:12" ht="14.25">
      <c r="A122" s="1342"/>
      <c r="B122" s="1342"/>
      <c r="C122" s="1760" t="s">
        <v>674</v>
      </c>
      <c r="D122" s="1761"/>
      <c r="E122" s="1761"/>
      <c r="F122" s="1761"/>
      <c r="G122" s="1761"/>
      <c r="H122" s="1761"/>
      <c r="I122" s="1761"/>
      <c r="J122" s="1762"/>
      <c r="K122" s="1342"/>
      <c r="L122" s="1342"/>
    </row>
    <row r="123" spans="1:12">
      <c r="A123" s="1342"/>
      <c r="B123" s="1342"/>
      <c r="C123" s="1763" t="s">
        <v>675</v>
      </c>
      <c r="D123" s="1764"/>
      <c r="E123" s="1764"/>
      <c r="F123" s="1764"/>
      <c r="G123" s="1764"/>
      <c r="H123" s="1764"/>
      <c r="I123" s="1764"/>
      <c r="J123" s="1765"/>
      <c r="K123" s="1342"/>
      <c r="L123" s="1342"/>
    </row>
    <row r="124" spans="1:12">
      <c r="A124" s="1342"/>
      <c r="B124" s="1342"/>
      <c r="C124" s="1763" t="s">
        <v>676</v>
      </c>
      <c r="D124" s="1764"/>
      <c r="E124" s="1764"/>
      <c r="F124" s="1764"/>
      <c r="G124" s="1764"/>
      <c r="H124" s="1764"/>
      <c r="I124" s="1764"/>
      <c r="J124" s="1765"/>
      <c r="K124" s="1342"/>
      <c r="L124" s="1342"/>
    </row>
    <row r="125" spans="1:12" ht="13.5" thickBot="1">
      <c r="A125" s="1342"/>
      <c r="B125" s="1342"/>
      <c r="C125" s="1766" t="s">
        <v>685</v>
      </c>
      <c r="D125" s="1767"/>
      <c r="E125" s="1767"/>
      <c r="F125" s="1767"/>
      <c r="G125" s="1767"/>
      <c r="H125" s="1767"/>
      <c r="I125" s="1767"/>
      <c r="J125" s="1768"/>
      <c r="K125" s="1342"/>
      <c r="L125" s="1342"/>
    </row>
    <row r="126" spans="1:12" ht="15.75" thickBot="1">
      <c r="A126" s="1342"/>
      <c r="B126" s="1342"/>
      <c r="C126" s="1334" t="s">
        <v>25</v>
      </c>
      <c r="D126" s="1159" t="s">
        <v>677</v>
      </c>
      <c r="E126" s="1159" t="s">
        <v>678</v>
      </c>
      <c r="F126" s="1159" t="s">
        <v>679</v>
      </c>
      <c r="G126" s="1159" t="s">
        <v>680</v>
      </c>
      <c r="H126" s="1159" t="s">
        <v>681</v>
      </c>
      <c r="I126" s="1159" t="s">
        <v>682</v>
      </c>
      <c r="J126" s="1159" t="s">
        <v>683</v>
      </c>
      <c r="K126" s="1342"/>
      <c r="L126" s="1342"/>
    </row>
    <row r="127" spans="1:12" ht="15">
      <c r="A127" s="1342"/>
      <c r="B127" s="1342"/>
      <c r="C127" s="1343">
        <v>39478</v>
      </c>
      <c r="D127" s="1344"/>
      <c r="E127" s="1344"/>
      <c r="F127" s="1344">
        <v>120.37</v>
      </c>
      <c r="G127" s="1344">
        <v>168.41</v>
      </c>
      <c r="H127" s="1344">
        <v>193.47</v>
      </c>
      <c r="I127" s="1344">
        <v>289.44</v>
      </c>
      <c r="J127" s="1345">
        <v>480.37</v>
      </c>
      <c r="K127" s="1342"/>
      <c r="L127" s="1342"/>
    </row>
    <row r="128" spans="1:12" ht="15">
      <c r="A128" s="1342"/>
      <c r="B128" s="1342"/>
      <c r="C128" s="1335">
        <v>39479</v>
      </c>
      <c r="D128" s="1164"/>
      <c r="E128" s="1164"/>
      <c r="F128" s="1164">
        <v>120.37</v>
      </c>
      <c r="G128" s="1164">
        <v>168.41</v>
      </c>
      <c r="H128" s="1164">
        <v>193.47</v>
      </c>
      <c r="I128" s="1164">
        <v>289.44</v>
      </c>
      <c r="J128" s="1336">
        <v>480.37</v>
      </c>
      <c r="K128" s="1342"/>
      <c r="L128" s="1342"/>
    </row>
    <row r="129" spans="1:12" ht="15">
      <c r="A129" s="1342"/>
      <c r="B129" s="1342"/>
      <c r="C129" s="1337">
        <v>39508</v>
      </c>
      <c r="D129" s="1162"/>
      <c r="E129" s="1162"/>
      <c r="F129" s="1162">
        <v>121.33</v>
      </c>
      <c r="G129" s="1162">
        <v>169.76599999999999</v>
      </c>
      <c r="H129" s="1162">
        <v>194.892</v>
      </c>
      <c r="I129" s="1162">
        <v>291.63</v>
      </c>
      <c r="J129" s="1338">
        <v>484.41800000000001</v>
      </c>
      <c r="K129" s="1342"/>
      <c r="L129" s="1342"/>
    </row>
    <row r="130" spans="1:12" ht="15">
      <c r="A130" s="1342"/>
      <c r="B130" s="1342"/>
      <c r="C130" s="1335">
        <v>39539</v>
      </c>
      <c r="D130" s="1164"/>
      <c r="E130" s="1164"/>
      <c r="F130" s="1164">
        <v>125.19</v>
      </c>
      <c r="G130" s="1164">
        <v>175.22499999999999</v>
      </c>
      <c r="H130" s="1164">
        <v>200.875</v>
      </c>
      <c r="I130" s="1164">
        <v>300.83999999999997</v>
      </c>
      <c r="J130" s="1336">
        <v>500.61</v>
      </c>
      <c r="K130" s="1342"/>
      <c r="L130" s="1342"/>
    </row>
    <row r="131" spans="1:12" ht="15">
      <c r="A131" s="1342"/>
      <c r="B131" s="1342"/>
      <c r="C131" s="1337">
        <v>39569</v>
      </c>
      <c r="D131" s="1162"/>
      <c r="E131" s="1162"/>
      <c r="F131" s="1162">
        <v>129.595</v>
      </c>
      <c r="G131" s="1162">
        <v>181.29499999999999</v>
      </c>
      <c r="H131" s="1162">
        <v>203.32249999999999</v>
      </c>
      <c r="I131" s="1162">
        <v>303.65499999999997</v>
      </c>
      <c r="J131" s="1338">
        <v>518.34749999999997</v>
      </c>
      <c r="K131" s="1342"/>
      <c r="L131" s="1342"/>
    </row>
    <row r="132" spans="1:12" ht="15">
      <c r="A132" s="1342"/>
      <c r="B132" s="1342"/>
      <c r="C132" s="1335">
        <v>39600</v>
      </c>
      <c r="D132" s="1164"/>
      <c r="E132" s="1164"/>
      <c r="F132" s="1164">
        <v>131.7775</v>
      </c>
      <c r="G132" s="1164">
        <v>184.3775</v>
      </c>
      <c r="H132" s="1164">
        <v>209.66749999999999</v>
      </c>
      <c r="I132" s="1164">
        <v>318.625</v>
      </c>
      <c r="J132" s="1336">
        <v>524.14499999999998</v>
      </c>
      <c r="K132" s="1342"/>
      <c r="L132" s="1342"/>
    </row>
    <row r="133" spans="1:12" ht="15">
      <c r="A133" s="1342"/>
      <c r="B133" s="1342"/>
      <c r="C133" s="1337">
        <v>39630</v>
      </c>
      <c r="D133" s="1162"/>
      <c r="E133" s="1162"/>
      <c r="F133" s="1162">
        <v>133.21799999999999</v>
      </c>
      <c r="G133" s="1162">
        <v>186.17</v>
      </c>
      <c r="H133" s="1162">
        <v>214.73600000000002</v>
      </c>
      <c r="I133" s="1162">
        <v>320.95</v>
      </c>
      <c r="J133" s="1338">
        <v>531.18599999999992</v>
      </c>
      <c r="K133" s="1342"/>
      <c r="L133" s="1342"/>
    </row>
    <row r="134" spans="1:12" ht="15">
      <c r="A134" s="1342"/>
      <c r="B134" s="1342"/>
      <c r="C134" s="1335">
        <v>39661</v>
      </c>
      <c r="D134" s="1164"/>
      <c r="E134" s="1164"/>
      <c r="F134" s="1164">
        <v>133.6</v>
      </c>
      <c r="G134" s="1164">
        <v>186.7825</v>
      </c>
      <c r="H134" s="1164">
        <v>214.07499999999999</v>
      </c>
      <c r="I134" s="1164">
        <v>320.52499999999998</v>
      </c>
      <c r="J134" s="1336">
        <v>532.88499999999999</v>
      </c>
      <c r="K134" s="1342"/>
      <c r="L134" s="1342"/>
    </row>
    <row r="135" spans="1:12" ht="15">
      <c r="A135" s="1342"/>
      <c r="B135" s="1342"/>
      <c r="C135" s="1337">
        <v>39692</v>
      </c>
      <c r="D135" s="1162"/>
      <c r="E135" s="1162"/>
      <c r="F135" s="1162">
        <v>128.92400000000004</v>
      </c>
      <c r="G135" s="1162">
        <v>180.196</v>
      </c>
      <c r="H135" s="1162">
        <v>207.61200000000002</v>
      </c>
      <c r="I135" s="1162">
        <v>309.06200000000001</v>
      </c>
      <c r="J135" s="1338">
        <v>514.19400000000007</v>
      </c>
      <c r="K135" s="1342"/>
      <c r="L135" s="1342"/>
    </row>
    <row r="136" spans="1:12" ht="15">
      <c r="A136" s="1342"/>
      <c r="B136" s="1342"/>
      <c r="C136" s="1335">
        <v>39722</v>
      </c>
      <c r="D136" s="1164"/>
      <c r="E136" s="1164"/>
      <c r="F136" s="1164">
        <v>118.25749999999999</v>
      </c>
      <c r="G136" s="1164">
        <v>165.6925</v>
      </c>
      <c r="H136" s="1164">
        <v>190.20750000000001</v>
      </c>
      <c r="I136" s="1164">
        <v>285.51</v>
      </c>
      <c r="J136" s="1336">
        <v>471.8075</v>
      </c>
      <c r="K136" s="1342"/>
      <c r="L136" s="1342"/>
    </row>
    <row r="137" spans="1:12" ht="15">
      <c r="A137" s="1342"/>
      <c r="B137" s="1342"/>
      <c r="C137" s="1337">
        <v>39753</v>
      </c>
      <c r="D137" s="1162"/>
      <c r="E137" s="1162"/>
      <c r="F137" s="1162">
        <v>108.8125</v>
      </c>
      <c r="G137" s="1162">
        <v>152.5625</v>
      </c>
      <c r="H137" s="1162">
        <v>174.035</v>
      </c>
      <c r="I137" s="1162">
        <v>260.97750000000002</v>
      </c>
      <c r="J137" s="1338">
        <v>434.83249999999998</v>
      </c>
      <c r="K137" s="1342"/>
      <c r="L137" s="1342"/>
    </row>
    <row r="138" spans="1:12" ht="15.75" thickBot="1">
      <c r="A138" s="1342"/>
      <c r="B138" s="1342"/>
      <c r="C138" s="1339">
        <v>39783</v>
      </c>
      <c r="D138" s="1340"/>
      <c r="E138" s="1340"/>
      <c r="F138" s="1340">
        <v>102.73200000000001</v>
      </c>
      <c r="G138" s="1340">
        <v>143.80199999999999</v>
      </c>
      <c r="H138" s="1340">
        <v>164.59399999999999</v>
      </c>
      <c r="I138" s="1340">
        <v>246.25</v>
      </c>
      <c r="J138" s="1341">
        <v>410.11</v>
      </c>
      <c r="K138" s="1342"/>
      <c r="L138" s="1342"/>
    </row>
    <row r="139" spans="1:12" ht="27" customHeight="1" thickBot="1">
      <c r="A139" s="1342"/>
      <c r="B139" s="1342"/>
      <c r="C139" s="1758" t="s">
        <v>692</v>
      </c>
      <c r="D139" s="1759"/>
      <c r="E139" s="1759"/>
      <c r="F139" s="1759"/>
      <c r="G139" s="1759"/>
      <c r="H139" s="1759"/>
      <c r="I139" s="1759"/>
      <c r="J139" s="1759"/>
      <c r="K139" s="1342"/>
      <c r="L139" s="1342"/>
    </row>
    <row r="140" spans="1:12" ht="14.25">
      <c r="A140" s="1342"/>
      <c r="B140" s="1342"/>
      <c r="C140" s="1760" t="s">
        <v>674</v>
      </c>
      <c r="D140" s="1761"/>
      <c r="E140" s="1761"/>
      <c r="F140" s="1761"/>
      <c r="G140" s="1761"/>
      <c r="H140" s="1761"/>
      <c r="I140" s="1761"/>
      <c r="J140" s="1762"/>
      <c r="K140" s="1342"/>
      <c r="L140" s="1342"/>
    </row>
    <row r="141" spans="1:12">
      <c r="A141" s="1342"/>
      <c r="B141" s="1342"/>
      <c r="C141" s="1763" t="s">
        <v>675</v>
      </c>
      <c r="D141" s="1764"/>
      <c r="E141" s="1764"/>
      <c r="F141" s="1764"/>
      <c r="G141" s="1764"/>
      <c r="H141" s="1764"/>
      <c r="I141" s="1764"/>
      <c r="J141" s="1765"/>
      <c r="K141" s="1342"/>
      <c r="L141" s="1342"/>
    </row>
    <row r="142" spans="1:12">
      <c r="A142" s="1342"/>
      <c r="B142" s="1342"/>
      <c r="C142" s="1763" t="s">
        <v>676</v>
      </c>
      <c r="D142" s="1764"/>
      <c r="E142" s="1764"/>
      <c r="F142" s="1764"/>
      <c r="G142" s="1764"/>
      <c r="H142" s="1764"/>
      <c r="I142" s="1764"/>
      <c r="J142" s="1765"/>
      <c r="K142" s="1342"/>
      <c r="L142" s="1342"/>
    </row>
    <row r="143" spans="1:12" ht="13.5" thickBot="1">
      <c r="A143" s="1342"/>
      <c r="B143" s="1342"/>
      <c r="C143" s="1766" t="s">
        <v>685</v>
      </c>
      <c r="D143" s="1767"/>
      <c r="E143" s="1767"/>
      <c r="F143" s="1767"/>
      <c r="G143" s="1767"/>
      <c r="H143" s="1767"/>
      <c r="I143" s="1767"/>
      <c r="J143" s="1768"/>
      <c r="K143" s="1342"/>
      <c r="L143" s="1342"/>
    </row>
    <row r="144" spans="1:12" ht="15.75" thickBot="1">
      <c r="A144" s="1342"/>
      <c r="B144" s="1342"/>
      <c r="C144" s="1334" t="s">
        <v>25</v>
      </c>
      <c r="D144" s="1159" t="s">
        <v>677</v>
      </c>
      <c r="E144" s="1159" t="s">
        <v>678</v>
      </c>
      <c r="F144" s="1159" t="s">
        <v>679</v>
      </c>
      <c r="G144" s="1159" t="s">
        <v>680</v>
      </c>
      <c r="H144" s="1159" t="s">
        <v>681</v>
      </c>
      <c r="I144" s="1159" t="s">
        <v>682</v>
      </c>
      <c r="J144" s="1159" t="s">
        <v>683</v>
      </c>
      <c r="K144" s="1342"/>
      <c r="L144" s="1342"/>
    </row>
    <row r="145" spans="1:12" ht="15">
      <c r="A145" s="1342"/>
      <c r="B145" s="1342"/>
      <c r="C145" s="1343">
        <v>39814</v>
      </c>
      <c r="D145" s="1344"/>
      <c r="E145" s="1344"/>
      <c r="F145" s="1344">
        <v>97.96</v>
      </c>
      <c r="G145" s="1344">
        <v>136.28</v>
      </c>
      <c r="H145" s="1344">
        <v>156.88</v>
      </c>
      <c r="I145" s="1344">
        <v>235.38</v>
      </c>
      <c r="J145" s="1345">
        <v>390.44</v>
      </c>
      <c r="K145" s="1342"/>
      <c r="L145" s="1342"/>
    </row>
    <row r="146" spans="1:12" ht="15">
      <c r="A146" s="1342"/>
      <c r="B146" s="1342"/>
      <c r="C146" s="1335">
        <v>39845</v>
      </c>
      <c r="D146" s="1164"/>
      <c r="E146" s="1164"/>
      <c r="F146" s="1164">
        <v>90.482500000000002</v>
      </c>
      <c r="G146" s="1164">
        <v>126.7075</v>
      </c>
      <c r="H146" s="1164">
        <v>144.95249999999999</v>
      </c>
      <c r="I146" s="1164">
        <v>211.2825</v>
      </c>
      <c r="J146" s="1336">
        <v>360.6925</v>
      </c>
      <c r="K146" s="1342"/>
      <c r="L146" s="1342"/>
    </row>
    <row r="147" spans="1:12" ht="15">
      <c r="A147" s="1342"/>
      <c r="B147" s="1342"/>
      <c r="C147" s="1337">
        <v>39873</v>
      </c>
      <c r="D147" s="1162"/>
      <c r="E147" s="1162"/>
      <c r="F147" s="1162">
        <v>90.537499999999994</v>
      </c>
      <c r="G147" s="1162">
        <v>126.77249999999999</v>
      </c>
      <c r="H147" s="1162">
        <v>144.68</v>
      </c>
      <c r="I147" s="1162">
        <v>216.98500000000001</v>
      </c>
      <c r="J147" s="1338">
        <v>360.88749999999999</v>
      </c>
      <c r="K147" s="1342"/>
      <c r="L147" s="1342"/>
    </row>
    <row r="148" spans="1:12" ht="15">
      <c r="A148" s="1342"/>
      <c r="B148" s="1342"/>
      <c r="C148" s="1335">
        <v>39904</v>
      </c>
      <c r="D148" s="1164"/>
      <c r="E148" s="1164"/>
      <c r="F148" s="1164">
        <v>90.494</v>
      </c>
      <c r="G148" s="1164">
        <v>126.67400000000001</v>
      </c>
      <c r="H148" s="1164">
        <v>144.69999999999999</v>
      </c>
      <c r="I148" s="1164">
        <v>217.05</v>
      </c>
      <c r="J148" s="1336">
        <v>360.83</v>
      </c>
      <c r="K148" s="1342"/>
      <c r="L148" s="1342"/>
    </row>
    <row r="149" spans="1:12" ht="15">
      <c r="A149" s="1342"/>
      <c r="B149" s="1342"/>
      <c r="C149" s="1337">
        <v>39934</v>
      </c>
      <c r="D149" s="1162"/>
      <c r="E149" s="1162"/>
      <c r="F149" s="1162">
        <v>90.49</v>
      </c>
      <c r="G149" s="1162">
        <v>126.755</v>
      </c>
      <c r="H149" s="1162">
        <v>144.71</v>
      </c>
      <c r="I149" s="1162">
        <v>217</v>
      </c>
      <c r="J149" s="1338">
        <v>360.85500000000002</v>
      </c>
      <c r="K149" s="1342"/>
      <c r="L149" s="1342"/>
    </row>
    <row r="150" spans="1:12" ht="15">
      <c r="A150" s="1342"/>
      <c r="B150" s="1342"/>
      <c r="C150" s="1335">
        <v>39965</v>
      </c>
      <c r="D150" s="1164"/>
      <c r="E150" s="1164"/>
      <c r="F150" s="1164">
        <v>90.49</v>
      </c>
      <c r="G150" s="1164">
        <v>126.7975</v>
      </c>
      <c r="H150" s="1164">
        <v>144.715</v>
      </c>
      <c r="I150" s="1164">
        <v>216.97499999999999</v>
      </c>
      <c r="J150" s="1336">
        <v>360.86750000000001</v>
      </c>
      <c r="K150" s="1342"/>
      <c r="L150" s="1342"/>
    </row>
    <row r="151" spans="1:12" ht="15">
      <c r="A151" s="1342"/>
      <c r="B151" s="1342"/>
      <c r="C151" s="1337">
        <v>39995</v>
      </c>
      <c r="D151" s="1162"/>
      <c r="E151" s="1162"/>
      <c r="F151" s="1162">
        <v>90.49</v>
      </c>
      <c r="G151" s="1162">
        <v>126.7975</v>
      </c>
      <c r="H151" s="1162">
        <v>144.715</v>
      </c>
      <c r="I151" s="1162">
        <v>216.97499999999999</v>
      </c>
      <c r="J151" s="1338">
        <v>360.86750000000001</v>
      </c>
      <c r="K151" s="1342"/>
      <c r="L151" s="1342"/>
    </row>
    <row r="152" spans="1:12" ht="15">
      <c r="A152" s="1342"/>
      <c r="B152" s="1342"/>
      <c r="C152" s="1335">
        <v>40026</v>
      </c>
      <c r="D152" s="1164"/>
      <c r="E152" s="1164"/>
      <c r="F152" s="1164">
        <v>90.245000000000005</v>
      </c>
      <c r="G152" s="1164">
        <v>126.33499999999999</v>
      </c>
      <c r="H152" s="1164">
        <v>144.35</v>
      </c>
      <c r="I152" s="1164">
        <v>216.52500000000001</v>
      </c>
      <c r="J152" s="1336">
        <v>360.41500000000002</v>
      </c>
      <c r="K152" s="1342"/>
      <c r="L152" s="1342"/>
    </row>
    <row r="153" spans="1:12" ht="15">
      <c r="A153" s="1342"/>
      <c r="B153" s="1342"/>
      <c r="C153" s="1337">
        <v>40057</v>
      </c>
      <c r="D153" s="1162"/>
      <c r="E153" s="1162"/>
      <c r="F153" s="1162">
        <v>90</v>
      </c>
      <c r="G153" s="1162">
        <v>126</v>
      </c>
      <c r="H153" s="1162">
        <v>144</v>
      </c>
      <c r="I153" s="1162">
        <v>216</v>
      </c>
      <c r="J153" s="1338">
        <v>360</v>
      </c>
      <c r="K153" s="1342"/>
      <c r="L153" s="1342"/>
    </row>
    <row r="154" spans="1:12" ht="15">
      <c r="A154" s="1342"/>
      <c r="B154" s="1342"/>
      <c r="C154" s="1335">
        <v>40087</v>
      </c>
      <c r="D154" s="1164"/>
      <c r="E154" s="1164"/>
      <c r="F154" s="1164">
        <v>95</v>
      </c>
      <c r="G154" s="1164">
        <v>133</v>
      </c>
      <c r="H154" s="1164">
        <v>152</v>
      </c>
      <c r="I154" s="1164">
        <v>228</v>
      </c>
      <c r="J154" s="1336">
        <v>380</v>
      </c>
      <c r="K154" s="1342"/>
      <c r="L154" s="1342"/>
    </row>
    <row r="155" spans="1:12" ht="15">
      <c r="A155" s="1342"/>
      <c r="B155" s="1342"/>
      <c r="C155" s="1337">
        <v>40118</v>
      </c>
      <c r="D155" s="1162"/>
      <c r="E155" s="1162"/>
      <c r="F155" s="1162">
        <v>110</v>
      </c>
      <c r="G155" s="1162">
        <v>154</v>
      </c>
      <c r="H155" s="1162">
        <v>176</v>
      </c>
      <c r="I155" s="1162">
        <v>264</v>
      </c>
      <c r="J155" s="1338">
        <v>440</v>
      </c>
      <c r="K155" s="1342"/>
      <c r="L155" s="1342"/>
    </row>
    <row r="156" spans="1:12" ht="15.75" thickBot="1">
      <c r="A156" s="1342"/>
      <c r="B156" s="1342"/>
      <c r="C156" s="1339">
        <v>40148</v>
      </c>
      <c r="D156" s="1340"/>
      <c r="E156" s="1340"/>
      <c r="F156" s="1340">
        <v>110</v>
      </c>
      <c r="G156" s="1340">
        <v>154</v>
      </c>
      <c r="H156" s="1340">
        <v>176</v>
      </c>
      <c r="I156" s="1340">
        <v>264</v>
      </c>
      <c r="J156" s="1341">
        <v>440</v>
      </c>
      <c r="K156" s="1342"/>
      <c r="L156" s="1342"/>
    </row>
    <row r="157" spans="1:12" ht="13.5" thickBot="1">
      <c r="A157" s="1342"/>
      <c r="B157" s="1342"/>
      <c r="C157" s="1770" t="s">
        <v>693</v>
      </c>
      <c r="D157" s="1631"/>
      <c r="E157" s="1631"/>
      <c r="F157" s="1631"/>
      <c r="G157" s="1631"/>
      <c r="H157" s="1631"/>
      <c r="I157" s="1631"/>
      <c r="J157" s="1631"/>
      <c r="K157" s="1342"/>
      <c r="L157" s="1342"/>
    </row>
    <row r="158" spans="1:12" ht="14.25">
      <c r="A158" s="1342"/>
      <c r="B158" s="1342"/>
      <c r="C158" s="1760" t="s">
        <v>674</v>
      </c>
      <c r="D158" s="1761"/>
      <c r="E158" s="1761"/>
      <c r="F158" s="1761"/>
      <c r="G158" s="1761"/>
      <c r="H158" s="1761"/>
      <c r="I158" s="1761"/>
      <c r="J158" s="1762"/>
      <c r="K158" s="1342"/>
      <c r="L158" s="1342"/>
    </row>
    <row r="159" spans="1:12">
      <c r="A159" s="1342"/>
      <c r="B159" s="1342"/>
      <c r="C159" s="1763" t="s">
        <v>675</v>
      </c>
      <c r="D159" s="1764"/>
      <c r="E159" s="1764"/>
      <c r="F159" s="1764"/>
      <c r="G159" s="1764"/>
      <c r="H159" s="1764"/>
      <c r="I159" s="1764"/>
      <c r="J159" s="1765"/>
      <c r="K159" s="1342"/>
      <c r="L159" s="1342"/>
    </row>
    <row r="160" spans="1:12">
      <c r="A160" s="1342"/>
      <c r="B160" s="1342"/>
      <c r="C160" s="1763" t="s">
        <v>676</v>
      </c>
      <c r="D160" s="1764"/>
      <c r="E160" s="1764"/>
      <c r="F160" s="1764"/>
      <c r="G160" s="1764"/>
      <c r="H160" s="1764"/>
      <c r="I160" s="1764"/>
      <c r="J160" s="1765"/>
      <c r="K160" s="1342"/>
      <c r="L160" s="1342"/>
    </row>
    <row r="161" spans="1:12" ht="13.5" thickBot="1">
      <c r="A161" s="1342"/>
      <c r="B161" s="1342"/>
      <c r="C161" s="1766" t="s">
        <v>685</v>
      </c>
      <c r="D161" s="1767"/>
      <c r="E161" s="1767"/>
      <c r="F161" s="1767"/>
      <c r="G161" s="1767"/>
      <c r="H161" s="1767"/>
      <c r="I161" s="1767"/>
      <c r="J161" s="1768"/>
      <c r="K161" s="1342"/>
      <c r="L161" s="1342"/>
    </row>
    <row r="162" spans="1:12" ht="15.75" thickBot="1">
      <c r="A162" s="1342"/>
      <c r="B162" s="1342"/>
      <c r="C162" s="1334" t="s">
        <v>25</v>
      </c>
      <c r="D162" s="1159" t="s">
        <v>677</v>
      </c>
      <c r="E162" s="1159" t="s">
        <v>678</v>
      </c>
      <c r="F162" s="1159" t="s">
        <v>679</v>
      </c>
      <c r="G162" s="1159" t="s">
        <v>680</v>
      </c>
      <c r="H162" s="1159" t="s">
        <v>681</v>
      </c>
      <c r="I162" s="1159" t="s">
        <v>682</v>
      </c>
      <c r="J162" s="1159" t="s">
        <v>683</v>
      </c>
      <c r="K162" s="1342"/>
      <c r="L162" s="1342"/>
    </row>
    <row r="163" spans="1:12" ht="15">
      <c r="A163" s="1342"/>
      <c r="B163" s="1342"/>
      <c r="C163" s="1343">
        <v>40179</v>
      </c>
      <c r="D163" s="1344"/>
      <c r="E163" s="1344"/>
      <c r="F163" s="1344">
        <v>110</v>
      </c>
      <c r="G163" s="1344">
        <v>154</v>
      </c>
      <c r="H163" s="1344">
        <v>176</v>
      </c>
      <c r="I163" s="1344">
        <v>264</v>
      </c>
      <c r="J163" s="1345">
        <v>440</v>
      </c>
      <c r="K163" s="1342"/>
      <c r="L163" s="1342"/>
    </row>
    <row r="164" spans="1:12" ht="15">
      <c r="A164" s="1342"/>
      <c r="B164" s="1342"/>
      <c r="C164" s="1335">
        <v>40210</v>
      </c>
      <c r="D164" s="1164"/>
      <c r="E164" s="1164"/>
      <c r="F164" s="1164">
        <v>110</v>
      </c>
      <c r="G164" s="1164">
        <v>154</v>
      </c>
      <c r="H164" s="1164">
        <v>176</v>
      </c>
      <c r="I164" s="1164">
        <v>264</v>
      </c>
      <c r="J164" s="1336">
        <v>440</v>
      </c>
      <c r="K164" s="1342"/>
      <c r="L164" s="1342"/>
    </row>
    <row r="165" spans="1:12" ht="15">
      <c r="A165" s="1342"/>
      <c r="B165" s="1342"/>
      <c r="C165" s="1337">
        <v>40238</v>
      </c>
      <c r="D165" s="1162"/>
      <c r="E165" s="1162"/>
      <c r="F165" s="1162">
        <v>110</v>
      </c>
      <c r="G165" s="1162">
        <v>154</v>
      </c>
      <c r="H165" s="1162">
        <v>176</v>
      </c>
      <c r="I165" s="1162">
        <v>264</v>
      </c>
      <c r="J165" s="1338">
        <v>440</v>
      </c>
      <c r="K165" s="1342"/>
      <c r="L165" s="1342"/>
    </row>
    <row r="166" spans="1:12" ht="15">
      <c r="A166" s="1342"/>
      <c r="B166" s="1342"/>
      <c r="C166" s="1335">
        <v>40269</v>
      </c>
      <c r="D166" s="1164"/>
      <c r="E166" s="1164"/>
      <c r="F166" s="1164">
        <v>110</v>
      </c>
      <c r="G166" s="1164">
        <v>154</v>
      </c>
      <c r="H166" s="1164">
        <v>176</v>
      </c>
      <c r="I166" s="1164">
        <v>264</v>
      </c>
      <c r="J166" s="1336">
        <v>440</v>
      </c>
      <c r="K166" s="1342"/>
      <c r="L166" s="1342"/>
    </row>
    <row r="167" spans="1:12" ht="15">
      <c r="A167" s="1342"/>
      <c r="B167" s="1342"/>
      <c r="C167" s="1337">
        <v>40299</v>
      </c>
      <c r="D167" s="1162"/>
      <c r="E167" s="1162"/>
      <c r="F167" s="1162">
        <v>110</v>
      </c>
      <c r="G167" s="1162">
        <v>154</v>
      </c>
      <c r="H167" s="1162">
        <v>176</v>
      </c>
      <c r="I167" s="1162">
        <v>264</v>
      </c>
      <c r="J167" s="1338">
        <v>440</v>
      </c>
      <c r="K167" s="1342"/>
      <c r="L167" s="1342"/>
    </row>
    <row r="168" spans="1:12" ht="15">
      <c r="A168" s="1342"/>
      <c r="B168" s="1342"/>
      <c r="C168" s="1335">
        <v>40330</v>
      </c>
      <c r="D168" s="1164"/>
      <c r="E168" s="1164"/>
      <c r="F168" s="1164">
        <v>110</v>
      </c>
      <c r="G168" s="1164">
        <v>154</v>
      </c>
      <c r="H168" s="1164">
        <v>176</v>
      </c>
      <c r="I168" s="1164">
        <v>264</v>
      </c>
      <c r="J168" s="1336">
        <v>440</v>
      </c>
      <c r="K168" s="1342"/>
      <c r="L168" s="1342"/>
    </row>
    <row r="169" spans="1:12" ht="15">
      <c r="A169" s="1342"/>
      <c r="B169" s="1342"/>
      <c r="C169" s="1337">
        <v>40360</v>
      </c>
      <c r="D169" s="1162"/>
      <c r="E169" s="1162"/>
      <c r="F169" s="1162">
        <v>110</v>
      </c>
      <c r="G169" s="1162">
        <v>154</v>
      </c>
      <c r="H169" s="1162">
        <v>176</v>
      </c>
      <c r="I169" s="1162">
        <v>264</v>
      </c>
      <c r="J169" s="1338">
        <v>440</v>
      </c>
      <c r="K169" s="1342"/>
      <c r="L169" s="1342"/>
    </row>
    <row r="170" spans="1:12" ht="15">
      <c r="A170" s="1342"/>
      <c r="B170" s="1342"/>
      <c r="C170" s="1335">
        <v>40391</v>
      </c>
      <c r="D170" s="1164"/>
      <c r="E170" s="1164"/>
      <c r="F170" s="1164">
        <v>110</v>
      </c>
      <c r="G170" s="1164">
        <v>154</v>
      </c>
      <c r="H170" s="1164">
        <v>176</v>
      </c>
      <c r="I170" s="1164">
        <v>264</v>
      </c>
      <c r="J170" s="1336">
        <v>440</v>
      </c>
      <c r="K170" s="1342"/>
      <c r="L170" s="1342"/>
    </row>
    <row r="171" spans="1:12" ht="15">
      <c r="A171" s="1342"/>
      <c r="B171" s="1342"/>
      <c r="C171" s="1337">
        <v>40422</v>
      </c>
      <c r="D171" s="1162"/>
      <c r="E171" s="1162"/>
      <c r="F171" s="1162">
        <v>110</v>
      </c>
      <c r="G171" s="1162">
        <v>154</v>
      </c>
      <c r="H171" s="1162">
        <v>176</v>
      </c>
      <c r="I171" s="1162">
        <v>264</v>
      </c>
      <c r="J171" s="1338">
        <v>440</v>
      </c>
      <c r="K171" s="1342"/>
      <c r="L171" s="1342"/>
    </row>
    <row r="172" spans="1:12" ht="15">
      <c r="A172" s="1342"/>
      <c r="B172" s="1342"/>
      <c r="C172" s="1335">
        <v>40452</v>
      </c>
      <c r="D172" s="1164"/>
      <c r="E172" s="1164"/>
      <c r="F172" s="1164">
        <v>110</v>
      </c>
      <c r="G172" s="1164">
        <v>154</v>
      </c>
      <c r="H172" s="1164">
        <v>176</v>
      </c>
      <c r="I172" s="1164">
        <v>264</v>
      </c>
      <c r="J172" s="1336">
        <v>440</v>
      </c>
      <c r="K172" s="1342"/>
      <c r="L172" s="1342"/>
    </row>
    <row r="173" spans="1:12" ht="15">
      <c r="A173" s="1342"/>
      <c r="B173" s="1342"/>
      <c r="C173" s="1337">
        <v>40483</v>
      </c>
      <c r="D173" s="1162"/>
      <c r="E173" s="1162"/>
      <c r="F173" s="1162">
        <v>120</v>
      </c>
      <c r="G173" s="1162">
        <v>168</v>
      </c>
      <c r="H173" s="1162">
        <v>176</v>
      </c>
      <c r="I173" s="1162">
        <v>288</v>
      </c>
      <c r="J173" s="1338">
        <v>480</v>
      </c>
      <c r="K173" s="1342"/>
      <c r="L173" s="1342"/>
    </row>
    <row r="174" spans="1:12" ht="15.75" thickBot="1">
      <c r="A174" s="1342"/>
      <c r="B174" s="1342"/>
      <c r="C174" s="1339">
        <v>40513</v>
      </c>
      <c r="D174" s="1340"/>
      <c r="E174" s="1340"/>
      <c r="F174" s="1340">
        <v>120</v>
      </c>
      <c r="G174" s="1340">
        <v>168</v>
      </c>
      <c r="H174" s="1340">
        <v>176</v>
      </c>
      <c r="I174" s="1340">
        <v>288</v>
      </c>
      <c r="J174" s="1341">
        <v>480</v>
      </c>
      <c r="K174" s="1342"/>
      <c r="L174" s="1342"/>
    </row>
    <row r="175" spans="1:12" ht="13.5" thickBot="1">
      <c r="A175" s="1342"/>
      <c r="B175" s="1342"/>
      <c r="C175" s="1770" t="s">
        <v>694</v>
      </c>
      <c r="D175" s="1631"/>
      <c r="E175" s="1631"/>
      <c r="F175" s="1631"/>
      <c r="G175" s="1631"/>
      <c r="H175" s="1631"/>
      <c r="I175" s="1631"/>
      <c r="J175" s="1631"/>
      <c r="K175" s="1342"/>
      <c r="L175" s="1342"/>
    </row>
    <row r="176" spans="1:12" ht="14.25">
      <c r="A176" s="1342"/>
      <c r="B176" s="1342"/>
      <c r="C176" s="1760" t="s">
        <v>674</v>
      </c>
      <c r="D176" s="1761"/>
      <c r="E176" s="1761"/>
      <c r="F176" s="1761"/>
      <c r="G176" s="1761"/>
      <c r="H176" s="1761"/>
      <c r="I176" s="1761"/>
      <c r="J176" s="1762"/>
      <c r="K176" s="1342"/>
      <c r="L176" s="1342"/>
    </row>
    <row r="177" spans="1:12">
      <c r="A177" s="1342"/>
      <c r="B177" s="1342"/>
      <c r="C177" s="1763" t="s">
        <v>675</v>
      </c>
      <c r="D177" s="1764"/>
      <c r="E177" s="1764"/>
      <c r="F177" s="1764"/>
      <c r="G177" s="1764"/>
      <c r="H177" s="1764"/>
      <c r="I177" s="1764"/>
      <c r="J177" s="1765"/>
      <c r="K177" s="1342"/>
      <c r="L177" s="1342"/>
    </row>
    <row r="178" spans="1:12">
      <c r="A178" s="1342"/>
      <c r="B178" s="1342"/>
      <c r="C178" s="1763" t="s">
        <v>676</v>
      </c>
      <c r="D178" s="1764"/>
      <c r="E178" s="1764"/>
      <c r="F178" s="1764"/>
      <c r="G178" s="1764"/>
      <c r="H178" s="1764"/>
      <c r="I178" s="1764"/>
      <c r="J178" s="1765"/>
      <c r="K178" s="1342"/>
      <c r="L178" s="1342"/>
    </row>
    <row r="179" spans="1:12" ht="13.5" thickBot="1">
      <c r="A179" s="1342"/>
      <c r="B179" s="1342"/>
      <c r="C179" s="1766" t="s">
        <v>685</v>
      </c>
      <c r="D179" s="1767"/>
      <c r="E179" s="1767"/>
      <c r="F179" s="1767"/>
      <c r="G179" s="1767"/>
      <c r="H179" s="1767"/>
      <c r="I179" s="1767"/>
      <c r="J179" s="1768"/>
      <c r="K179" s="1342"/>
      <c r="L179" s="1342"/>
    </row>
    <row r="180" spans="1:12" ht="15.75" thickBot="1">
      <c r="A180" s="1342"/>
      <c r="B180" s="1342"/>
      <c r="C180" s="1334" t="s">
        <v>25</v>
      </c>
      <c r="D180" s="1159" t="s">
        <v>677</v>
      </c>
      <c r="E180" s="1159" t="s">
        <v>678</v>
      </c>
      <c r="F180" s="1159" t="s">
        <v>679</v>
      </c>
      <c r="G180" s="1159" t="s">
        <v>680</v>
      </c>
      <c r="H180" s="1159" t="s">
        <v>681</v>
      </c>
      <c r="I180" s="1159" t="s">
        <v>682</v>
      </c>
      <c r="J180" s="1159" t="s">
        <v>683</v>
      </c>
      <c r="K180" s="1342"/>
      <c r="L180" s="1342"/>
    </row>
    <row r="181" spans="1:12" ht="15">
      <c r="A181" s="1342"/>
      <c r="B181" s="1342"/>
      <c r="C181" s="1343">
        <v>40544</v>
      </c>
      <c r="D181" s="1344"/>
      <c r="E181" s="1344"/>
      <c r="F181" s="1344">
        <v>125</v>
      </c>
      <c r="G181" s="1344">
        <v>175</v>
      </c>
      <c r="H181" s="1344">
        <v>192</v>
      </c>
      <c r="I181" s="1344">
        <v>300</v>
      </c>
      <c r="J181" s="1345">
        <v>500</v>
      </c>
      <c r="K181" s="1342"/>
      <c r="L181" s="1342"/>
    </row>
    <row r="182" spans="1:12" ht="15">
      <c r="A182" s="1342"/>
      <c r="B182" s="1342"/>
      <c r="C182" s="1335">
        <v>40575</v>
      </c>
      <c r="D182" s="1164"/>
      <c r="E182" s="1164"/>
      <c r="F182" s="1164">
        <v>130</v>
      </c>
      <c r="G182" s="1164">
        <v>182</v>
      </c>
      <c r="H182" s="1164">
        <v>208</v>
      </c>
      <c r="I182" s="1164">
        <v>312</v>
      </c>
      <c r="J182" s="1336">
        <v>520</v>
      </c>
      <c r="K182" s="1342"/>
      <c r="L182" s="1342"/>
    </row>
    <row r="183" spans="1:12" ht="15">
      <c r="A183" s="1342"/>
      <c r="B183" s="1342"/>
      <c r="C183" s="1337">
        <v>40603</v>
      </c>
      <c r="D183" s="1162"/>
      <c r="E183" s="1162"/>
      <c r="F183" s="1162">
        <v>130</v>
      </c>
      <c r="G183" s="1162">
        <v>182</v>
      </c>
      <c r="H183" s="1162">
        <v>208</v>
      </c>
      <c r="I183" s="1162">
        <v>312</v>
      </c>
      <c r="J183" s="1338">
        <v>520</v>
      </c>
      <c r="K183" s="1342"/>
      <c r="L183" s="1342"/>
    </row>
    <row r="184" spans="1:12" ht="15">
      <c r="A184" s="1342"/>
      <c r="B184" s="1342"/>
      <c r="C184" s="1335">
        <v>40634</v>
      </c>
      <c r="D184" s="1164"/>
      <c r="E184" s="1164"/>
      <c r="F184" s="1164">
        <v>130</v>
      </c>
      <c r="G184" s="1164">
        <v>182</v>
      </c>
      <c r="H184" s="1164">
        <v>208</v>
      </c>
      <c r="I184" s="1164">
        <v>312</v>
      </c>
      <c r="J184" s="1336">
        <v>520</v>
      </c>
      <c r="K184" s="1342"/>
      <c r="L184" s="1342"/>
    </row>
    <row r="185" spans="1:12" ht="15">
      <c r="A185" s="1342"/>
      <c r="B185" s="1342"/>
      <c r="C185" s="1337">
        <v>40664</v>
      </c>
      <c r="D185" s="1162"/>
      <c r="E185" s="1162"/>
      <c r="F185" s="1162">
        <v>130</v>
      </c>
      <c r="G185" s="1162">
        <v>182</v>
      </c>
      <c r="H185" s="1162">
        <v>208</v>
      </c>
      <c r="I185" s="1162">
        <v>312</v>
      </c>
      <c r="J185" s="1338">
        <v>520</v>
      </c>
      <c r="K185" s="1342"/>
      <c r="L185" s="1342"/>
    </row>
    <row r="186" spans="1:12" ht="15">
      <c r="A186" s="1342"/>
      <c r="B186" s="1342"/>
      <c r="C186" s="1335">
        <v>40695</v>
      </c>
      <c r="D186" s="1164"/>
      <c r="E186" s="1164"/>
      <c r="F186" s="1164">
        <v>130</v>
      </c>
      <c r="G186" s="1164">
        <v>182</v>
      </c>
      <c r="H186" s="1164">
        <v>208</v>
      </c>
      <c r="I186" s="1164">
        <v>312</v>
      </c>
      <c r="J186" s="1336">
        <v>520</v>
      </c>
      <c r="K186" s="1342"/>
      <c r="L186" s="1342"/>
    </row>
    <row r="187" spans="1:12" ht="15">
      <c r="A187" s="1342"/>
      <c r="B187" s="1342"/>
      <c r="C187" s="1337">
        <v>40725</v>
      </c>
      <c r="D187" s="1162"/>
      <c r="E187" s="1162"/>
      <c r="F187" s="1162">
        <v>130</v>
      </c>
      <c r="G187" s="1162">
        <v>182</v>
      </c>
      <c r="H187" s="1162">
        <v>208</v>
      </c>
      <c r="I187" s="1162">
        <v>312</v>
      </c>
      <c r="J187" s="1338">
        <v>520</v>
      </c>
      <c r="K187" s="1342"/>
      <c r="L187" s="1342"/>
    </row>
    <row r="188" spans="1:12" ht="15">
      <c r="A188" s="1342"/>
      <c r="B188" s="1342"/>
      <c r="C188" s="1335">
        <v>40756</v>
      </c>
      <c r="D188" s="1164"/>
      <c r="E188" s="1164"/>
      <c r="F188" s="1164">
        <v>130</v>
      </c>
      <c r="G188" s="1164">
        <v>182</v>
      </c>
      <c r="H188" s="1164">
        <v>208</v>
      </c>
      <c r="I188" s="1164">
        <v>312</v>
      </c>
      <c r="J188" s="1336">
        <v>520</v>
      </c>
      <c r="K188" s="1342"/>
      <c r="L188" s="1342"/>
    </row>
    <row r="189" spans="1:12" ht="15">
      <c r="A189" s="1342"/>
      <c r="B189" s="1342"/>
      <c r="C189" s="1337">
        <v>40787</v>
      </c>
      <c r="D189" s="1162"/>
      <c r="E189" s="1162"/>
      <c r="F189" s="1162">
        <v>128</v>
      </c>
      <c r="G189" s="1162">
        <v>179</v>
      </c>
      <c r="H189" s="1162">
        <v>205</v>
      </c>
      <c r="I189" s="1162">
        <v>307</v>
      </c>
      <c r="J189" s="1338">
        <v>512</v>
      </c>
      <c r="K189" s="1342"/>
      <c r="L189" s="1342"/>
    </row>
    <row r="190" spans="1:12" ht="15">
      <c r="A190" s="1342"/>
      <c r="B190" s="1342"/>
      <c r="C190" s="1335">
        <v>40817</v>
      </c>
      <c r="D190" s="1164"/>
      <c r="E190" s="1164"/>
      <c r="F190" s="1164">
        <v>132.4</v>
      </c>
      <c r="G190" s="1164">
        <v>185.2</v>
      </c>
      <c r="H190" s="1164">
        <v>212</v>
      </c>
      <c r="I190" s="1164">
        <v>317.60000000000002</v>
      </c>
      <c r="J190" s="1336">
        <v>529.6</v>
      </c>
      <c r="K190" s="1342"/>
      <c r="L190" s="1342"/>
    </row>
    <row r="191" spans="1:12" ht="15">
      <c r="A191" s="1342"/>
      <c r="B191" s="1342"/>
      <c r="C191" s="1337">
        <v>40848</v>
      </c>
      <c r="D191" s="1162"/>
      <c r="E191" s="1162"/>
      <c r="F191" s="1162">
        <v>136</v>
      </c>
      <c r="G191" s="1162">
        <v>190</v>
      </c>
      <c r="H191" s="1162">
        <v>218</v>
      </c>
      <c r="I191" s="1162">
        <v>326</v>
      </c>
      <c r="J191" s="1338">
        <v>544</v>
      </c>
      <c r="K191" s="1342"/>
      <c r="L191" s="1342"/>
    </row>
    <row r="192" spans="1:12" ht="15.75" thickBot="1">
      <c r="A192" s="1342"/>
      <c r="B192" s="1342"/>
      <c r="C192" s="1339">
        <v>40878</v>
      </c>
      <c r="D192" s="1340"/>
      <c r="E192" s="1340"/>
      <c r="F192" s="1340">
        <v>137</v>
      </c>
      <c r="G192" s="1340">
        <v>191.4</v>
      </c>
      <c r="H192" s="1340">
        <v>219.6</v>
      </c>
      <c r="I192" s="1340">
        <v>328.4</v>
      </c>
      <c r="J192" s="1341">
        <v>548</v>
      </c>
      <c r="K192" s="1342"/>
      <c r="L192" s="1342"/>
    </row>
    <row r="193" spans="1:12" ht="13.5" thickBot="1">
      <c r="A193" s="1342"/>
      <c r="B193" s="1342"/>
      <c r="C193" s="1770" t="s">
        <v>695</v>
      </c>
      <c r="D193" s="1631"/>
      <c r="E193" s="1631"/>
      <c r="F193" s="1631"/>
      <c r="G193" s="1631"/>
      <c r="H193" s="1631"/>
      <c r="I193" s="1631"/>
      <c r="J193" s="1631"/>
      <c r="K193" s="1342"/>
      <c r="L193" s="1342"/>
    </row>
    <row r="194" spans="1:12" ht="14.25">
      <c r="A194" s="1342"/>
      <c r="B194" s="1342"/>
      <c r="C194" s="1760" t="s">
        <v>674</v>
      </c>
      <c r="D194" s="1761"/>
      <c r="E194" s="1761"/>
      <c r="F194" s="1761"/>
      <c r="G194" s="1761"/>
      <c r="H194" s="1761"/>
      <c r="I194" s="1761"/>
      <c r="J194" s="1762"/>
      <c r="K194" s="1342"/>
      <c r="L194" s="1342"/>
    </row>
    <row r="195" spans="1:12">
      <c r="A195" s="1342"/>
      <c r="B195" s="1342"/>
      <c r="C195" s="1763" t="s">
        <v>675</v>
      </c>
      <c r="D195" s="1764"/>
      <c r="E195" s="1764"/>
      <c r="F195" s="1764"/>
      <c r="G195" s="1764"/>
      <c r="H195" s="1764"/>
      <c r="I195" s="1764"/>
      <c r="J195" s="1765"/>
      <c r="K195" s="1342"/>
      <c r="L195" s="1342"/>
    </row>
    <row r="196" spans="1:12">
      <c r="A196" s="1342"/>
      <c r="B196" s="1342"/>
      <c r="C196" s="1763" t="s">
        <v>676</v>
      </c>
      <c r="D196" s="1764"/>
      <c r="E196" s="1764"/>
      <c r="F196" s="1764"/>
      <c r="G196" s="1764"/>
      <c r="H196" s="1764"/>
      <c r="I196" s="1764"/>
      <c r="J196" s="1765"/>
      <c r="K196" s="1342"/>
      <c r="L196" s="1342"/>
    </row>
    <row r="197" spans="1:12" ht="13.5" thickBot="1">
      <c r="A197" s="1342"/>
      <c r="B197" s="1342"/>
      <c r="C197" s="1766" t="s">
        <v>685</v>
      </c>
      <c r="D197" s="1767"/>
      <c r="E197" s="1767"/>
      <c r="F197" s="1767"/>
      <c r="G197" s="1767"/>
      <c r="H197" s="1767"/>
      <c r="I197" s="1767"/>
      <c r="J197" s="1768"/>
      <c r="K197" s="1342"/>
      <c r="L197" s="1342"/>
    </row>
    <row r="198" spans="1:12" ht="15.75" thickBot="1">
      <c r="A198" s="1342"/>
      <c r="B198" s="1342"/>
      <c r="C198" s="1334" t="s">
        <v>25</v>
      </c>
      <c r="D198" s="1159" t="s">
        <v>677</v>
      </c>
      <c r="E198" s="1159" t="s">
        <v>678</v>
      </c>
      <c r="F198" s="1159" t="s">
        <v>679</v>
      </c>
      <c r="G198" s="1159" t="s">
        <v>680</v>
      </c>
      <c r="H198" s="1159" t="s">
        <v>681</v>
      </c>
      <c r="I198" s="1159" t="s">
        <v>682</v>
      </c>
      <c r="J198" s="1159" t="s">
        <v>683</v>
      </c>
      <c r="K198" s="1342"/>
      <c r="L198" s="1342"/>
    </row>
    <row r="199" spans="1:12" ht="15">
      <c r="A199" s="1342"/>
      <c r="B199" s="1342"/>
      <c r="C199" s="1343">
        <v>40939</v>
      </c>
      <c r="D199" s="1344"/>
      <c r="E199" s="1344"/>
      <c r="F199" s="1344">
        <v>136</v>
      </c>
      <c r="G199" s="1344">
        <v>190</v>
      </c>
      <c r="H199" s="1344">
        <v>218</v>
      </c>
      <c r="I199" s="1344">
        <v>326</v>
      </c>
      <c r="J199" s="1345">
        <v>544</v>
      </c>
      <c r="K199" s="1342"/>
      <c r="L199" s="1342"/>
    </row>
    <row r="200" spans="1:12" ht="15">
      <c r="A200" s="1342"/>
      <c r="B200" s="1342"/>
      <c r="C200" s="1335">
        <v>40940</v>
      </c>
      <c r="D200" s="1164"/>
      <c r="E200" s="1164"/>
      <c r="F200" s="1164">
        <v>136</v>
      </c>
      <c r="G200" s="1164">
        <v>190</v>
      </c>
      <c r="H200" s="1164">
        <v>218</v>
      </c>
      <c r="I200" s="1164">
        <v>326</v>
      </c>
      <c r="J200" s="1336">
        <v>544</v>
      </c>
      <c r="K200" s="1342"/>
      <c r="L200" s="1342"/>
    </row>
    <row r="201" spans="1:12" ht="15">
      <c r="A201" s="1342"/>
      <c r="B201" s="1342"/>
      <c r="C201" s="1337">
        <v>40969</v>
      </c>
      <c r="D201" s="1162"/>
      <c r="E201" s="1162"/>
      <c r="F201" s="1162">
        <v>108.75</v>
      </c>
      <c r="G201" s="1162">
        <v>152.25</v>
      </c>
      <c r="H201" s="1162">
        <v>174</v>
      </c>
      <c r="I201" s="1162">
        <v>261</v>
      </c>
      <c r="J201" s="1338">
        <v>435</v>
      </c>
      <c r="K201" s="1342"/>
      <c r="L201" s="1342"/>
    </row>
    <row r="202" spans="1:12" ht="15">
      <c r="A202" s="1342"/>
      <c r="B202" s="1342"/>
      <c r="C202" s="1335">
        <v>41000</v>
      </c>
      <c r="D202" s="1164"/>
      <c r="E202" s="1164"/>
      <c r="F202" s="1164">
        <v>105</v>
      </c>
      <c r="G202" s="1164">
        <v>147</v>
      </c>
      <c r="H202" s="1164">
        <v>168</v>
      </c>
      <c r="I202" s="1164">
        <v>252</v>
      </c>
      <c r="J202" s="1336">
        <v>420</v>
      </c>
      <c r="K202" s="1342"/>
      <c r="L202" s="1342"/>
    </row>
    <row r="203" spans="1:12" ht="15">
      <c r="A203" s="1342"/>
      <c r="B203" s="1342"/>
      <c r="C203" s="1337">
        <v>41030</v>
      </c>
      <c r="D203" s="1162"/>
      <c r="E203" s="1162"/>
      <c r="F203" s="1162">
        <v>105</v>
      </c>
      <c r="G203" s="1162">
        <v>147</v>
      </c>
      <c r="H203" s="1162">
        <v>168</v>
      </c>
      <c r="I203" s="1162">
        <v>252</v>
      </c>
      <c r="J203" s="1338">
        <v>420</v>
      </c>
      <c r="K203" s="1342"/>
      <c r="L203" s="1342"/>
    </row>
    <row r="204" spans="1:12" ht="15">
      <c r="A204" s="1342"/>
      <c r="B204" s="1342"/>
      <c r="C204" s="1335">
        <v>41061</v>
      </c>
      <c r="D204" s="1164"/>
      <c r="E204" s="1164"/>
      <c r="F204" s="1164">
        <v>105</v>
      </c>
      <c r="G204" s="1164">
        <v>147</v>
      </c>
      <c r="H204" s="1164">
        <v>168</v>
      </c>
      <c r="I204" s="1164">
        <v>252</v>
      </c>
      <c r="J204" s="1336">
        <v>420</v>
      </c>
      <c r="K204" s="1342"/>
      <c r="L204" s="1342"/>
    </row>
    <row r="205" spans="1:12" ht="15">
      <c r="A205" s="1342"/>
      <c r="B205" s="1342"/>
      <c r="C205" s="1337">
        <v>41091</v>
      </c>
      <c r="D205" s="1162"/>
      <c r="E205" s="1162"/>
      <c r="F205" s="1162">
        <v>99.4</v>
      </c>
      <c r="G205" s="1162">
        <v>139.23999999999995</v>
      </c>
      <c r="H205" s="1162">
        <v>156.20000000000002</v>
      </c>
      <c r="I205" s="1162">
        <v>236.47499999999997</v>
      </c>
      <c r="J205" s="1338">
        <v>397.6</v>
      </c>
      <c r="K205" s="1342"/>
      <c r="L205" s="1342"/>
    </row>
    <row r="206" spans="1:12" ht="15">
      <c r="A206" s="1342"/>
      <c r="B206" s="1342"/>
      <c r="C206" s="1335">
        <v>41122</v>
      </c>
      <c r="D206" s="1164"/>
      <c r="E206" s="1164"/>
      <c r="F206" s="1164">
        <v>94</v>
      </c>
      <c r="G206" s="1164">
        <v>131.6</v>
      </c>
      <c r="H206" s="1164">
        <v>150.4</v>
      </c>
      <c r="I206" s="1164">
        <v>225.6</v>
      </c>
      <c r="J206" s="1336">
        <v>376</v>
      </c>
      <c r="K206" s="1342"/>
      <c r="L206" s="1342"/>
    </row>
    <row r="207" spans="1:12" ht="15">
      <c r="A207" s="1342"/>
      <c r="B207" s="1342"/>
      <c r="C207" s="1337">
        <v>41153</v>
      </c>
      <c r="D207" s="1162"/>
      <c r="E207" s="1162"/>
      <c r="F207" s="1162">
        <v>85.788888888888877</v>
      </c>
      <c r="G207" s="1162">
        <v>120.14499999999998</v>
      </c>
      <c r="H207" s="1162">
        <v>130.84800000000001</v>
      </c>
      <c r="I207" s="1162">
        <v>199.40833333333333</v>
      </c>
      <c r="J207" s="1338">
        <v>345.5</v>
      </c>
      <c r="K207" s="1342"/>
      <c r="L207" s="1342"/>
    </row>
    <row r="208" spans="1:12" ht="15">
      <c r="A208" s="1342"/>
      <c r="B208" s="1342"/>
      <c r="C208" s="1335">
        <v>41183</v>
      </c>
      <c r="D208" s="1164"/>
      <c r="E208" s="1164"/>
      <c r="F208" s="1164">
        <v>65.67407407407407</v>
      </c>
      <c r="G208" s="1164">
        <v>91.941481481481489</v>
      </c>
      <c r="H208" s="1164">
        <v>105.64444444444443</v>
      </c>
      <c r="I208" s="1164">
        <v>158.51714285714286</v>
      </c>
      <c r="J208" s="1336">
        <v>262.7</v>
      </c>
      <c r="K208" s="1342"/>
      <c r="L208" s="1342"/>
    </row>
    <row r="209" spans="1:12" ht="15">
      <c r="A209" s="1342"/>
      <c r="B209" s="1342"/>
      <c r="C209" s="1337">
        <v>41214</v>
      </c>
      <c r="D209" s="1162"/>
      <c r="E209" s="1162"/>
      <c r="F209" s="1162">
        <v>63.333333333333336</v>
      </c>
      <c r="G209" s="1162">
        <v>88.666666666666671</v>
      </c>
      <c r="H209" s="1162">
        <v>100</v>
      </c>
      <c r="I209" s="1162">
        <v>150</v>
      </c>
      <c r="J209" s="1338">
        <v>253.33333333333334</v>
      </c>
      <c r="K209" s="1342"/>
      <c r="L209" s="1342"/>
    </row>
    <row r="210" spans="1:12" ht="15.75" thickBot="1">
      <c r="A210" s="1342"/>
      <c r="B210" s="1342"/>
      <c r="C210" s="1339">
        <v>41244</v>
      </c>
      <c r="D210" s="1340"/>
      <c r="E210" s="1340"/>
      <c r="F210" s="1340">
        <v>90</v>
      </c>
      <c r="G210" s="1340">
        <v>126</v>
      </c>
      <c r="H210" s="1340">
        <v>144</v>
      </c>
      <c r="I210" s="1340">
        <v>216</v>
      </c>
      <c r="J210" s="1341">
        <v>360</v>
      </c>
      <c r="K210" s="1342"/>
      <c r="L210" s="1342"/>
    </row>
    <row r="211" spans="1:12">
      <c r="A211" s="1342"/>
      <c r="B211" s="1342"/>
      <c r="C211" s="1770" t="s">
        <v>696</v>
      </c>
      <c r="D211" s="1631"/>
      <c r="E211" s="1631"/>
      <c r="F211" s="1631"/>
      <c r="G211" s="1631"/>
      <c r="H211" s="1631"/>
      <c r="I211" s="1631"/>
      <c r="J211" s="1631"/>
      <c r="K211" s="1342"/>
      <c r="L211" s="1342"/>
    </row>
    <row r="212" spans="1:12" ht="13.5" thickBot="1">
      <c r="C212" s="591"/>
      <c r="D212" s="591"/>
      <c r="E212" s="591"/>
      <c r="F212" s="591"/>
      <c r="G212" s="591"/>
      <c r="H212" s="591"/>
      <c r="I212" s="591"/>
      <c r="J212" s="591"/>
    </row>
    <row r="213" spans="1:12" ht="14.25">
      <c r="C213" s="1760" t="s">
        <v>674</v>
      </c>
      <c r="D213" s="1761"/>
      <c r="E213" s="1761"/>
      <c r="F213" s="1761"/>
      <c r="G213" s="1761"/>
      <c r="H213" s="1761"/>
      <c r="I213" s="1761"/>
      <c r="J213" s="1762"/>
    </row>
    <row r="214" spans="1:12">
      <c r="C214" s="1763" t="s">
        <v>675</v>
      </c>
      <c r="D214" s="1764"/>
      <c r="E214" s="1764"/>
      <c r="F214" s="1764"/>
      <c r="G214" s="1764"/>
      <c r="H214" s="1764"/>
      <c r="I214" s="1764"/>
      <c r="J214" s="1765"/>
    </row>
    <row r="215" spans="1:12">
      <c r="C215" s="1763" t="s">
        <v>676</v>
      </c>
      <c r="D215" s="1764"/>
      <c r="E215" s="1764"/>
      <c r="F215" s="1764"/>
      <c r="G215" s="1764"/>
      <c r="H215" s="1764"/>
      <c r="I215" s="1764"/>
      <c r="J215" s="1765"/>
    </row>
    <row r="216" spans="1:12" ht="13.5" thickBot="1">
      <c r="C216" s="1766" t="s">
        <v>685</v>
      </c>
      <c r="D216" s="1767"/>
      <c r="E216" s="1767"/>
      <c r="F216" s="1767"/>
      <c r="G216" s="1767"/>
      <c r="H216" s="1767"/>
      <c r="I216" s="1767"/>
      <c r="J216" s="1768"/>
    </row>
    <row r="217" spans="1:12" ht="15.75" thickBot="1">
      <c r="C217" s="1334" t="s">
        <v>25</v>
      </c>
      <c r="D217" s="1159" t="s">
        <v>677</v>
      </c>
      <c r="E217" s="1159" t="s">
        <v>678</v>
      </c>
      <c r="F217" s="1159" t="s">
        <v>679</v>
      </c>
      <c r="G217" s="1159" t="s">
        <v>680</v>
      </c>
      <c r="H217" s="1159" t="s">
        <v>681</v>
      </c>
      <c r="I217" s="1159" t="s">
        <v>682</v>
      </c>
      <c r="J217" s="1159" t="s">
        <v>683</v>
      </c>
    </row>
    <row r="218" spans="1:12" ht="15">
      <c r="C218" s="1343">
        <v>41305</v>
      </c>
      <c r="D218" s="1344"/>
      <c r="E218" s="1344"/>
      <c r="F218" s="1344">
        <v>90</v>
      </c>
      <c r="G218" s="1344">
        <v>126</v>
      </c>
      <c r="H218" s="1344">
        <v>144</v>
      </c>
      <c r="I218" s="1344">
        <v>216</v>
      </c>
      <c r="J218" s="1345">
        <v>360</v>
      </c>
    </row>
    <row r="219" spans="1:12" ht="15">
      <c r="C219" s="1335">
        <v>41333</v>
      </c>
      <c r="D219" s="1164"/>
      <c r="E219" s="1164"/>
      <c r="F219" s="1164">
        <v>99</v>
      </c>
      <c r="G219" s="1164">
        <v>138.78666666666669</v>
      </c>
      <c r="H219" s="1164">
        <v>158.4</v>
      </c>
      <c r="I219" s="1164">
        <v>237.59999999999997</v>
      </c>
      <c r="J219" s="1336">
        <v>396</v>
      </c>
    </row>
    <row r="220" spans="1:12" ht="15">
      <c r="C220" s="1337">
        <v>41364</v>
      </c>
      <c r="D220" s="1162"/>
      <c r="E220" s="1162"/>
      <c r="F220" s="1162">
        <v>106.5</v>
      </c>
      <c r="G220" s="1162">
        <v>149.34666666666666</v>
      </c>
      <c r="H220" s="1162">
        <v>170.4</v>
      </c>
      <c r="I220" s="1162">
        <v>255.59999999999997</v>
      </c>
      <c r="J220" s="1338">
        <v>416</v>
      </c>
    </row>
    <row r="221" spans="1:12" ht="15">
      <c r="C221" s="1335">
        <v>41394</v>
      </c>
      <c r="D221" s="1164"/>
      <c r="E221" s="1164"/>
      <c r="F221" s="1164">
        <v>109</v>
      </c>
      <c r="G221" s="1164">
        <v>152.86666666666667</v>
      </c>
      <c r="H221" s="1164">
        <v>174.40000000000003</v>
      </c>
      <c r="I221" s="1164">
        <v>261.59999999999997</v>
      </c>
      <c r="J221" s="1336">
        <v>433.33333333333331</v>
      </c>
    </row>
    <row r="222" spans="1:12" ht="15">
      <c r="C222" s="1337">
        <v>41425</v>
      </c>
      <c r="D222" s="1162"/>
      <c r="E222" s="1162"/>
      <c r="F222" s="1162">
        <v>109</v>
      </c>
      <c r="G222" s="1162">
        <v>152.85714285714286</v>
      </c>
      <c r="H222" s="1162">
        <v>174.40000000000003</v>
      </c>
      <c r="I222" s="1162">
        <v>261.59999999999997</v>
      </c>
      <c r="J222" s="1338">
        <v>433.14285714285717</v>
      </c>
    </row>
    <row r="223" spans="1:12" ht="15">
      <c r="C223" s="1335">
        <v>41455</v>
      </c>
      <c r="D223" s="1164"/>
      <c r="E223" s="1164"/>
      <c r="F223" s="1164">
        <v>117.25</v>
      </c>
      <c r="G223" s="1164">
        <v>164.21666666666667</v>
      </c>
      <c r="H223" s="1164">
        <v>187.6</v>
      </c>
      <c r="I223" s="1164">
        <v>281.39999999999998</v>
      </c>
      <c r="J223" s="1336">
        <v>469</v>
      </c>
    </row>
    <row r="224" spans="1:12" ht="15">
      <c r="C224" s="1337">
        <v>41486</v>
      </c>
      <c r="D224" s="1162"/>
      <c r="E224" s="1162"/>
      <c r="F224" s="1162">
        <v>120</v>
      </c>
      <c r="G224" s="1162">
        <v>168</v>
      </c>
      <c r="H224" s="1162">
        <v>192</v>
      </c>
      <c r="I224" s="1162">
        <v>288</v>
      </c>
      <c r="J224" s="1338">
        <v>480</v>
      </c>
    </row>
    <row r="225" spans="3:10" ht="15">
      <c r="C225" s="1335">
        <v>41517</v>
      </c>
      <c r="D225" s="1164"/>
      <c r="E225" s="1164"/>
      <c r="F225" s="1164">
        <v>120</v>
      </c>
      <c r="G225" s="1164">
        <v>168</v>
      </c>
      <c r="H225" s="1164">
        <v>192</v>
      </c>
      <c r="I225" s="1164">
        <v>288</v>
      </c>
      <c r="J225" s="1336">
        <v>480</v>
      </c>
    </row>
    <row r="226" spans="3:10" ht="15" hidden="1" customHeight="1">
      <c r="C226" s="1337">
        <v>41547</v>
      </c>
      <c r="D226" s="1162"/>
      <c r="E226" s="1162"/>
      <c r="F226" s="1162">
        <v>120</v>
      </c>
      <c r="G226" s="1162">
        <v>168</v>
      </c>
      <c r="H226" s="1162">
        <v>192</v>
      </c>
      <c r="I226" s="1162">
        <v>288</v>
      </c>
      <c r="J226" s="1338">
        <v>480</v>
      </c>
    </row>
    <row r="227" spans="3:10" ht="15" hidden="1" customHeight="1">
      <c r="C227" s="1335">
        <v>41578</v>
      </c>
      <c r="D227" s="1164"/>
      <c r="E227" s="1164"/>
      <c r="F227" s="1164">
        <v>120</v>
      </c>
      <c r="G227" s="1164">
        <v>168</v>
      </c>
      <c r="H227" s="1164">
        <v>192</v>
      </c>
      <c r="I227" s="1164">
        <v>288</v>
      </c>
      <c r="J227" s="1336">
        <v>480</v>
      </c>
    </row>
    <row r="228" spans="3:10" ht="15" hidden="1" customHeight="1">
      <c r="C228" s="1337">
        <v>41608</v>
      </c>
      <c r="D228" s="1162"/>
      <c r="E228" s="1162"/>
      <c r="F228" s="1162">
        <v>120</v>
      </c>
      <c r="G228" s="1162">
        <v>168</v>
      </c>
      <c r="H228" s="1162">
        <v>192</v>
      </c>
      <c r="I228" s="1162">
        <v>288</v>
      </c>
      <c r="J228" s="1338">
        <v>480</v>
      </c>
    </row>
    <row r="229" spans="3:10" ht="15" hidden="1" customHeight="1">
      <c r="C229" s="1339">
        <v>41639</v>
      </c>
      <c r="D229" s="1340"/>
      <c r="E229" s="1340"/>
      <c r="F229" s="1340">
        <v>120</v>
      </c>
      <c r="G229" s="1340">
        <v>168</v>
      </c>
      <c r="H229" s="1340">
        <v>192</v>
      </c>
      <c r="I229" s="1340">
        <v>288</v>
      </c>
      <c r="J229" s="1341">
        <v>480</v>
      </c>
    </row>
    <row r="230" spans="3:10" ht="15">
      <c r="C230" s="1337">
        <v>41547</v>
      </c>
      <c r="D230" s="1162"/>
      <c r="E230" s="1162"/>
      <c r="F230" s="1162">
        <v>130</v>
      </c>
      <c r="G230" s="1162">
        <v>182</v>
      </c>
      <c r="H230" s="1162">
        <v>208</v>
      </c>
      <c r="I230" s="1162">
        <v>312</v>
      </c>
      <c r="J230" s="1338">
        <v>520</v>
      </c>
    </row>
    <row r="231" spans="3:10" ht="15">
      <c r="C231" s="1335">
        <v>41578</v>
      </c>
      <c r="D231" s="1164"/>
      <c r="E231" s="1164"/>
      <c r="F231" s="1164">
        <v>130</v>
      </c>
      <c r="G231" s="1164">
        <v>182</v>
      </c>
      <c r="H231" s="1164">
        <v>208</v>
      </c>
      <c r="I231" s="1164">
        <v>312</v>
      </c>
      <c r="J231" s="1336">
        <v>520</v>
      </c>
    </row>
    <row r="232" spans="3:10" ht="15">
      <c r="C232" s="1337">
        <v>41608</v>
      </c>
      <c r="D232" s="1162"/>
      <c r="E232" s="1162"/>
      <c r="F232" s="1162">
        <v>130</v>
      </c>
      <c r="G232" s="1162">
        <v>182</v>
      </c>
      <c r="H232" s="1162">
        <v>208</v>
      </c>
      <c r="I232" s="1162">
        <v>312</v>
      </c>
      <c r="J232" s="1338">
        <v>520</v>
      </c>
    </row>
    <row r="233" spans="3:10" ht="15.75" thickBot="1">
      <c r="C233" s="1335">
        <v>41639</v>
      </c>
      <c r="D233" s="1164"/>
      <c r="E233" s="1164"/>
      <c r="F233" s="1164">
        <v>132</v>
      </c>
      <c r="G233" s="1164">
        <v>184.8</v>
      </c>
      <c r="H233" s="1164">
        <v>211.2</v>
      </c>
      <c r="I233" s="1164">
        <v>316.8</v>
      </c>
      <c r="J233" s="1336">
        <v>528</v>
      </c>
    </row>
    <row r="234" spans="3:10" ht="13.5" thickBot="1">
      <c r="C234" s="1773" t="s">
        <v>697</v>
      </c>
      <c r="D234" s="1773"/>
      <c r="E234" s="1773"/>
      <c r="F234" s="1773"/>
      <c r="G234" s="1773"/>
      <c r="H234" s="1773"/>
      <c r="I234" s="1773"/>
      <c r="J234" s="1773"/>
    </row>
    <row r="235" spans="3:10" ht="14.25">
      <c r="C235" s="1760" t="s">
        <v>674</v>
      </c>
      <c r="D235" s="1761"/>
      <c r="E235" s="1761"/>
      <c r="F235" s="1761"/>
      <c r="G235" s="1761"/>
      <c r="H235" s="1761"/>
      <c r="I235" s="1761"/>
      <c r="J235" s="1762"/>
    </row>
    <row r="236" spans="3:10">
      <c r="C236" s="1763" t="s">
        <v>675</v>
      </c>
      <c r="D236" s="1764"/>
      <c r="E236" s="1764"/>
      <c r="F236" s="1764"/>
      <c r="G236" s="1764"/>
      <c r="H236" s="1764"/>
      <c r="I236" s="1764"/>
      <c r="J236" s="1765"/>
    </row>
    <row r="237" spans="3:10">
      <c r="C237" s="1763" t="s">
        <v>676</v>
      </c>
      <c r="D237" s="1764"/>
      <c r="E237" s="1764"/>
      <c r="F237" s="1764"/>
      <c r="G237" s="1764"/>
      <c r="H237" s="1764"/>
      <c r="I237" s="1764"/>
      <c r="J237" s="1765"/>
    </row>
    <row r="238" spans="3:10" ht="13.5" thickBot="1">
      <c r="C238" s="1766" t="s">
        <v>685</v>
      </c>
      <c r="D238" s="1767"/>
      <c r="E238" s="1767"/>
      <c r="F238" s="1767"/>
      <c r="G238" s="1767"/>
      <c r="H238" s="1767"/>
      <c r="I238" s="1767"/>
      <c r="J238" s="1768"/>
    </row>
    <row r="239" spans="3:10" ht="15.75" thickBot="1">
      <c r="C239" s="1334" t="s">
        <v>25</v>
      </c>
      <c r="D239" s="1159" t="s">
        <v>677</v>
      </c>
      <c r="E239" s="1159" t="s">
        <v>678</v>
      </c>
      <c r="F239" s="1159" t="s">
        <v>679</v>
      </c>
      <c r="G239" s="1159" t="s">
        <v>680</v>
      </c>
      <c r="H239" s="1159" t="s">
        <v>681</v>
      </c>
      <c r="I239" s="1159" t="s">
        <v>682</v>
      </c>
      <c r="J239" s="1159" t="s">
        <v>683</v>
      </c>
    </row>
    <row r="240" spans="3:10" ht="15">
      <c r="C240" s="1343">
        <v>41670</v>
      </c>
      <c r="D240" s="1344"/>
      <c r="E240" s="1344"/>
      <c r="F240" s="1344">
        <v>135</v>
      </c>
      <c r="G240" s="1344">
        <v>189</v>
      </c>
      <c r="H240" s="1344">
        <v>216</v>
      </c>
      <c r="I240" s="1344">
        <v>324</v>
      </c>
      <c r="J240" s="1345">
        <v>520</v>
      </c>
    </row>
    <row r="241" spans="3:17" ht="15" hidden="1" customHeight="1">
      <c r="C241" s="1335">
        <v>41698</v>
      </c>
      <c r="D241" s="1164"/>
      <c r="E241" s="1164"/>
      <c r="F241" s="1164"/>
      <c r="G241" s="1164"/>
      <c r="H241" s="1164"/>
      <c r="I241" s="1164"/>
      <c r="J241" s="1336"/>
    </row>
    <row r="242" spans="3:17" ht="15" hidden="1" customHeight="1">
      <c r="C242" s="1337">
        <v>41729</v>
      </c>
      <c r="D242" s="1162"/>
      <c r="E242" s="1162"/>
      <c r="F242" s="1162"/>
      <c r="G242" s="1162"/>
      <c r="H242" s="1162"/>
      <c r="I242" s="1162"/>
      <c r="J242" s="1338"/>
    </row>
    <row r="243" spans="3:17" ht="15" hidden="1" customHeight="1">
      <c r="C243" s="1335">
        <v>41759</v>
      </c>
      <c r="D243" s="1164"/>
      <c r="E243" s="1164"/>
      <c r="F243" s="1164"/>
      <c r="G243" s="1164"/>
      <c r="H243" s="1164"/>
      <c r="I243" s="1164"/>
      <c r="J243" s="1336"/>
    </row>
    <row r="244" spans="3:17" ht="15" hidden="1" customHeight="1">
      <c r="C244" s="1337">
        <v>41790</v>
      </c>
      <c r="D244" s="1162"/>
      <c r="E244" s="1162"/>
      <c r="F244" s="1162"/>
      <c r="G244" s="1162"/>
      <c r="H244" s="1162"/>
      <c r="I244" s="1162"/>
      <c r="J244" s="1338"/>
    </row>
    <row r="245" spans="3:17" ht="15" hidden="1" customHeight="1">
      <c r="C245" s="1335">
        <v>41820</v>
      </c>
      <c r="D245" s="1164"/>
      <c r="E245" s="1164"/>
      <c r="F245" s="1164"/>
      <c r="G245" s="1164"/>
      <c r="H245" s="1164"/>
      <c r="I245" s="1164"/>
      <c r="J245" s="1336"/>
    </row>
    <row r="246" spans="3:17" ht="15" hidden="1" customHeight="1">
      <c r="C246" s="1337">
        <v>41851</v>
      </c>
      <c r="D246" s="1162"/>
      <c r="E246" s="1162"/>
      <c r="F246" s="1162"/>
      <c r="G246" s="1162"/>
      <c r="H246" s="1162"/>
      <c r="I246" s="1162"/>
      <c r="J246" s="1338"/>
    </row>
    <row r="247" spans="3:17" ht="15" hidden="1" customHeight="1">
      <c r="C247" s="1335">
        <v>41882</v>
      </c>
      <c r="D247" s="1164"/>
      <c r="E247" s="1164"/>
      <c r="F247" s="1164"/>
      <c r="G247" s="1164"/>
      <c r="H247" s="1164"/>
      <c r="I247" s="1164"/>
      <c r="J247" s="1336"/>
    </row>
    <row r="248" spans="3:17" ht="15" hidden="1" customHeight="1">
      <c r="C248" s="1337">
        <v>41912</v>
      </c>
      <c r="D248" s="1162"/>
      <c r="E248" s="1162"/>
      <c r="F248" s="1162"/>
      <c r="G248" s="1162"/>
      <c r="H248" s="1162"/>
      <c r="I248" s="1162"/>
      <c r="J248" s="1338"/>
    </row>
    <row r="249" spans="3:17" ht="15" hidden="1" customHeight="1">
      <c r="C249" s="1335">
        <v>41943</v>
      </c>
      <c r="D249" s="1164"/>
      <c r="E249" s="1164"/>
      <c r="F249" s="1164"/>
      <c r="G249" s="1164"/>
      <c r="H249" s="1164"/>
      <c r="I249" s="1164"/>
      <c r="J249" s="1336"/>
    </row>
    <row r="250" spans="3:17" ht="15" hidden="1" customHeight="1">
      <c r="C250" s="1337">
        <v>41973</v>
      </c>
      <c r="D250" s="1162"/>
      <c r="E250" s="1162"/>
      <c r="F250" s="1162"/>
      <c r="G250" s="1162"/>
      <c r="H250" s="1162"/>
      <c r="I250" s="1162"/>
      <c r="J250" s="1338"/>
    </row>
    <row r="251" spans="3:17" ht="15" hidden="1" customHeight="1">
      <c r="C251" s="1339">
        <v>42004</v>
      </c>
      <c r="D251" s="1340"/>
      <c r="E251" s="1340"/>
      <c r="F251" s="1340"/>
      <c r="G251" s="1340"/>
      <c r="H251" s="1340"/>
      <c r="I251" s="1340"/>
      <c r="J251" s="1341"/>
    </row>
    <row r="252" spans="3:17" ht="15" hidden="1" customHeight="1">
      <c r="C252" s="1760">
        <v>41912</v>
      </c>
      <c r="D252" s="1761"/>
      <c r="E252" s="1761"/>
      <c r="F252" s="1761"/>
      <c r="G252" s="1761"/>
      <c r="H252" s="1761"/>
      <c r="I252" s="1761"/>
      <c r="J252" s="1762"/>
    </row>
    <row r="253" spans="3:17" ht="15" hidden="1" customHeight="1">
      <c r="C253" s="1763">
        <v>41943</v>
      </c>
      <c r="D253" s="1769"/>
      <c r="E253" s="1769"/>
      <c r="F253" s="1769"/>
      <c r="G253" s="1769"/>
      <c r="H253" s="1769"/>
      <c r="I253" s="1769"/>
      <c r="J253" s="1765"/>
      <c r="K253" s="1346"/>
    </row>
    <row r="254" spans="3:17" ht="15" hidden="1" customHeight="1">
      <c r="C254" s="1763">
        <v>41973</v>
      </c>
      <c r="D254" s="1769"/>
      <c r="E254" s="1769"/>
      <c r="F254" s="1769"/>
      <c r="G254" s="1769"/>
      <c r="H254" s="1769"/>
      <c r="I254" s="1769"/>
      <c r="J254" s="1765"/>
    </row>
    <row r="255" spans="3:17" ht="15.75" hidden="1" customHeight="1" thickBot="1">
      <c r="C255" s="1771">
        <v>42004</v>
      </c>
      <c r="D255" s="1772"/>
      <c r="E255" s="1772"/>
      <c r="F255" s="1772"/>
      <c r="G255" s="1772"/>
      <c r="H255" s="1772"/>
      <c r="I255" s="1772"/>
      <c r="J255" s="1768"/>
    </row>
    <row r="256" spans="3:17" ht="15.75" customHeight="1">
      <c r="C256" s="1347">
        <v>41698</v>
      </c>
      <c r="D256" s="1164"/>
      <c r="E256" s="1164"/>
      <c r="F256" s="1164">
        <v>137.5</v>
      </c>
      <c r="G256" s="1164">
        <v>192.5</v>
      </c>
      <c r="H256" s="1164">
        <v>220</v>
      </c>
      <c r="I256" s="1164">
        <v>330</v>
      </c>
      <c r="J256" s="1336">
        <v>540</v>
      </c>
      <c r="K256" s="1164"/>
      <c r="L256" s="1164"/>
      <c r="M256" s="1164"/>
      <c r="N256" s="1164"/>
      <c r="O256" s="1164"/>
      <c r="P256" s="1164"/>
      <c r="Q256" s="1336"/>
    </row>
    <row r="257" spans="3:16" ht="15">
      <c r="C257" s="1161">
        <v>41729</v>
      </c>
      <c r="D257" s="1162"/>
      <c r="E257" s="1162"/>
      <c r="F257" s="1162">
        <v>140</v>
      </c>
      <c r="G257" s="1162">
        <v>196</v>
      </c>
      <c r="H257" s="1162">
        <v>224</v>
      </c>
      <c r="I257" s="1162">
        <v>336</v>
      </c>
      <c r="J257" s="1162">
        <v>560</v>
      </c>
    </row>
    <row r="258" spans="3:16" ht="15">
      <c r="C258" s="1347">
        <v>41759</v>
      </c>
      <c r="D258" s="1164"/>
      <c r="E258" s="1164"/>
      <c r="F258" s="1164">
        <v>140</v>
      </c>
      <c r="G258" s="1164">
        <v>196</v>
      </c>
      <c r="H258" s="1164">
        <v>224</v>
      </c>
      <c r="I258" s="1164">
        <v>336</v>
      </c>
      <c r="J258" s="1336">
        <v>560</v>
      </c>
    </row>
    <row r="259" spans="3:16" ht="15">
      <c r="C259" s="1337">
        <v>41790</v>
      </c>
      <c r="D259" s="1162"/>
      <c r="E259" s="1162"/>
      <c r="F259" s="1162">
        <v>140</v>
      </c>
      <c r="G259" s="1162">
        <v>196</v>
      </c>
      <c r="H259" s="1162">
        <v>224</v>
      </c>
      <c r="I259" s="1162">
        <v>336</v>
      </c>
      <c r="J259" s="1338">
        <v>560</v>
      </c>
    </row>
    <row r="260" spans="3:16" ht="15">
      <c r="C260" s="1335">
        <v>41820</v>
      </c>
      <c r="D260" s="1164"/>
      <c r="E260" s="1164"/>
      <c r="F260" s="1164">
        <v>140</v>
      </c>
      <c r="G260" s="1164">
        <v>196</v>
      </c>
      <c r="H260" s="1164">
        <v>224</v>
      </c>
      <c r="I260" s="1164">
        <v>336</v>
      </c>
      <c r="J260" s="1336">
        <v>560</v>
      </c>
    </row>
    <row r="261" spans="3:16" ht="15">
      <c r="C261" s="1337">
        <v>41851</v>
      </c>
      <c r="D261" s="1162"/>
      <c r="E261" s="1162"/>
      <c r="F261" s="1162">
        <v>140</v>
      </c>
      <c r="G261" s="1162">
        <v>196</v>
      </c>
      <c r="H261" s="1162">
        <v>224</v>
      </c>
      <c r="I261" s="1162">
        <v>336</v>
      </c>
      <c r="J261" s="1164">
        <v>560</v>
      </c>
      <c r="K261" s="1164"/>
      <c r="L261" s="1164"/>
      <c r="M261" s="1164"/>
      <c r="N261" s="1164"/>
      <c r="O261" s="1164"/>
      <c r="P261" s="1336"/>
    </row>
    <row r="262" spans="3:16" ht="15">
      <c r="C262" s="1335">
        <v>41882</v>
      </c>
      <c r="D262" s="1164"/>
      <c r="E262" s="1164"/>
      <c r="F262" s="1164">
        <v>140</v>
      </c>
      <c r="G262" s="1164">
        <v>196</v>
      </c>
      <c r="H262" s="1164">
        <v>224</v>
      </c>
      <c r="I262" s="1164">
        <v>336</v>
      </c>
      <c r="J262" s="1336">
        <v>560</v>
      </c>
    </row>
    <row r="263" spans="3:16" ht="15">
      <c r="C263" s="1337">
        <v>41912</v>
      </c>
      <c r="D263" s="1162"/>
      <c r="E263" s="1162"/>
      <c r="F263" s="1162">
        <v>140</v>
      </c>
      <c r="G263" s="1162">
        <v>196</v>
      </c>
      <c r="H263" s="1162">
        <v>224</v>
      </c>
      <c r="I263" s="1162">
        <v>336</v>
      </c>
      <c r="J263" s="1338">
        <v>560</v>
      </c>
    </row>
    <row r="264" spans="3:16" ht="15">
      <c r="C264" s="1335">
        <v>41943</v>
      </c>
      <c r="D264" s="1164"/>
      <c r="E264" s="1164"/>
      <c r="F264" s="1164">
        <v>140</v>
      </c>
      <c r="G264" s="1164">
        <v>196</v>
      </c>
      <c r="H264" s="1164">
        <v>224</v>
      </c>
      <c r="I264" s="1164">
        <v>336</v>
      </c>
      <c r="J264" s="1336">
        <v>560</v>
      </c>
    </row>
    <row r="265" spans="3:16" ht="15">
      <c r="C265" s="1337">
        <v>41973</v>
      </c>
      <c r="D265" s="1162"/>
      <c r="E265" s="1162"/>
      <c r="F265" s="1162">
        <v>140</v>
      </c>
      <c r="G265" s="1162">
        <v>196</v>
      </c>
      <c r="H265" s="1162">
        <v>224</v>
      </c>
      <c r="I265" s="1162">
        <v>336</v>
      </c>
      <c r="J265" s="1338">
        <v>560</v>
      </c>
    </row>
    <row r="266" spans="3:16" ht="15">
      <c r="C266" s="1335">
        <v>42004</v>
      </c>
      <c r="D266" s="1164"/>
      <c r="E266" s="1164"/>
      <c r="F266" s="1164">
        <v>121</v>
      </c>
      <c r="G266" s="1164">
        <v>169.4</v>
      </c>
      <c r="H266" s="1164">
        <v>193.6</v>
      </c>
      <c r="I266" s="1164">
        <v>290.39999999999998</v>
      </c>
      <c r="J266" s="1336">
        <v>353.61904761904759</v>
      </c>
    </row>
    <row r="267" spans="3:16">
      <c r="C267" s="1758" t="s">
        <v>698</v>
      </c>
      <c r="D267" s="1759"/>
      <c r="E267" s="1759"/>
      <c r="F267" s="1759"/>
      <c r="G267" s="1759"/>
      <c r="H267" s="1759"/>
      <c r="I267" s="1759"/>
      <c r="J267" s="1759"/>
    </row>
    <row r="268" spans="3:16" ht="13.5" thickBot="1">
      <c r="C268" s="591"/>
      <c r="D268" s="591"/>
      <c r="E268" s="591"/>
      <c r="F268" s="591"/>
      <c r="G268" s="591"/>
      <c r="H268" s="591"/>
      <c r="I268" s="591"/>
      <c r="J268" s="591"/>
    </row>
    <row r="269" spans="3:16" ht="14.25">
      <c r="C269" s="1760" t="s">
        <v>674</v>
      </c>
      <c r="D269" s="1761"/>
      <c r="E269" s="1761"/>
      <c r="F269" s="1761"/>
      <c r="G269" s="1761"/>
      <c r="H269" s="1761"/>
      <c r="I269" s="1761"/>
      <c r="J269" s="1762"/>
    </row>
    <row r="270" spans="3:16">
      <c r="C270" s="1763" t="s">
        <v>675</v>
      </c>
      <c r="D270" s="1769"/>
      <c r="E270" s="1769"/>
      <c r="F270" s="1769"/>
      <c r="G270" s="1769"/>
      <c r="H270" s="1769"/>
      <c r="I270" s="1769"/>
      <c r="J270" s="1765"/>
    </row>
    <row r="271" spans="3:16">
      <c r="C271" s="1763" t="s">
        <v>676</v>
      </c>
      <c r="D271" s="1769"/>
      <c r="E271" s="1769"/>
      <c r="F271" s="1769"/>
      <c r="G271" s="1769"/>
      <c r="H271" s="1769"/>
      <c r="I271" s="1769"/>
      <c r="J271" s="1765"/>
    </row>
    <row r="272" spans="3:16" ht="13.5" thickBot="1">
      <c r="C272" s="1766" t="s">
        <v>685</v>
      </c>
      <c r="D272" s="1767"/>
      <c r="E272" s="1767"/>
      <c r="F272" s="1767"/>
      <c r="G272" s="1767"/>
      <c r="H272" s="1767"/>
      <c r="I272" s="1767"/>
      <c r="J272" s="1768"/>
    </row>
    <row r="273" spans="3:19" ht="15.75" thickBot="1">
      <c r="C273" s="1334" t="s">
        <v>25</v>
      </c>
      <c r="D273" s="1159" t="s">
        <v>677</v>
      </c>
      <c r="E273" s="1159" t="s">
        <v>678</v>
      </c>
      <c r="F273" s="1159" t="s">
        <v>679</v>
      </c>
      <c r="G273" s="1159" t="s">
        <v>680</v>
      </c>
      <c r="H273" s="1159" t="s">
        <v>681</v>
      </c>
      <c r="I273" s="1159" t="s">
        <v>682</v>
      </c>
      <c r="J273" s="1159" t="s">
        <v>683</v>
      </c>
      <c r="L273" s="1335"/>
      <c r="M273" s="1164"/>
      <c r="N273" s="1164"/>
      <c r="O273" s="1164"/>
      <c r="P273" s="1164"/>
      <c r="Q273" s="1164"/>
      <c r="R273" s="1164"/>
      <c r="S273" s="1336"/>
    </row>
    <row r="274" spans="3:19" ht="15">
      <c r="C274" s="1343">
        <v>42005</v>
      </c>
      <c r="D274" s="1344"/>
      <c r="E274" s="1344"/>
      <c r="F274" s="1344">
        <v>105</v>
      </c>
      <c r="G274" s="1344">
        <v>147</v>
      </c>
      <c r="H274" s="1344">
        <v>168</v>
      </c>
      <c r="I274" s="1344">
        <v>252</v>
      </c>
      <c r="J274" s="1345">
        <v>420</v>
      </c>
    </row>
    <row r="275" spans="3:19" ht="15">
      <c r="C275" s="1335">
        <v>42063</v>
      </c>
      <c r="D275" s="1164"/>
      <c r="E275" s="1164"/>
      <c r="F275" s="1164">
        <v>92</v>
      </c>
      <c r="G275" s="1164">
        <v>129</v>
      </c>
      <c r="H275" s="1164">
        <v>147</v>
      </c>
      <c r="I275" s="1164">
        <v>221</v>
      </c>
      <c r="J275" s="1336">
        <v>368</v>
      </c>
    </row>
    <row r="276" spans="3:19" ht="15">
      <c r="C276" s="1337">
        <v>42094</v>
      </c>
      <c r="D276" s="1162"/>
      <c r="E276" s="1162"/>
      <c r="F276" s="1162">
        <v>89.5</v>
      </c>
      <c r="G276" s="1162">
        <v>125.5</v>
      </c>
      <c r="H276" s="1162">
        <v>143</v>
      </c>
      <c r="I276" s="1162">
        <v>215</v>
      </c>
      <c r="J276" s="1338">
        <v>358</v>
      </c>
    </row>
    <row r="277" spans="3:19" ht="15">
      <c r="C277" s="1335">
        <v>42124</v>
      </c>
      <c r="D277" s="1164"/>
      <c r="E277" s="1164"/>
      <c r="F277" s="1164">
        <v>87</v>
      </c>
      <c r="G277" s="1164">
        <v>122</v>
      </c>
      <c r="H277" s="1164">
        <v>139</v>
      </c>
      <c r="I277" s="1164">
        <v>209</v>
      </c>
      <c r="J277" s="1336">
        <v>348</v>
      </c>
    </row>
    <row r="278" spans="3:19" ht="15">
      <c r="C278" s="1337">
        <v>42155</v>
      </c>
      <c r="D278" s="1162"/>
      <c r="E278" s="1162"/>
      <c r="F278" s="1162">
        <v>77.5</v>
      </c>
      <c r="G278" s="1162">
        <v>108.5</v>
      </c>
      <c r="H278" s="1162">
        <v>124</v>
      </c>
      <c r="I278" s="1162">
        <v>186</v>
      </c>
      <c r="J278" s="1338">
        <v>310</v>
      </c>
    </row>
    <row r="279" spans="3:19" ht="15">
      <c r="C279" s="1335">
        <v>42185</v>
      </c>
      <c r="D279" s="1164"/>
      <c r="E279" s="1164"/>
      <c r="F279" s="1164">
        <v>75</v>
      </c>
      <c r="G279" s="1164">
        <v>105</v>
      </c>
      <c r="H279" s="1164">
        <v>120</v>
      </c>
      <c r="I279" s="1164">
        <v>180</v>
      </c>
      <c r="J279" s="1336">
        <v>300</v>
      </c>
    </row>
    <row r="280" spans="3:19" ht="15">
      <c r="C280" s="1337">
        <v>42216</v>
      </c>
      <c r="D280" s="1162"/>
      <c r="E280" s="1162"/>
      <c r="F280" s="1162">
        <v>75</v>
      </c>
      <c r="G280" s="1162">
        <v>105</v>
      </c>
      <c r="H280" s="1162">
        <v>120</v>
      </c>
      <c r="I280" s="1162">
        <v>180</v>
      </c>
      <c r="J280" s="1338">
        <v>300</v>
      </c>
    </row>
    <row r="281" spans="3:19" ht="15">
      <c r="C281" s="1335">
        <v>42247</v>
      </c>
      <c r="D281" s="1164"/>
      <c r="E281" s="1164"/>
      <c r="F281" s="1164">
        <v>75</v>
      </c>
      <c r="G281" s="1164">
        <v>105</v>
      </c>
      <c r="H281" s="1164">
        <v>120</v>
      </c>
      <c r="I281" s="1164">
        <v>180</v>
      </c>
      <c r="J281" s="1336">
        <v>300</v>
      </c>
    </row>
    <row r="282" spans="3:19" ht="15">
      <c r="C282" s="1337">
        <v>42277</v>
      </c>
      <c r="D282" s="1162"/>
      <c r="E282" s="1162"/>
      <c r="F282" s="1162">
        <v>75</v>
      </c>
      <c r="G282" s="1162">
        <v>105</v>
      </c>
      <c r="H282" s="1162">
        <v>120</v>
      </c>
      <c r="I282" s="1162">
        <v>180</v>
      </c>
      <c r="J282" s="1338">
        <v>300</v>
      </c>
    </row>
    <row r="283" spans="3:19" ht="15">
      <c r="C283" s="1335">
        <v>42308</v>
      </c>
      <c r="D283" s="1164"/>
      <c r="E283" s="1164"/>
      <c r="F283" s="1164">
        <v>75</v>
      </c>
      <c r="G283" s="1164">
        <v>105</v>
      </c>
      <c r="H283" s="1164">
        <v>120</v>
      </c>
      <c r="I283" s="1164">
        <v>180</v>
      </c>
      <c r="J283" s="1336">
        <v>300</v>
      </c>
    </row>
    <row r="284" spans="3:19" ht="15">
      <c r="C284" s="1337">
        <v>42338</v>
      </c>
      <c r="D284" s="1162"/>
      <c r="E284" s="1162"/>
      <c r="F284" s="1162">
        <v>90</v>
      </c>
      <c r="G284" s="1162">
        <v>126</v>
      </c>
      <c r="H284" s="1162">
        <v>144</v>
      </c>
      <c r="I284" s="1162">
        <v>216</v>
      </c>
      <c r="J284" s="1338">
        <v>360</v>
      </c>
    </row>
    <row r="285" spans="3:19" ht="15.75" thickBot="1">
      <c r="C285" s="1339">
        <v>42369</v>
      </c>
      <c r="D285" s="1340"/>
      <c r="E285" s="1340"/>
      <c r="F285" s="1340">
        <v>90</v>
      </c>
      <c r="G285" s="1340">
        <v>126</v>
      </c>
      <c r="H285" s="1340">
        <v>144</v>
      </c>
      <c r="I285" s="1340">
        <v>216</v>
      </c>
      <c r="J285" s="1341">
        <v>360</v>
      </c>
    </row>
    <row r="286" spans="3:19" ht="13.5" thickBot="1">
      <c r="C286" s="1770" t="s">
        <v>699</v>
      </c>
      <c r="D286" s="1631"/>
      <c r="E286" s="1631"/>
      <c r="F286" s="1631"/>
      <c r="G286" s="1631"/>
      <c r="H286" s="1631"/>
      <c r="I286" s="1631"/>
      <c r="J286" s="1631"/>
    </row>
    <row r="287" spans="3:19" ht="14.25">
      <c r="C287" s="1760" t="s">
        <v>674</v>
      </c>
      <c r="D287" s="1761"/>
      <c r="E287" s="1761"/>
      <c r="F287" s="1761"/>
      <c r="G287" s="1761"/>
      <c r="H287" s="1761"/>
      <c r="I287" s="1761"/>
      <c r="J287" s="1762"/>
    </row>
    <row r="288" spans="3:19">
      <c r="C288" s="1763" t="s">
        <v>675</v>
      </c>
      <c r="D288" s="1769"/>
      <c r="E288" s="1769"/>
      <c r="F288" s="1769"/>
      <c r="G288" s="1769"/>
      <c r="H288" s="1769"/>
      <c r="I288" s="1769"/>
      <c r="J288" s="1765"/>
    </row>
    <row r="289" spans="3:10">
      <c r="C289" s="1763" t="s">
        <v>676</v>
      </c>
      <c r="D289" s="1769"/>
      <c r="E289" s="1769"/>
      <c r="F289" s="1769"/>
      <c r="G289" s="1769"/>
      <c r="H289" s="1769"/>
      <c r="I289" s="1769"/>
      <c r="J289" s="1765"/>
    </row>
    <row r="290" spans="3:10" ht="13.5" thickBot="1">
      <c r="C290" s="1766" t="s">
        <v>685</v>
      </c>
      <c r="D290" s="1767"/>
      <c r="E290" s="1767"/>
      <c r="F290" s="1767"/>
      <c r="G290" s="1767"/>
      <c r="H290" s="1767"/>
      <c r="I290" s="1767"/>
      <c r="J290" s="1768"/>
    </row>
    <row r="291" spans="3:10" ht="15.75" thickBot="1">
      <c r="C291" s="1334" t="s">
        <v>25</v>
      </c>
      <c r="D291" s="1159" t="s">
        <v>677</v>
      </c>
      <c r="E291" s="1159" t="s">
        <v>678</v>
      </c>
      <c r="F291" s="1159" t="s">
        <v>679</v>
      </c>
      <c r="G291" s="1159" t="s">
        <v>680</v>
      </c>
      <c r="H291" s="1159" t="s">
        <v>681</v>
      </c>
      <c r="I291" s="1159" t="s">
        <v>682</v>
      </c>
      <c r="J291" s="1159" t="s">
        <v>683</v>
      </c>
    </row>
    <row r="292" spans="3:10" ht="15">
      <c r="C292" s="1343">
        <v>42370</v>
      </c>
      <c r="D292" s="1344"/>
      <c r="E292" s="1344"/>
      <c r="F292" s="1344">
        <v>90</v>
      </c>
      <c r="G292" s="1344">
        <v>126</v>
      </c>
      <c r="H292" s="1344">
        <v>144</v>
      </c>
      <c r="I292" s="1344">
        <v>216</v>
      </c>
      <c r="J292" s="1345">
        <v>360</v>
      </c>
    </row>
    <row r="293" spans="3:10" ht="15">
      <c r="C293" s="1335">
        <v>42428</v>
      </c>
      <c r="D293" s="1164"/>
      <c r="E293" s="1164"/>
      <c r="F293" s="1164">
        <v>90</v>
      </c>
      <c r="G293" s="1164">
        <v>126</v>
      </c>
      <c r="H293" s="1164">
        <v>144</v>
      </c>
      <c r="I293" s="1164">
        <v>216</v>
      </c>
      <c r="J293" s="1336">
        <v>360</v>
      </c>
    </row>
    <row r="294" spans="3:10" ht="15">
      <c r="C294" s="1337">
        <v>42460</v>
      </c>
      <c r="D294" s="1162"/>
      <c r="E294" s="1162"/>
      <c r="F294" s="1162">
        <v>90</v>
      </c>
      <c r="G294" s="1162">
        <v>126</v>
      </c>
      <c r="H294" s="1162">
        <v>144</v>
      </c>
      <c r="I294" s="1162">
        <v>216</v>
      </c>
      <c r="J294" s="1338">
        <v>360</v>
      </c>
    </row>
    <row r="295" spans="3:10" ht="15">
      <c r="C295" s="1335">
        <v>42490</v>
      </c>
      <c r="D295" s="1164"/>
      <c r="E295" s="1164"/>
      <c r="F295" s="1164">
        <v>90</v>
      </c>
      <c r="G295" s="1164">
        <v>126</v>
      </c>
      <c r="H295" s="1164">
        <v>144</v>
      </c>
      <c r="I295" s="1164">
        <v>216</v>
      </c>
      <c r="J295" s="1336">
        <v>360</v>
      </c>
    </row>
    <row r="296" spans="3:10" ht="15">
      <c r="C296" s="1337">
        <v>42521</v>
      </c>
      <c r="D296" s="1162"/>
      <c r="E296" s="1162"/>
      <c r="F296" s="1162">
        <v>90</v>
      </c>
      <c r="G296" s="1162">
        <v>126</v>
      </c>
      <c r="H296" s="1162">
        <v>144</v>
      </c>
      <c r="I296" s="1162">
        <v>216</v>
      </c>
      <c r="J296" s="1338">
        <v>360</v>
      </c>
    </row>
    <row r="297" spans="3:10" ht="15">
      <c r="C297" s="1335">
        <v>42551</v>
      </c>
      <c r="D297" s="1164"/>
      <c r="E297" s="1164"/>
      <c r="F297" s="1164">
        <v>105</v>
      </c>
      <c r="G297" s="1164">
        <v>147</v>
      </c>
      <c r="H297" s="1164">
        <v>168</v>
      </c>
      <c r="I297" s="1164">
        <v>252</v>
      </c>
      <c r="J297" s="1336">
        <v>420</v>
      </c>
    </row>
    <row r="298" spans="3:10" ht="15">
      <c r="C298" s="1337">
        <v>42582</v>
      </c>
      <c r="D298" s="1162"/>
      <c r="E298" s="1162"/>
      <c r="F298" s="1162">
        <v>105</v>
      </c>
      <c r="G298" s="1162">
        <v>147</v>
      </c>
      <c r="H298" s="1162">
        <v>168</v>
      </c>
      <c r="I298" s="1162">
        <v>252</v>
      </c>
      <c r="J298" s="1338">
        <v>420</v>
      </c>
    </row>
    <row r="299" spans="3:10" ht="15">
      <c r="C299" s="1335">
        <v>42613</v>
      </c>
      <c r="D299" s="1164"/>
      <c r="E299" s="1164"/>
      <c r="F299" s="1164">
        <v>94.52</v>
      </c>
      <c r="G299" s="1164">
        <v>132.33000000000001</v>
      </c>
      <c r="H299" s="1164">
        <v>150.29</v>
      </c>
      <c r="I299" s="1164">
        <v>225.43</v>
      </c>
      <c r="J299" s="1336">
        <v>378.1</v>
      </c>
    </row>
    <row r="300" spans="3:10" ht="15">
      <c r="C300" s="1337">
        <v>42643</v>
      </c>
      <c r="D300" s="1162"/>
      <c r="E300" s="1162"/>
      <c r="F300" s="1162">
        <v>95</v>
      </c>
      <c r="G300" s="1162">
        <v>133</v>
      </c>
      <c r="H300" s="1162">
        <v>152</v>
      </c>
      <c r="I300" s="1162">
        <v>228</v>
      </c>
      <c r="J300" s="1338">
        <v>380</v>
      </c>
    </row>
    <row r="301" spans="3:10" ht="15">
      <c r="C301" s="1335">
        <v>42674</v>
      </c>
      <c r="D301" s="1164"/>
      <c r="E301" s="1164"/>
      <c r="F301" s="1164">
        <v>92.5</v>
      </c>
      <c r="G301" s="1164">
        <v>129.5</v>
      </c>
      <c r="H301" s="1164">
        <v>148</v>
      </c>
      <c r="I301" s="1164">
        <v>222</v>
      </c>
      <c r="J301" s="1336">
        <v>370</v>
      </c>
    </row>
    <row r="302" spans="3:10" ht="15">
      <c r="C302" s="1337">
        <v>42704</v>
      </c>
      <c r="D302" s="1162"/>
      <c r="E302" s="1162"/>
      <c r="F302" s="1162">
        <v>92.5</v>
      </c>
      <c r="G302" s="1162">
        <v>129.5</v>
      </c>
      <c r="H302" s="1162">
        <v>148</v>
      </c>
      <c r="I302" s="1162">
        <v>222</v>
      </c>
      <c r="J302" s="1338">
        <v>370</v>
      </c>
    </row>
    <row r="303" spans="3:10" ht="15.75" thickBot="1">
      <c r="C303" s="1339">
        <v>42735</v>
      </c>
      <c r="D303" s="1340"/>
      <c r="E303" s="1340"/>
      <c r="F303" s="1340">
        <v>95</v>
      </c>
      <c r="G303" s="1340">
        <v>133</v>
      </c>
      <c r="H303" s="1340">
        <v>152</v>
      </c>
      <c r="I303" s="1340">
        <v>228</v>
      </c>
      <c r="J303" s="1341">
        <v>380</v>
      </c>
    </row>
    <row r="304" spans="3:10" ht="13.5" thickBot="1">
      <c r="C304" s="1770" t="s">
        <v>700</v>
      </c>
      <c r="D304" s="1631"/>
      <c r="E304" s="1631"/>
      <c r="F304" s="1631"/>
      <c r="G304" s="1631"/>
      <c r="H304" s="1631"/>
      <c r="I304" s="1631"/>
      <c r="J304" s="1631"/>
    </row>
    <row r="305" spans="3:10" ht="14.25">
      <c r="C305" s="1760" t="s">
        <v>674</v>
      </c>
      <c r="D305" s="1761"/>
      <c r="E305" s="1761"/>
      <c r="F305" s="1761"/>
      <c r="G305" s="1761"/>
      <c r="H305" s="1761"/>
      <c r="I305" s="1761"/>
      <c r="J305" s="1762"/>
    </row>
    <row r="306" spans="3:10">
      <c r="C306" s="1763" t="s">
        <v>675</v>
      </c>
      <c r="D306" s="1769"/>
      <c r="E306" s="1769"/>
      <c r="F306" s="1769"/>
      <c r="G306" s="1769"/>
      <c r="H306" s="1769"/>
      <c r="I306" s="1769"/>
      <c r="J306" s="1765"/>
    </row>
    <row r="307" spans="3:10">
      <c r="C307" s="1763" t="s">
        <v>701</v>
      </c>
      <c r="D307" s="1769"/>
      <c r="E307" s="1769"/>
      <c r="F307" s="1769"/>
      <c r="G307" s="1769"/>
      <c r="H307" s="1769"/>
      <c r="I307" s="1769"/>
      <c r="J307" s="1765"/>
    </row>
    <row r="308" spans="3:10" ht="20.25" customHeight="1" thickBot="1">
      <c r="C308" s="1766" t="s">
        <v>685</v>
      </c>
      <c r="D308" s="1767"/>
      <c r="E308" s="1767"/>
      <c r="F308" s="1767"/>
      <c r="G308" s="1767"/>
      <c r="H308" s="1767"/>
      <c r="I308" s="1767"/>
      <c r="J308" s="1768"/>
    </row>
    <row r="309" spans="3:10" ht="15.75" thickBot="1">
      <c r="C309" s="1334" t="s">
        <v>25</v>
      </c>
      <c r="D309" s="1159" t="s">
        <v>677</v>
      </c>
      <c r="E309" s="1159" t="s">
        <v>678</v>
      </c>
      <c r="F309" s="1159" t="s">
        <v>679</v>
      </c>
      <c r="G309" s="1159" t="s">
        <v>680</v>
      </c>
      <c r="H309" s="1159" t="s">
        <v>681</v>
      </c>
      <c r="I309" s="1159" t="s">
        <v>682</v>
      </c>
      <c r="J309" s="1159" t="s">
        <v>683</v>
      </c>
    </row>
    <row r="310" spans="3:10" ht="15">
      <c r="C310" s="1343">
        <v>42736</v>
      </c>
      <c r="D310" s="1344"/>
      <c r="E310" s="1344"/>
      <c r="F310" s="1344">
        <v>94.64</v>
      </c>
      <c r="G310" s="1344">
        <v>132.5</v>
      </c>
      <c r="H310" s="1344">
        <v>151</v>
      </c>
      <c r="I310" s="1344">
        <v>226.67</v>
      </c>
      <c r="J310" s="1345">
        <v>378.57</v>
      </c>
    </row>
    <row r="311" spans="3:10" ht="15">
      <c r="C311" s="1335">
        <v>42794</v>
      </c>
      <c r="D311" s="1164"/>
      <c r="E311" s="1164"/>
      <c r="F311" s="1164">
        <v>105</v>
      </c>
      <c r="G311" s="1164">
        <v>147</v>
      </c>
      <c r="H311" s="1164">
        <v>168</v>
      </c>
      <c r="I311" s="1164">
        <v>252</v>
      </c>
      <c r="J311" s="1336">
        <v>420</v>
      </c>
    </row>
    <row r="312" spans="3:10" ht="15">
      <c r="C312" s="1337">
        <v>42825</v>
      </c>
      <c r="D312" s="1162"/>
      <c r="E312" s="1162"/>
      <c r="F312" s="1162">
        <v>105</v>
      </c>
      <c r="G312" s="1162">
        <v>147</v>
      </c>
      <c r="H312" s="1162">
        <v>168</v>
      </c>
      <c r="I312" s="1162">
        <v>252</v>
      </c>
      <c r="J312" s="1338">
        <v>420</v>
      </c>
    </row>
    <row r="313" spans="3:10" ht="15">
      <c r="C313" s="1335">
        <v>42855</v>
      </c>
      <c r="D313" s="1164"/>
      <c r="E313" s="1164"/>
      <c r="F313" s="1164">
        <v>105</v>
      </c>
      <c r="G313" s="1164">
        <v>147</v>
      </c>
      <c r="H313" s="1164">
        <v>168</v>
      </c>
      <c r="I313" s="1164">
        <v>252</v>
      </c>
      <c r="J313" s="1336">
        <v>420</v>
      </c>
    </row>
    <row r="314" spans="3:10" ht="15">
      <c r="C314" s="1337">
        <v>42886</v>
      </c>
      <c r="D314" s="1162"/>
      <c r="E314" s="1162"/>
      <c r="F314" s="1162">
        <v>105</v>
      </c>
      <c r="G314" s="1162">
        <v>147</v>
      </c>
      <c r="H314" s="1162">
        <v>168</v>
      </c>
      <c r="I314" s="1162">
        <v>252</v>
      </c>
      <c r="J314" s="1338">
        <v>420</v>
      </c>
    </row>
    <row r="315" spans="3:10" ht="15">
      <c r="C315" s="1335">
        <v>42916</v>
      </c>
      <c r="D315" s="1164"/>
      <c r="E315" s="1164"/>
      <c r="F315" s="1164">
        <v>105</v>
      </c>
      <c r="G315" s="1164">
        <v>147</v>
      </c>
      <c r="H315" s="1164">
        <v>168</v>
      </c>
      <c r="I315" s="1164">
        <v>252</v>
      </c>
      <c r="J315" s="1336">
        <v>420</v>
      </c>
    </row>
    <row r="316" spans="3:10" ht="15">
      <c r="C316" s="1337">
        <v>42947</v>
      </c>
      <c r="D316" s="1162"/>
      <c r="E316" s="1162"/>
      <c r="F316" s="1162">
        <v>105</v>
      </c>
      <c r="G316" s="1162">
        <v>147</v>
      </c>
      <c r="H316" s="1162">
        <v>168</v>
      </c>
      <c r="I316" s="1162">
        <v>252</v>
      </c>
      <c r="J316" s="1338">
        <v>420</v>
      </c>
    </row>
    <row r="317" spans="3:10" ht="15">
      <c r="C317" s="1335">
        <v>42978</v>
      </c>
      <c r="D317" s="1164"/>
      <c r="E317" s="1164"/>
      <c r="F317" s="1164">
        <v>105</v>
      </c>
      <c r="G317" s="1164">
        <v>147</v>
      </c>
      <c r="H317" s="1164">
        <v>168</v>
      </c>
      <c r="I317" s="1164">
        <v>252</v>
      </c>
      <c r="J317" s="1336">
        <v>420</v>
      </c>
    </row>
    <row r="318" spans="3:10" ht="15">
      <c r="C318" s="1337">
        <v>43008</v>
      </c>
      <c r="D318" s="1162"/>
      <c r="E318" s="1162"/>
      <c r="F318" s="1162">
        <v>105</v>
      </c>
      <c r="G318" s="1162">
        <v>147</v>
      </c>
      <c r="H318" s="1162">
        <v>168</v>
      </c>
      <c r="I318" s="1162">
        <v>252</v>
      </c>
      <c r="J318" s="1338">
        <v>420</v>
      </c>
    </row>
    <row r="319" spans="3:10" ht="15">
      <c r="C319" s="1335">
        <v>43039</v>
      </c>
      <c r="D319" s="1164"/>
      <c r="E319" s="1164"/>
      <c r="F319" s="1164">
        <v>105</v>
      </c>
      <c r="G319" s="1164">
        <v>147</v>
      </c>
      <c r="H319" s="1164">
        <v>168</v>
      </c>
      <c r="I319" s="1164">
        <v>252</v>
      </c>
      <c r="J319" s="1336">
        <v>420</v>
      </c>
    </row>
    <row r="320" spans="3:10" ht="15">
      <c r="C320" s="1337">
        <v>43069</v>
      </c>
      <c r="D320" s="1162"/>
      <c r="E320" s="1162"/>
      <c r="F320" s="1162">
        <v>112.5</v>
      </c>
      <c r="G320" s="1162">
        <v>157.5</v>
      </c>
      <c r="H320" s="1162">
        <v>180</v>
      </c>
      <c r="I320" s="1162">
        <v>270</v>
      </c>
      <c r="J320" s="1338">
        <v>450</v>
      </c>
    </row>
    <row r="321" spans="3:10" ht="15.75" thickBot="1">
      <c r="C321" s="1339">
        <v>43100</v>
      </c>
      <c r="D321" s="1340"/>
      <c r="E321" s="1340"/>
      <c r="F321" s="1340">
        <v>120</v>
      </c>
      <c r="G321" s="1340">
        <v>168</v>
      </c>
      <c r="H321" s="1340">
        <v>192</v>
      </c>
      <c r="I321" s="1340">
        <v>288</v>
      </c>
      <c r="J321" s="1341">
        <v>480</v>
      </c>
    </row>
    <row r="322" spans="3:10" ht="13.5" thickBot="1">
      <c r="C322" s="1758" t="s">
        <v>702</v>
      </c>
      <c r="D322" s="1759"/>
      <c r="E322" s="1759"/>
      <c r="F322" s="1759"/>
      <c r="G322" s="1759"/>
      <c r="H322" s="1759"/>
      <c r="I322" s="1759"/>
      <c r="J322" s="1759"/>
    </row>
    <row r="323" spans="3:10" ht="14.25">
      <c r="C323" s="1760" t="s">
        <v>674</v>
      </c>
      <c r="D323" s="1761"/>
      <c r="E323" s="1761"/>
      <c r="F323" s="1761"/>
      <c r="G323" s="1761"/>
      <c r="H323" s="1761"/>
      <c r="I323" s="1761"/>
      <c r="J323" s="1762"/>
    </row>
    <row r="324" spans="3:10">
      <c r="C324" s="1763" t="s">
        <v>675</v>
      </c>
      <c r="D324" s="1769"/>
      <c r="E324" s="1769"/>
      <c r="F324" s="1769"/>
      <c r="G324" s="1769"/>
      <c r="H324" s="1769"/>
      <c r="I324" s="1769"/>
      <c r="J324" s="1765"/>
    </row>
    <row r="325" spans="3:10" ht="18" customHeight="1">
      <c r="C325" s="1763" t="s">
        <v>701</v>
      </c>
      <c r="D325" s="1769"/>
      <c r="E325" s="1769"/>
      <c r="F325" s="1769"/>
      <c r="G325" s="1769"/>
      <c r="H325" s="1769"/>
      <c r="I325" s="1769"/>
      <c r="J325" s="1765"/>
    </row>
    <row r="326" spans="3:10" ht="27" customHeight="1" thickBot="1">
      <c r="C326" s="1766" t="s">
        <v>685</v>
      </c>
      <c r="D326" s="1767"/>
      <c r="E326" s="1767"/>
      <c r="F326" s="1767"/>
      <c r="G326" s="1767"/>
      <c r="H326" s="1767"/>
      <c r="I326" s="1767"/>
      <c r="J326" s="1768"/>
    </row>
    <row r="327" spans="3:10" ht="15.75" thickBot="1">
      <c r="C327" s="1334" t="s">
        <v>25</v>
      </c>
      <c r="D327" s="1159" t="s">
        <v>677</v>
      </c>
      <c r="E327" s="1159" t="s">
        <v>678</v>
      </c>
      <c r="F327" s="1159" t="s">
        <v>679</v>
      </c>
      <c r="G327" s="1159" t="s">
        <v>680</v>
      </c>
      <c r="H327" s="1159" t="s">
        <v>681</v>
      </c>
      <c r="I327" s="1159" t="s">
        <v>682</v>
      </c>
      <c r="J327" s="1159" t="s">
        <v>683</v>
      </c>
    </row>
    <row r="328" spans="3:10" ht="15">
      <c r="C328" s="1343">
        <v>43101</v>
      </c>
      <c r="D328" s="1344"/>
      <c r="E328" s="1344"/>
      <c r="F328" s="1344">
        <f>AVERAGE('[7]GLP por Cía 03 a 06'!C14:C32)</f>
        <v>120</v>
      </c>
      <c r="G328" s="1344">
        <f>AVERAGE('[7]GLP por Cía 03 a 06'!D14:D32)</f>
        <v>168</v>
      </c>
      <c r="H328" s="1344">
        <f>AVERAGE('[7]GLP por Cía 03 a 06'!E14:E32)</f>
        <v>192</v>
      </c>
      <c r="I328" s="1344">
        <f>AVERAGE('[7]GLP por Cía 03 a 06'!F14:F32)</f>
        <v>288</v>
      </c>
      <c r="J328" s="1345">
        <f>AVERAGE('[7]GLP por Cía 03 a 06'!G14:G32)</f>
        <v>480</v>
      </c>
    </row>
    <row r="329" spans="3:10" ht="15">
      <c r="C329" s="1335">
        <v>43159</v>
      </c>
      <c r="D329" s="1164"/>
      <c r="E329" s="1164"/>
      <c r="F329" s="1164">
        <f>AVERAGE('[7]GLP por Cía 03 a 06'!C13:C20)</f>
        <v>120</v>
      </c>
      <c r="G329" s="1164">
        <f>AVERAGE('[7]GLP por Cía 03 a 06'!D13:D20)</f>
        <v>168</v>
      </c>
      <c r="H329" s="1164">
        <f>AVERAGE('[7]GLP por Cía 03 a 06'!E13:E20)</f>
        <v>192</v>
      </c>
      <c r="I329" s="1164">
        <f>AVERAGE('[7]GLP por Cía 03 a 06'!F13:F20)</f>
        <v>288</v>
      </c>
      <c r="J329" s="1336">
        <f>AVERAGE('[7]GLP por Cía 03 a 06'!G13:G20)</f>
        <v>480</v>
      </c>
    </row>
    <row r="330" spans="3:10" ht="15">
      <c r="C330" s="1337">
        <v>43190</v>
      </c>
      <c r="D330" s="1162"/>
      <c r="E330" s="1162"/>
      <c r="F330" s="1162">
        <f>AVERAGE('[7]GLP por Cía 03 a 06'!C13:C21)</f>
        <v>120</v>
      </c>
      <c r="G330" s="1162">
        <f>AVERAGE('[7]GLP por Cía 03 a 06'!D13:D21)</f>
        <v>168</v>
      </c>
      <c r="H330" s="1162">
        <f>AVERAGE('[7]GLP por Cía 03 a 06'!E13:E21)</f>
        <v>192</v>
      </c>
      <c r="I330" s="1162">
        <f>AVERAGE('[7]GLP por Cía 03 a 06'!F13:F21)</f>
        <v>288</v>
      </c>
      <c r="J330" s="1338">
        <f>AVERAGE('[7]GLP por Cía 03 a 06'!G13:G21)</f>
        <v>480</v>
      </c>
    </row>
    <row r="331" spans="3:10" ht="15">
      <c r="C331" s="1335">
        <v>43220</v>
      </c>
      <c r="D331" s="1164"/>
      <c r="E331" s="1164"/>
      <c r="F331" s="1164">
        <f>AVERAGE('[7]GLP por Cía 03 a 06'!C13:C22)</f>
        <v>120</v>
      </c>
      <c r="G331" s="1164">
        <f>AVERAGE('[7]GLP por Cía 03 a 06'!D13:D22)</f>
        <v>168</v>
      </c>
      <c r="H331" s="1164">
        <f>AVERAGE('[7]GLP por Cía 03 a 06'!E13:E22)</f>
        <v>192</v>
      </c>
      <c r="I331" s="1164">
        <f>AVERAGE('[7]GLP por Cía 03 a 06'!F13:F22)</f>
        <v>288</v>
      </c>
      <c r="J331" s="1336">
        <f>AVERAGE('[7]GLP por Cía 03 a 06'!G13:G22)</f>
        <v>480</v>
      </c>
    </row>
    <row r="332" spans="3:10" ht="15">
      <c r="C332" s="1337">
        <v>43251</v>
      </c>
      <c r="D332" s="1162"/>
      <c r="E332" s="1162"/>
      <c r="F332" s="1162">
        <f>AVERAGE('[7]GLP por Cía 03 a 06'!C13:C23)</f>
        <v>120</v>
      </c>
      <c r="G332" s="1162">
        <f>AVERAGE('[7]GLP por Cía 03 a 06'!D13:D23)</f>
        <v>168</v>
      </c>
      <c r="H332" s="1162">
        <f>AVERAGE('[7]GLP por Cía 03 a 06'!E13:E23)</f>
        <v>192</v>
      </c>
      <c r="I332" s="1162">
        <f>AVERAGE('[7]GLP por Cía 03 a 06'!F13:F23)</f>
        <v>288</v>
      </c>
      <c r="J332" s="1338">
        <f>AVERAGE('[7]GLP por Cía 03 a 06'!G13:G23)</f>
        <v>480</v>
      </c>
    </row>
    <row r="333" spans="3:10" ht="15">
      <c r="C333" s="1335">
        <v>43281</v>
      </c>
      <c r="D333" s="1164"/>
      <c r="E333" s="1164"/>
      <c r="F333" s="1164">
        <f>AVERAGE('[7]GLP por Cía 03 a 06'!C13:C24)</f>
        <v>120</v>
      </c>
      <c r="G333" s="1164">
        <f>AVERAGE('[7]GLP por Cía 03 a 06'!D13:D24)</f>
        <v>168</v>
      </c>
      <c r="H333" s="1164">
        <f>AVERAGE('[7]GLP por Cía 03 a 06'!E13:E24)</f>
        <v>192</v>
      </c>
      <c r="I333" s="1164">
        <f>AVERAGE('[7]GLP por Cía 03 a 06'!F13:F24)</f>
        <v>288</v>
      </c>
      <c r="J333" s="1336">
        <f>AVERAGE('[7]GLP por Cía 03 a 06'!G13:G24)</f>
        <v>480</v>
      </c>
    </row>
    <row r="334" spans="3:10" ht="15">
      <c r="C334" s="1337">
        <v>43312</v>
      </c>
      <c r="D334" s="1162"/>
      <c r="E334" s="1162"/>
      <c r="F334" s="1162">
        <f>AVERAGE('[7]GLP por Cía 03 a 06'!C13:C25)</f>
        <v>120</v>
      </c>
      <c r="G334" s="1162">
        <f>AVERAGE('[7]GLP por Cía 03 a 06'!D13:D25)</f>
        <v>168</v>
      </c>
      <c r="H334" s="1162">
        <f>AVERAGE('[7]GLP por Cía 03 a 06'!E13:E25)</f>
        <v>192</v>
      </c>
      <c r="I334" s="1162">
        <f>AVERAGE('[7]GLP por Cía 03 a 06'!F13:F25)</f>
        <v>288</v>
      </c>
      <c r="J334" s="1338">
        <f>AVERAGE('[7]GLP por Cía 03 a 06'!G13:G25)</f>
        <v>480</v>
      </c>
    </row>
    <row r="335" spans="3:10" ht="15">
      <c r="C335" s="1335">
        <v>43343</v>
      </c>
      <c r="D335" s="1164"/>
      <c r="E335" s="1164"/>
      <c r="F335" s="1164">
        <f>AVERAGE('[7]GLP por Cía 03 a 06'!C13:C26)</f>
        <v>120</v>
      </c>
      <c r="G335" s="1164">
        <f>AVERAGE('[7]GLP por Cía 03 a 06'!D13:D26)</f>
        <v>168</v>
      </c>
      <c r="H335" s="1164">
        <f>AVERAGE('[7]GLP por Cía 03 a 06'!E13:E26)</f>
        <v>192</v>
      </c>
      <c r="I335" s="1164">
        <f>AVERAGE('[7]GLP por Cía 03 a 06'!F13:F26)</f>
        <v>288</v>
      </c>
      <c r="J335" s="1336">
        <f>AVERAGE('[7]GLP por Cía 03 a 06'!G13:G26)</f>
        <v>480</v>
      </c>
    </row>
    <row r="336" spans="3:10" ht="15">
      <c r="C336" s="1337">
        <v>43373</v>
      </c>
      <c r="D336" s="1162"/>
      <c r="E336" s="1162"/>
      <c r="F336" s="1162">
        <f>AVERAGE('[7]GLP por Cía 03 a 06'!C13:C27)</f>
        <v>120</v>
      </c>
      <c r="G336" s="1162">
        <f>AVERAGE('[7]GLP por Cía 03 a 06'!D13:D27)</f>
        <v>168</v>
      </c>
      <c r="H336" s="1162">
        <f>AVERAGE('[7]GLP por Cía 03 a 06'!E13:E27)</f>
        <v>192</v>
      </c>
      <c r="I336" s="1162">
        <f>AVERAGE('[7]GLP por Cía 03 a 06'!F13:F27)</f>
        <v>288</v>
      </c>
      <c r="J336" s="1338">
        <f>AVERAGE('[7]GLP por Cía 03 a 06'!G13:G27)</f>
        <v>480</v>
      </c>
    </row>
    <row r="337" spans="3:10" ht="15">
      <c r="C337" s="1335">
        <v>43404</v>
      </c>
      <c r="D337" s="1164"/>
      <c r="E337" s="1164"/>
      <c r="F337" s="1164">
        <v>128</v>
      </c>
      <c r="G337" s="1164">
        <v>180</v>
      </c>
      <c r="H337" s="1164">
        <v>205</v>
      </c>
      <c r="I337" s="1164">
        <v>308</v>
      </c>
      <c r="J337" s="1336">
        <v>512</v>
      </c>
    </row>
    <row r="338" spans="3:10" ht="15">
      <c r="C338" s="1337">
        <v>43434</v>
      </c>
      <c r="D338" s="1162"/>
      <c r="E338" s="1162"/>
      <c r="F338" s="1162">
        <f>AVERAGE('[7]GLP por Cía 03 a 06'!C186:C200)</f>
        <v>126.75</v>
      </c>
      <c r="G338" s="1162">
        <f>AVERAGE('[7]GLP por Cía 03 a 06'!D186:D200)</f>
        <v>178.25</v>
      </c>
      <c r="H338" s="1162">
        <f>AVERAGE('[7]GLP por Cía 03 a 06'!E186:E200)</f>
        <v>203</v>
      </c>
      <c r="I338" s="1162">
        <f>AVERAGE('[7]GLP por Cía 03 a 06'!F186:F200)</f>
        <v>304.75</v>
      </c>
      <c r="J338" s="1338">
        <f>AVERAGE('[7]GLP por Cía 03 a 06'!G186:G200)</f>
        <v>507</v>
      </c>
    </row>
    <row r="339" spans="3:10" ht="15.75" thickBot="1">
      <c r="C339" s="1339">
        <v>43465</v>
      </c>
      <c r="D339" s="1340"/>
      <c r="E339" s="1340"/>
      <c r="F339" s="1340">
        <f>AVERAGE('[7]GLP por Cía 03 a 06'!C202:C216)</f>
        <v>123</v>
      </c>
      <c r="G339" s="1340">
        <f>AVERAGE('[7]GLP por Cía 03 a 06'!D202:D216)</f>
        <v>173</v>
      </c>
      <c r="H339" s="1340">
        <f>AVERAGE('[7]GLP por Cía 03 a 06'!E202:E216)</f>
        <v>197</v>
      </c>
      <c r="I339" s="1340">
        <f>AVERAGE('[7]GLP por Cía 03 a 06'!F202:F216)</f>
        <v>295</v>
      </c>
      <c r="J339" s="1341">
        <f>AVERAGE('[7]GLP por Cía 03 a 06'!G202:G216)</f>
        <v>492</v>
      </c>
    </row>
    <row r="340" spans="3:10" ht="13.5" thickBot="1">
      <c r="C340" s="1758" t="s">
        <v>721</v>
      </c>
      <c r="D340" s="1759"/>
      <c r="E340" s="1759"/>
      <c r="F340" s="1759"/>
      <c r="G340" s="1759"/>
      <c r="H340" s="1759"/>
      <c r="I340" s="1759"/>
      <c r="J340" s="1759"/>
    </row>
    <row r="341" spans="3:10" ht="14.25">
      <c r="C341" s="1760" t="s">
        <v>674</v>
      </c>
      <c r="D341" s="1761"/>
      <c r="E341" s="1761"/>
      <c r="F341" s="1761"/>
      <c r="G341" s="1761"/>
      <c r="H341" s="1761"/>
      <c r="I341" s="1761"/>
      <c r="J341" s="1762"/>
    </row>
    <row r="342" spans="3:10">
      <c r="C342" s="1763" t="s">
        <v>675</v>
      </c>
      <c r="D342" s="1769"/>
      <c r="E342" s="1769"/>
      <c r="F342" s="1769"/>
      <c r="G342" s="1769"/>
      <c r="H342" s="1769"/>
      <c r="I342" s="1769"/>
      <c r="J342" s="1765"/>
    </row>
    <row r="343" spans="3:10" ht="15.75" customHeight="1">
      <c r="C343" s="1763" t="s">
        <v>701</v>
      </c>
      <c r="D343" s="1769"/>
      <c r="E343" s="1769"/>
      <c r="F343" s="1769"/>
      <c r="G343" s="1769"/>
      <c r="H343" s="1769"/>
      <c r="I343" s="1769"/>
      <c r="J343" s="1765"/>
    </row>
    <row r="344" spans="3:10" ht="20.25" customHeight="1" thickBot="1">
      <c r="C344" s="1766" t="s">
        <v>685</v>
      </c>
      <c r="D344" s="1767"/>
      <c r="E344" s="1767"/>
      <c r="F344" s="1767"/>
      <c r="G344" s="1767"/>
      <c r="H344" s="1767"/>
      <c r="I344" s="1767"/>
      <c r="J344" s="1768"/>
    </row>
    <row r="345" spans="3:10" ht="15.75" thickBot="1">
      <c r="C345" s="1334" t="s">
        <v>25</v>
      </c>
      <c r="D345" s="1159" t="s">
        <v>677</v>
      </c>
      <c r="E345" s="1159" t="s">
        <v>678</v>
      </c>
      <c r="F345" s="1159" t="s">
        <v>679</v>
      </c>
      <c r="G345" s="1159" t="s">
        <v>680</v>
      </c>
      <c r="H345" s="1159" t="s">
        <v>681</v>
      </c>
      <c r="I345" s="1159" t="s">
        <v>682</v>
      </c>
      <c r="J345" s="1159" t="s">
        <v>683</v>
      </c>
    </row>
    <row r="346" spans="3:10" ht="15">
      <c r="C346" s="1343">
        <v>43466</v>
      </c>
      <c r="D346" s="1344"/>
      <c r="E346" s="1344"/>
      <c r="F346" s="1344">
        <f>AVERAGE('[7]GLP WEB 2019'!C129:C147)</f>
        <v>118.2</v>
      </c>
      <c r="G346" s="1344">
        <f>AVERAGE('[7]GLP WEB 2019'!D129:D147)</f>
        <v>165.8</v>
      </c>
      <c r="H346" s="1344">
        <f>AVERAGE('[7]GLP WEB 2019'!E129:E147)</f>
        <v>189.2</v>
      </c>
      <c r="I346" s="1344">
        <f>AVERAGE('[7]GLP WEB 2019'!F129:F147)</f>
        <v>283.60000000000002</v>
      </c>
      <c r="J346" s="1345">
        <f>AVERAGE('[7]GLP WEB 2019'!G129:G147)</f>
        <v>472.8</v>
      </c>
    </row>
    <row r="347" spans="3:10" ht="15">
      <c r="C347" s="1335">
        <v>43524</v>
      </c>
      <c r="D347" s="1164"/>
      <c r="E347" s="1164"/>
      <c r="F347" s="1164">
        <f>AVERAGE('[7]GLP WEB 2019'!C149:C163)</f>
        <v>115</v>
      </c>
      <c r="G347" s="1164">
        <f>AVERAGE('[7]GLP WEB 2019'!D149:D163)</f>
        <v>161</v>
      </c>
      <c r="H347" s="1164">
        <f>AVERAGE('[7]GLP WEB 2019'!E149:E163)</f>
        <v>184</v>
      </c>
      <c r="I347" s="1164">
        <f>AVERAGE('[7]GLP WEB 2019'!F149:F163)</f>
        <v>276</v>
      </c>
      <c r="J347" s="1336">
        <f>AVERAGE('[7]GLP WEB 2019'!G149:G163)</f>
        <v>460</v>
      </c>
    </row>
    <row r="348" spans="3:10" ht="15">
      <c r="C348" s="1337">
        <v>43555</v>
      </c>
      <c r="D348" s="1162"/>
      <c r="E348" s="1162"/>
      <c r="F348" s="1162">
        <f>AVERAGE('[7]GLP WEB 2019'!C150:C164)</f>
        <v>115</v>
      </c>
      <c r="G348" s="1162">
        <f>AVERAGE('[7]GLP WEB 2019'!D150:D164)</f>
        <v>161</v>
      </c>
      <c r="H348" s="1162">
        <f>AVERAGE('[7]GLP WEB 2019'!E150:E164)</f>
        <v>184</v>
      </c>
      <c r="I348" s="1162">
        <f>AVERAGE('[7]GLP WEB 2019'!F150:F164)</f>
        <v>276</v>
      </c>
      <c r="J348" s="1338">
        <f>AVERAGE('[7]GLP WEB 2019'!G150:G164)</f>
        <v>460</v>
      </c>
    </row>
    <row r="349" spans="3:10" ht="15">
      <c r="C349" s="1335">
        <v>43585</v>
      </c>
      <c r="D349" s="1164"/>
      <c r="E349" s="1164"/>
      <c r="F349" s="1164">
        <f>AVERAGE('[7]GLP WEB 2019'!C151:C165)</f>
        <v>115</v>
      </c>
      <c r="G349" s="1164">
        <f>AVERAGE('[7]GLP WEB 2019'!D151:D165)</f>
        <v>161</v>
      </c>
      <c r="H349" s="1164">
        <f>AVERAGE('[7]GLP WEB 2019'!E151:E165)</f>
        <v>184</v>
      </c>
      <c r="I349" s="1164">
        <f>AVERAGE('[7]GLP WEB 2019'!F151:F165)</f>
        <v>276</v>
      </c>
      <c r="J349" s="1336">
        <f>AVERAGE('[7]GLP WEB 2019'!G151:G165)</f>
        <v>460</v>
      </c>
    </row>
    <row r="350" spans="3:10" ht="15">
      <c r="C350" s="1337">
        <v>43616</v>
      </c>
      <c r="D350" s="1162"/>
      <c r="E350" s="1162"/>
      <c r="F350" s="1162">
        <f>AVERAGE('[7]GLP WEB 2019'!C152:C166)</f>
        <v>115</v>
      </c>
      <c r="G350" s="1162">
        <f>AVERAGE('[7]GLP WEB 2019'!D152:D166)</f>
        <v>161</v>
      </c>
      <c r="H350" s="1162">
        <f>AVERAGE('[7]GLP WEB 2019'!E152:E166)</f>
        <v>184</v>
      </c>
      <c r="I350" s="1162">
        <f>AVERAGE('[7]GLP WEB 2019'!F152:F166)</f>
        <v>276</v>
      </c>
      <c r="J350" s="1338">
        <f>AVERAGE('[7]GLP WEB 2019'!G152:G166)</f>
        <v>460</v>
      </c>
    </row>
    <row r="351" spans="3:10" ht="15">
      <c r="C351" s="1335">
        <v>43646</v>
      </c>
      <c r="D351" s="1164"/>
      <c r="E351" s="1164"/>
      <c r="F351" s="1164">
        <f>AVERAGE('[7]GLP WEB 2019'!C217:C235)</f>
        <v>113</v>
      </c>
      <c r="G351" s="1164">
        <f>AVERAGE('[7]GLP WEB 2019'!D217:D235)</f>
        <v>158.19999999999999</v>
      </c>
      <c r="H351" s="1164">
        <f>AVERAGE('[7]GLP WEB 2019'!E217:E235)</f>
        <v>180.8</v>
      </c>
      <c r="I351" s="1164">
        <f>AVERAGE('[7]GLP WEB 2019'!F217:F235)</f>
        <v>271.2</v>
      </c>
      <c r="J351" s="1336">
        <f>AVERAGE('[7]GLP WEB 2019'!G217:G235)</f>
        <v>452</v>
      </c>
    </row>
    <row r="352" spans="3:10" ht="15">
      <c r="C352" s="1337">
        <v>43677</v>
      </c>
      <c r="D352" s="1162"/>
      <c r="E352" s="1162"/>
      <c r="F352" s="1162">
        <f>AVERAGE('[7]GLP WEB 2019'!C237:C399)</f>
        <v>107.34146341463415</v>
      </c>
      <c r="G352" s="1162">
        <f>AVERAGE('[7]GLP WEB 2019'!D237:D399)</f>
        <v>150.27804878048778</v>
      </c>
      <c r="H352" s="1162">
        <f>AVERAGE('[7]GLP WEB 2019'!E237:E399)</f>
        <v>171.66829268292682</v>
      </c>
      <c r="I352" s="1162">
        <f>AVERAGE('[7]GLP WEB 2019'!F237:F399)</f>
        <v>257.50243902439018</v>
      </c>
      <c r="J352" s="1338">
        <f>AVERAGE('[7]GLP WEB 2019'!G237:G399)</f>
        <v>429.36585365853659</v>
      </c>
    </row>
    <row r="353" spans="3:10" ht="15">
      <c r="C353" s="1335">
        <v>43708</v>
      </c>
      <c r="D353" s="1164"/>
      <c r="E353" s="1164"/>
      <c r="F353" s="1164">
        <f>AVERAGE('[7]GLP WEB 2019'!C238:C400)</f>
        <v>107.31967213114754</v>
      </c>
      <c r="G353" s="1164">
        <f>AVERAGE('[7]GLP WEB 2019'!D238:D400)</f>
        <v>150.24754098360654</v>
      </c>
      <c r="H353" s="1164">
        <f>AVERAGE('[7]GLP WEB 2019'!E238:E400)</f>
        <v>171.66829268292682</v>
      </c>
      <c r="I353" s="1164">
        <f>AVERAGE('[7]GLP WEB 2019'!F238:F400)</f>
        <v>257.50243902439018</v>
      </c>
      <c r="J353" s="1336">
        <f>AVERAGE('[7]GLP WEB 2019'!G238:G400)</f>
        <v>429.27868852459017</v>
      </c>
    </row>
    <row r="354" spans="3:10" ht="15">
      <c r="C354" s="1337">
        <v>43738</v>
      </c>
      <c r="D354" s="1162"/>
      <c r="E354" s="1162"/>
      <c r="F354" s="1162">
        <v>110</v>
      </c>
      <c r="G354" s="1162">
        <v>154</v>
      </c>
      <c r="H354" s="1162">
        <v>176</v>
      </c>
      <c r="I354" s="1162">
        <v>264</v>
      </c>
      <c r="J354" s="1338">
        <v>440</v>
      </c>
    </row>
    <row r="355" spans="3:10" ht="15">
      <c r="C355" s="1335">
        <v>43769</v>
      </c>
      <c r="D355" s="1164"/>
      <c r="E355" s="1164"/>
      <c r="F355" s="1164">
        <v>100</v>
      </c>
      <c r="G355" s="1164">
        <v>140</v>
      </c>
      <c r="H355" s="1164">
        <v>160</v>
      </c>
      <c r="I355" s="1164">
        <v>240</v>
      </c>
      <c r="J355" s="1336">
        <v>400</v>
      </c>
    </row>
    <row r="356" spans="3:10" ht="15">
      <c r="C356" s="1337">
        <v>43799</v>
      </c>
      <c r="D356" s="1162"/>
      <c r="E356" s="1162"/>
      <c r="F356" s="1162">
        <v>103</v>
      </c>
      <c r="G356" s="1162">
        <v>144</v>
      </c>
      <c r="H356" s="1162">
        <v>164</v>
      </c>
      <c r="I356" s="1162">
        <v>246</v>
      </c>
      <c r="J356" s="1338">
        <v>411</v>
      </c>
    </row>
    <row r="357" spans="3:10" ht="15.75" thickBot="1">
      <c r="C357" s="1339">
        <v>43830</v>
      </c>
      <c r="D357" s="1340"/>
      <c r="E357" s="1340"/>
      <c r="F357" s="1340">
        <f>AVERAGE('[8]GLP por Cía 03 a 06'!$C$408:$C$430)</f>
        <v>110</v>
      </c>
      <c r="G357" s="1340">
        <f>AVERAGE('[8]GLP por Cía 03 a 06'!$D$408:$D$430)</f>
        <v>154</v>
      </c>
      <c r="H357" s="1340">
        <f>AVERAGE('[8]GLP por Cía 03 a 06'!$E$408:$E$430)</f>
        <v>176</v>
      </c>
      <c r="I357" s="1340">
        <f>AVERAGE('[8]GLP por Cía 03 a 06'!$F$408:$F$430)</f>
        <v>264</v>
      </c>
      <c r="J357" s="1341">
        <f>AVERAGE('[8]GLP por Cía 03 a 06'!$G$408:$G$430)</f>
        <v>440</v>
      </c>
    </row>
    <row r="358" spans="3:10" ht="13.5" thickBot="1">
      <c r="C358" s="1758" t="s">
        <v>722</v>
      </c>
      <c r="D358" s="1759"/>
      <c r="E358" s="1759"/>
      <c r="F358" s="1759"/>
      <c r="G358" s="1759"/>
      <c r="H358" s="1759"/>
      <c r="I358" s="1759"/>
      <c r="J358" s="1759"/>
    </row>
    <row r="359" spans="3:10" ht="14.25">
      <c r="C359" s="1760" t="s">
        <v>674</v>
      </c>
      <c r="D359" s="1761"/>
      <c r="E359" s="1761"/>
      <c r="F359" s="1761"/>
      <c r="G359" s="1761"/>
      <c r="H359" s="1761"/>
      <c r="I359" s="1761"/>
      <c r="J359" s="1762"/>
    </row>
    <row r="360" spans="3:10">
      <c r="C360" s="1763" t="s">
        <v>675</v>
      </c>
      <c r="D360" s="1769"/>
      <c r="E360" s="1769"/>
      <c r="F360" s="1769"/>
      <c r="G360" s="1769"/>
      <c r="H360" s="1769"/>
      <c r="I360" s="1769"/>
      <c r="J360" s="1765"/>
    </row>
    <row r="361" spans="3:10">
      <c r="C361" s="1763" t="s">
        <v>701</v>
      </c>
      <c r="D361" s="1769"/>
      <c r="E361" s="1769"/>
      <c r="F361" s="1769"/>
      <c r="G361" s="1769"/>
      <c r="H361" s="1769"/>
      <c r="I361" s="1769"/>
      <c r="J361" s="1765"/>
    </row>
    <row r="362" spans="3:10" ht="13.5" thickBot="1">
      <c r="C362" s="1766" t="s">
        <v>685</v>
      </c>
      <c r="D362" s="1767"/>
      <c r="E362" s="1767"/>
      <c r="F362" s="1767"/>
      <c r="G362" s="1767"/>
      <c r="H362" s="1767"/>
      <c r="I362" s="1767"/>
      <c r="J362" s="1768"/>
    </row>
    <row r="363" spans="3:10" ht="15.75" thickBot="1">
      <c r="C363" s="1334" t="s">
        <v>25</v>
      </c>
      <c r="D363" s="1159" t="s">
        <v>677</v>
      </c>
      <c r="E363" s="1159" t="s">
        <v>678</v>
      </c>
      <c r="F363" s="1159" t="s">
        <v>679</v>
      </c>
      <c r="G363" s="1159" t="s">
        <v>680</v>
      </c>
      <c r="H363" s="1159" t="s">
        <v>681</v>
      </c>
      <c r="I363" s="1159" t="s">
        <v>682</v>
      </c>
      <c r="J363" s="1159" t="s">
        <v>683</v>
      </c>
    </row>
    <row r="364" spans="3:10" ht="15">
      <c r="C364" s="1343">
        <v>43831</v>
      </c>
      <c r="D364" s="1344"/>
      <c r="E364" s="1344"/>
      <c r="F364" s="1344">
        <f>AVERAGE('[8]GLP por Cía 03 a 06'!$C$432:$C$446)</f>
        <v>110</v>
      </c>
      <c r="G364" s="1344">
        <v>154</v>
      </c>
      <c r="H364" s="1344">
        <v>176</v>
      </c>
      <c r="I364" s="1344">
        <v>264</v>
      </c>
      <c r="J364" s="1345">
        <v>440</v>
      </c>
    </row>
    <row r="365" spans="3:10" ht="15">
      <c r="C365" s="1335">
        <v>43862</v>
      </c>
      <c r="D365" s="1164"/>
      <c r="E365" s="1164"/>
      <c r="F365" s="1164">
        <v>108.75</v>
      </c>
      <c r="G365" s="1164">
        <v>152.25</v>
      </c>
      <c r="H365" s="1164">
        <v>174</v>
      </c>
      <c r="I365" s="1164">
        <v>261</v>
      </c>
      <c r="J365" s="1336">
        <v>435</v>
      </c>
    </row>
    <row r="366" spans="3:10" ht="15">
      <c r="C366" s="1337">
        <v>43891</v>
      </c>
      <c r="D366" s="1162"/>
      <c r="E366" s="1162"/>
      <c r="F366" s="1162">
        <v>105</v>
      </c>
      <c r="G366" s="1162">
        <v>147</v>
      </c>
      <c r="H366" s="1162">
        <v>168</v>
      </c>
      <c r="I366" s="1162">
        <v>252</v>
      </c>
      <c r="J366" s="1338">
        <v>420</v>
      </c>
    </row>
    <row r="367" spans="3:10" ht="15">
      <c r="C367" s="1335">
        <v>43922</v>
      </c>
      <c r="D367" s="1164"/>
      <c r="E367" s="1164"/>
      <c r="F367" s="1164">
        <v>100</v>
      </c>
      <c r="G367" s="1164">
        <v>140.06666666666663</v>
      </c>
      <c r="H367" s="1164">
        <v>158.4</v>
      </c>
      <c r="I367" s="1164">
        <v>237.59999999999997</v>
      </c>
      <c r="J367" s="1336">
        <v>400</v>
      </c>
    </row>
    <row r="368" spans="3:10" ht="15">
      <c r="C368" s="1337">
        <v>43952</v>
      </c>
      <c r="D368" s="1162"/>
      <c r="E368" s="1162"/>
      <c r="F368" s="1162">
        <v>99</v>
      </c>
      <c r="G368" s="1162">
        <v>138.6</v>
      </c>
      <c r="H368" s="1162">
        <v>158.4</v>
      </c>
      <c r="I368" s="1162">
        <v>237.59999999999997</v>
      </c>
      <c r="J368" s="1338">
        <v>396</v>
      </c>
    </row>
    <row r="369" spans="3:10" ht="15">
      <c r="C369" s="1335">
        <v>43983</v>
      </c>
      <c r="D369" s="1164"/>
      <c r="E369" s="1164"/>
      <c r="F369" s="1164">
        <v>99</v>
      </c>
      <c r="G369" s="1164">
        <v>138.6</v>
      </c>
      <c r="H369" s="1164">
        <v>158.40000000000003</v>
      </c>
      <c r="I369" s="1164">
        <v>237.59999999999997</v>
      </c>
      <c r="J369" s="1336">
        <v>396</v>
      </c>
    </row>
    <row r="370" spans="3:10" ht="15">
      <c r="C370" s="1337">
        <v>44013</v>
      </c>
      <c r="D370" s="1162"/>
      <c r="E370" s="1162"/>
      <c r="F370" s="1162">
        <v>99</v>
      </c>
      <c r="G370" s="1162">
        <v>138.6</v>
      </c>
      <c r="H370" s="1162">
        <v>158.40000000000003</v>
      </c>
      <c r="I370" s="1162">
        <v>237.59999999999997</v>
      </c>
      <c r="J370" s="1338">
        <v>396</v>
      </c>
    </row>
    <row r="371" spans="3:10" ht="15">
      <c r="C371" s="1335">
        <v>44044</v>
      </c>
      <c r="D371" s="1164"/>
      <c r="E371" s="1164"/>
      <c r="F371" s="1164">
        <v>99</v>
      </c>
      <c r="G371" s="1164">
        <v>138.6</v>
      </c>
      <c r="H371" s="1164">
        <v>158.40000000000003</v>
      </c>
      <c r="I371" s="1164">
        <v>237.59999999999997</v>
      </c>
      <c r="J371" s="1336">
        <v>396</v>
      </c>
    </row>
    <row r="372" spans="3:10" ht="15">
      <c r="C372" s="1337">
        <v>44075</v>
      </c>
      <c r="D372" s="1162"/>
      <c r="E372" s="1162"/>
      <c r="F372" s="1162">
        <v>99</v>
      </c>
      <c r="G372" s="1162">
        <v>138.6</v>
      </c>
      <c r="H372" s="1162">
        <v>158.40000000000003</v>
      </c>
      <c r="I372" s="1162">
        <v>237.59999999999997</v>
      </c>
      <c r="J372" s="1338">
        <v>396</v>
      </c>
    </row>
    <row r="373" spans="3:10" ht="15">
      <c r="C373" s="1335">
        <v>44105</v>
      </c>
      <c r="D373" s="1164"/>
      <c r="E373" s="1164"/>
      <c r="F373" s="1164">
        <v>99</v>
      </c>
      <c r="G373" s="1164">
        <v>138.6</v>
      </c>
      <c r="H373" s="1164">
        <v>158.4</v>
      </c>
      <c r="I373" s="1164">
        <v>237.6</v>
      </c>
      <c r="J373" s="1336">
        <v>396</v>
      </c>
    </row>
    <row r="374" spans="3:10" ht="15">
      <c r="C374" s="1337">
        <v>44136</v>
      </c>
      <c r="D374" s="1162"/>
      <c r="E374" s="1162"/>
      <c r="F374" s="1162">
        <v>99</v>
      </c>
      <c r="G374" s="1162">
        <v>138.6</v>
      </c>
      <c r="H374" s="1162">
        <v>158.40000000000003</v>
      </c>
      <c r="I374" s="1162">
        <v>237.59999999999997</v>
      </c>
      <c r="J374" s="1338">
        <v>396</v>
      </c>
    </row>
    <row r="375" spans="3:10" ht="15.75" thickBot="1">
      <c r="C375" s="1339">
        <v>44166</v>
      </c>
      <c r="D375" s="1340"/>
      <c r="E375" s="1340"/>
      <c r="F375" s="1340">
        <v>99</v>
      </c>
      <c r="G375" s="1340">
        <v>138.6</v>
      </c>
      <c r="H375" s="1340">
        <v>158.4</v>
      </c>
      <c r="I375" s="1340">
        <v>237.6</v>
      </c>
      <c r="J375" s="1341">
        <v>396</v>
      </c>
    </row>
    <row r="376" spans="3:10" s="591" customFormat="1" ht="13.5" thickBot="1">
      <c r="C376" s="1758" t="s">
        <v>723</v>
      </c>
      <c r="D376" s="1759"/>
      <c r="E376" s="1759"/>
      <c r="F376" s="1759"/>
      <c r="G376" s="1759"/>
      <c r="H376" s="1759"/>
      <c r="I376" s="1759"/>
      <c r="J376" s="1759"/>
    </row>
    <row r="377" spans="3:10" ht="14.25">
      <c r="C377" s="1760" t="s">
        <v>674</v>
      </c>
      <c r="D377" s="1761"/>
      <c r="E377" s="1761"/>
      <c r="F377" s="1761"/>
      <c r="G377" s="1761"/>
      <c r="H377" s="1761"/>
      <c r="I377" s="1761"/>
      <c r="J377" s="1762"/>
    </row>
    <row r="378" spans="3:10">
      <c r="C378" s="1763" t="s">
        <v>675</v>
      </c>
      <c r="D378" s="1769"/>
      <c r="E378" s="1769"/>
      <c r="F378" s="1769"/>
      <c r="G378" s="1769"/>
      <c r="H378" s="1769"/>
      <c r="I378" s="1769"/>
      <c r="J378" s="1765"/>
    </row>
    <row r="379" spans="3:10">
      <c r="C379" s="1763" t="s">
        <v>701</v>
      </c>
      <c r="D379" s="1769"/>
      <c r="E379" s="1769"/>
      <c r="F379" s="1769"/>
      <c r="G379" s="1769"/>
      <c r="H379" s="1769"/>
      <c r="I379" s="1769"/>
      <c r="J379" s="1765"/>
    </row>
    <row r="380" spans="3:10" ht="13.5" thickBot="1">
      <c r="C380" s="1766" t="s">
        <v>685</v>
      </c>
      <c r="D380" s="1767"/>
      <c r="E380" s="1767"/>
      <c r="F380" s="1767"/>
      <c r="G380" s="1767"/>
      <c r="H380" s="1767"/>
      <c r="I380" s="1767"/>
      <c r="J380" s="1768"/>
    </row>
    <row r="381" spans="3:10" ht="15.75" thickBot="1">
      <c r="C381" s="1334" t="s">
        <v>25</v>
      </c>
      <c r="D381" s="1159" t="s">
        <v>677</v>
      </c>
      <c r="E381" s="1159" t="s">
        <v>678</v>
      </c>
      <c r="F381" s="1159" t="s">
        <v>679</v>
      </c>
      <c r="G381" s="1159" t="s">
        <v>680</v>
      </c>
      <c r="H381" s="1159" t="s">
        <v>681</v>
      </c>
      <c r="I381" s="1159" t="s">
        <v>682</v>
      </c>
      <c r="J381" s="1159" t="s">
        <v>683</v>
      </c>
    </row>
    <row r="382" spans="3:10" ht="15">
      <c r="C382" s="1343">
        <v>44197</v>
      </c>
      <c r="D382" s="1344"/>
      <c r="E382" s="1344"/>
      <c r="F382" s="1344">
        <v>106.29</v>
      </c>
      <c r="G382" s="1344">
        <v>148.82</v>
      </c>
      <c r="H382" s="1344">
        <v>169.19</v>
      </c>
      <c r="I382" s="1344">
        <v>253.78</v>
      </c>
      <c r="J382" s="1345">
        <v>425.16</v>
      </c>
    </row>
    <row r="383" spans="3:10" ht="15">
      <c r="C383" s="1335">
        <v>44228</v>
      </c>
      <c r="D383" s="1164"/>
      <c r="E383" s="1164"/>
      <c r="F383" s="1164">
        <v>116</v>
      </c>
      <c r="G383" s="1164">
        <v>162.4</v>
      </c>
      <c r="H383" s="1164">
        <v>185.6</v>
      </c>
      <c r="I383" s="1164">
        <v>278.39999999999998</v>
      </c>
      <c r="J383" s="1336">
        <v>464</v>
      </c>
    </row>
    <row r="384" spans="3:10" ht="15">
      <c r="C384" s="1337">
        <v>44256</v>
      </c>
      <c r="D384" s="1162"/>
      <c r="E384" s="1162"/>
      <c r="F384" s="1162">
        <v>118.4</v>
      </c>
      <c r="G384" s="1162">
        <v>165.71</v>
      </c>
      <c r="H384" s="1162">
        <v>189.44</v>
      </c>
      <c r="I384" s="1162">
        <v>284.16000000000003</v>
      </c>
      <c r="J384" s="1338">
        <v>473.7</v>
      </c>
    </row>
    <row r="385" spans="3:13" ht="15">
      <c r="C385" s="1335">
        <v>44287</v>
      </c>
      <c r="D385" s="1164"/>
      <c r="E385" s="1164"/>
      <c r="F385" s="1164">
        <v>120</v>
      </c>
      <c r="G385" s="1164">
        <v>168</v>
      </c>
      <c r="H385" s="1164">
        <v>192</v>
      </c>
      <c r="I385" s="1164">
        <v>288</v>
      </c>
      <c r="J385" s="1336">
        <v>480</v>
      </c>
    </row>
    <row r="386" spans="3:13" ht="15">
      <c r="C386" s="1337">
        <v>44317</v>
      </c>
      <c r="D386" s="1162"/>
      <c r="E386" s="1162"/>
      <c r="F386" s="1162">
        <v>120</v>
      </c>
      <c r="G386" s="1162">
        <v>168</v>
      </c>
      <c r="H386" s="1162">
        <v>192</v>
      </c>
      <c r="I386" s="1162">
        <v>288</v>
      </c>
      <c r="J386" s="1338">
        <v>480</v>
      </c>
    </row>
    <row r="387" spans="3:13" ht="15">
      <c r="C387" s="1335">
        <v>44348</v>
      </c>
      <c r="D387" s="1164"/>
      <c r="E387" s="1164"/>
      <c r="F387" s="1164">
        <v>120</v>
      </c>
      <c r="G387" s="1164">
        <v>168</v>
      </c>
      <c r="H387" s="1164">
        <v>192</v>
      </c>
      <c r="I387" s="1164">
        <v>288</v>
      </c>
      <c r="J387" s="1336">
        <v>480</v>
      </c>
    </row>
    <row r="388" spans="3:13" ht="15">
      <c r="C388" s="1337">
        <v>44378</v>
      </c>
      <c r="D388" s="1162"/>
      <c r="E388" s="1162"/>
      <c r="F388" s="1162">
        <v>120</v>
      </c>
      <c r="G388" s="1162">
        <v>168</v>
      </c>
      <c r="H388" s="1162">
        <v>192</v>
      </c>
      <c r="I388" s="1162">
        <v>288</v>
      </c>
      <c r="J388" s="1338">
        <v>480</v>
      </c>
    </row>
    <row r="389" spans="3:13" ht="15">
      <c r="C389" s="1335">
        <v>44409</v>
      </c>
      <c r="D389" s="1164"/>
      <c r="E389" s="1164"/>
      <c r="F389" s="1164">
        <v>120</v>
      </c>
      <c r="G389" s="1164">
        <v>168</v>
      </c>
      <c r="H389" s="1164">
        <v>192</v>
      </c>
      <c r="I389" s="1164">
        <v>288</v>
      </c>
      <c r="J389" s="1336">
        <v>480</v>
      </c>
    </row>
    <row r="390" spans="3:13" ht="15">
      <c r="C390" s="1337">
        <v>44440</v>
      </c>
      <c r="D390" s="1162"/>
      <c r="E390" s="1162"/>
      <c r="F390" s="1162">
        <v>122.9</v>
      </c>
      <c r="G390" s="1162">
        <v>171.39</v>
      </c>
      <c r="H390" s="1162">
        <v>193.9</v>
      </c>
      <c r="I390" s="1162">
        <v>290.88</v>
      </c>
      <c r="J390" s="1338">
        <v>489.6</v>
      </c>
    </row>
    <row r="391" spans="3:13" ht="15">
      <c r="C391" s="1335">
        <v>44470</v>
      </c>
      <c r="D391" s="1164"/>
      <c r="E391" s="1164"/>
      <c r="F391" s="1164">
        <v>132</v>
      </c>
      <c r="G391" s="1164">
        <v>185</v>
      </c>
      <c r="H391" s="1164">
        <v>211</v>
      </c>
      <c r="I391" s="1164">
        <v>316.8</v>
      </c>
      <c r="J391" s="1336">
        <v>528</v>
      </c>
    </row>
    <row r="392" spans="3:13" ht="15">
      <c r="C392" s="1337">
        <v>44501</v>
      </c>
      <c r="D392" s="1162"/>
      <c r="E392" s="1162"/>
      <c r="F392" s="1162">
        <v>138</v>
      </c>
      <c r="G392" s="1162">
        <v>193.4</v>
      </c>
      <c r="H392" s="1162">
        <v>217.6</v>
      </c>
      <c r="I392" s="1162">
        <v>326.39999999999998</v>
      </c>
      <c r="J392" s="1338">
        <v>552</v>
      </c>
    </row>
    <row r="393" spans="3:13" ht="15.75" thickBot="1">
      <c r="C393" s="1339">
        <v>44531</v>
      </c>
      <c r="D393" s="1340"/>
      <c r="E393" s="1340"/>
      <c r="F393" s="1340">
        <v>122</v>
      </c>
      <c r="G393" s="1340">
        <v>171</v>
      </c>
      <c r="H393" s="1340">
        <v>227</v>
      </c>
      <c r="I393" s="1340">
        <v>340.8</v>
      </c>
      <c r="J393" s="1341">
        <v>568</v>
      </c>
    </row>
    <row r="394" spans="3:13" ht="13.5" thickBot="1">
      <c r="C394" s="1758" t="s">
        <v>724</v>
      </c>
      <c r="D394" s="1759"/>
      <c r="E394" s="1759"/>
      <c r="F394" s="1759"/>
      <c r="G394" s="1759"/>
      <c r="H394" s="1759"/>
      <c r="I394" s="1759"/>
      <c r="J394" s="1759"/>
    </row>
    <row r="395" spans="3:13" ht="14.25">
      <c r="C395" s="1760" t="s">
        <v>674</v>
      </c>
      <c r="D395" s="1761"/>
      <c r="E395" s="1761"/>
      <c r="F395" s="1761"/>
      <c r="G395" s="1761"/>
      <c r="H395" s="1761"/>
      <c r="I395" s="1761"/>
      <c r="J395" s="1762"/>
    </row>
    <row r="396" spans="3:13">
      <c r="C396" s="1763" t="s">
        <v>675</v>
      </c>
      <c r="D396" s="1764"/>
      <c r="E396" s="1764"/>
      <c r="F396" s="1764"/>
      <c r="G396" s="1764"/>
      <c r="H396" s="1764"/>
      <c r="I396" s="1764"/>
      <c r="J396" s="1765"/>
    </row>
    <row r="397" spans="3:13">
      <c r="C397" s="1763" t="s">
        <v>701</v>
      </c>
      <c r="D397" s="1764"/>
      <c r="E397" s="1764"/>
      <c r="F397" s="1764"/>
      <c r="G397" s="1764"/>
      <c r="H397" s="1764"/>
      <c r="I397" s="1764"/>
      <c r="J397" s="1765"/>
    </row>
    <row r="398" spans="3:13" ht="13.5" thickBot="1">
      <c r="C398" s="1766" t="s">
        <v>685</v>
      </c>
      <c r="D398" s="1767"/>
      <c r="E398" s="1767"/>
      <c r="F398" s="1767"/>
      <c r="G398" s="1767"/>
      <c r="H398" s="1767"/>
      <c r="I398" s="1767"/>
      <c r="J398" s="1768"/>
    </row>
    <row r="399" spans="3:13" ht="15.75" thickBot="1">
      <c r="C399" s="1348" t="s">
        <v>25</v>
      </c>
      <c r="D399" s="1349" t="s">
        <v>677</v>
      </c>
      <c r="E399" s="1349" t="s">
        <v>678</v>
      </c>
      <c r="F399" s="1349" t="s">
        <v>679</v>
      </c>
      <c r="G399" s="1349" t="s">
        <v>680</v>
      </c>
      <c r="H399" s="1349" t="s">
        <v>681</v>
      </c>
      <c r="I399" s="1349" t="s">
        <v>682</v>
      </c>
      <c r="J399" s="1350" t="s">
        <v>683</v>
      </c>
      <c r="M399" s="590">
        <v>142</v>
      </c>
    </row>
    <row r="400" spans="3:13" ht="15">
      <c r="C400" s="1343">
        <v>44562</v>
      </c>
      <c r="D400" s="1344"/>
      <c r="E400" s="1344"/>
      <c r="F400" s="1344">
        <v>122</v>
      </c>
      <c r="G400" s="1344">
        <v>171</v>
      </c>
      <c r="H400" s="1344">
        <v>227</v>
      </c>
      <c r="I400" s="1344">
        <v>340.8</v>
      </c>
      <c r="J400" s="1345">
        <v>568</v>
      </c>
    </row>
    <row r="401" spans="3:10" ht="15">
      <c r="C401" s="1335">
        <v>44593</v>
      </c>
      <c r="D401" s="1164"/>
      <c r="E401" s="1164"/>
      <c r="F401" s="1164">
        <v>122</v>
      </c>
      <c r="G401" s="1164">
        <v>171</v>
      </c>
      <c r="H401" s="1164">
        <v>227</v>
      </c>
      <c r="I401" s="1164">
        <v>340.8</v>
      </c>
      <c r="J401" s="1336">
        <v>568</v>
      </c>
    </row>
    <row r="402" spans="3:10" ht="15">
      <c r="C402" s="1337">
        <v>44621</v>
      </c>
      <c r="D402" s="1162"/>
      <c r="E402" s="1162"/>
      <c r="F402" s="1162">
        <v>146</v>
      </c>
      <c r="G402" s="1162">
        <v>206</v>
      </c>
      <c r="H402" s="1162">
        <v>227</v>
      </c>
      <c r="I402" s="1162">
        <v>340.8</v>
      </c>
      <c r="J402" s="1338">
        <v>568</v>
      </c>
    </row>
    <row r="403" spans="3:10" ht="15">
      <c r="C403" s="1335">
        <v>44652</v>
      </c>
      <c r="D403" s="1164"/>
      <c r="E403" s="1164"/>
      <c r="F403" s="1164">
        <v>122</v>
      </c>
      <c r="G403" s="1164">
        <v>171</v>
      </c>
      <c r="H403" s="1164">
        <v>227</v>
      </c>
      <c r="I403" s="1164">
        <v>340.8</v>
      </c>
      <c r="J403" s="1336">
        <v>568</v>
      </c>
    </row>
    <row r="404" spans="3:10" ht="15">
      <c r="C404" s="1337">
        <v>44682</v>
      </c>
      <c r="D404" s="1162"/>
      <c r="E404" s="1162"/>
      <c r="F404" s="1351">
        <v>122</v>
      </c>
      <c r="G404" s="1351">
        <v>171</v>
      </c>
      <c r="H404" s="1351">
        <v>227</v>
      </c>
      <c r="I404" s="1351">
        <v>340.8</v>
      </c>
      <c r="J404" s="1352">
        <v>568</v>
      </c>
    </row>
    <row r="405" spans="3:10" ht="15">
      <c r="C405" s="1335">
        <v>44713</v>
      </c>
      <c r="D405" s="1164"/>
      <c r="E405" s="1164"/>
      <c r="F405" s="1164">
        <v>122</v>
      </c>
      <c r="G405" s="1164">
        <v>171</v>
      </c>
      <c r="H405" s="1164">
        <v>227</v>
      </c>
      <c r="I405" s="1164">
        <v>340.8</v>
      </c>
      <c r="J405" s="1336">
        <v>568</v>
      </c>
    </row>
    <row r="406" spans="3:10" ht="15">
      <c r="C406" s="1337">
        <v>44743</v>
      </c>
      <c r="D406" s="1162"/>
      <c r="E406" s="1162"/>
      <c r="F406" s="1162">
        <v>122</v>
      </c>
      <c r="G406" s="1162">
        <v>171</v>
      </c>
      <c r="H406" s="1162">
        <v>227</v>
      </c>
      <c r="I406" s="1162">
        <v>340.8</v>
      </c>
      <c r="J406" s="1338">
        <v>568</v>
      </c>
    </row>
    <row r="407" spans="3:10" ht="15">
      <c r="C407" s="1335">
        <v>44774</v>
      </c>
      <c r="D407" s="1164"/>
      <c r="E407" s="1164"/>
      <c r="F407" s="1164">
        <v>122</v>
      </c>
      <c r="G407" s="1164">
        <v>171</v>
      </c>
      <c r="H407" s="1164">
        <v>227</v>
      </c>
      <c r="I407" s="1164">
        <v>340.8</v>
      </c>
      <c r="J407" s="1336">
        <v>568</v>
      </c>
    </row>
    <row r="408" spans="3:10" ht="15">
      <c r="C408" s="1337">
        <v>44805</v>
      </c>
      <c r="D408" s="1162"/>
      <c r="E408" s="1162"/>
      <c r="F408" s="1162">
        <v>142</v>
      </c>
      <c r="G408" s="1162">
        <v>199</v>
      </c>
      <c r="H408" s="1162">
        <v>227</v>
      </c>
      <c r="I408" s="1162">
        <v>340.8</v>
      </c>
      <c r="J408" s="1338">
        <v>568</v>
      </c>
    </row>
    <row r="409" spans="3:10" ht="15">
      <c r="C409" s="1335">
        <v>44835</v>
      </c>
      <c r="D409" s="1164"/>
      <c r="E409" s="1164"/>
      <c r="F409" s="1164">
        <v>122</v>
      </c>
      <c r="G409" s="1164">
        <v>171</v>
      </c>
      <c r="H409" s="1164">
        <v>227</v>
      </c>
      <c r="I409" s="1164">
        <v>340.8</v>
      </c>
      <c r="J409" s="1336">
        <v>568</v>
      </c>
    </row>
    <row r="410" spans="3:10" ht="15">
      <c r="C410" s="1337">
        <v>44866</v>
      </c>
      <c r="D410" s="1162"/>
      <c r="E410" s="1162"/>
      <c r="F410" s="1162">
        <v>122</v>
      </c>
      <c r="G410" s="1162">
        <v>171</v>
      </c>
      <c r="H410" s="1162">
        <v>227</v>
      </c>
      <c r="I410" s="1162">
        <v>340.8</v>
      </c>
      <c r="J410" s="1338">
        <v>568</v>
      </c>
    </row>
    <row r="411" spans="3:10" ht="15.75" thickBot="1">
      <c r="C411" s="1339">
        <v>44896</v>
      </c>
      <c r="D411" s="1340"/>
      <c r="E411" s="1340"/>
      <c r="F411" s="1340">
        <v>122</v>
      </c>
      <c r="G411" s="1340">
        <v>171</v>
      </c>
      <c r="H411" s="1340">
        <v>227</v>
      </c>
      <c r="I411" s="1340">
        <v>340.8</v>
      </c>
      <c r="J411" s="1341">
        <v>568</v>
      </c>
    </row>
    <row r="412" spans="3:10" ht="13.5" thickBot="1">
      <c r="C412" s="1758" t="s">
        <v>725</v>
      </c>
      <c r="D412" s="1759"/>
      <c r="E412" s="1759"/>
      <c r="F412" s="1759"/>
      <c r="G412" s="1759"/>
      <c r="H412" s="1759"/>
      <c r="I412" s="1759"/>
      <c r="J412" s="1759"/>
    </row>
    <row r="413" spans="3:10" ht="14.25">
      <c r="C413" s="1760" t="s">
        <v>674</v>
      </c>
      <c r="D413" s="1761"/>
      <c r="E413" s="1761"/>
      <c r="F413" s="1761"/>
      <c r="G413" s="1761"/>
      <c r="H413" s="1761"/>
      <c r="I413" s="1761"/>
      <c r="J413" s="1762"/>
    </row>
    <row r="414" spans="3:10" ht="13.5" customHeight="1">
      <c r="C414" s="1763" t="s">
        <v>675</v>
      </c>
      <c r="D414" s="1764"/>
      <c r="E414" s="1764"/>
      <c r="F414" s="1764"/>
      <c r="G414" s="1764"/>
      <c r="H414" s="1764"/>
      <c r="I414" s="1764"/>
      <c r="J414" s="1765"/>
    </row>
    <row r="415" spans="3:10" ht="17.25" customHeight="1">
      <c r="C415" s="1763" t="s">
        <v>701</v>
      </c>
      <c r="D415" s="1764"/>
      <c r="E415" s="1764"/>
      <c r="F415" s="1764"/>
      <c r="G415" s="1764"/>
      <c r="H415" s="1764"/>
      <c r="I415" s="1764"/>
      <c r="J415" s="1765"/>
    </row>
    <row r="416" spans="3:10" ht="24.75" customHeight="1" thickBot="1">
      <c r="C416" s="1766" t="s">
        <v>685</v>
      </c>
      <c r="D416" s="1767"/>
      <c r="E416" s="1767"/>
      <c r="F416" s="1767"/>
      <c r="G416" s="1767"/>
      <c r="H416" s="1767"/>
      <c r="I416" s="1767"/>
      <c r="J416" s="1768"/>
    </row>
    <row r="417" spans="3:10" ht="15.75" thickBot="1">
      <c r="C417" s="1348" t="s">
        <v>25</v>
      </c>
      <c r="D417" s="1349" t="s">
        <v>677</v>
      </c>
      <c r="E417" s="1349" t="s">
        <v>678</v>
      </c>
      <c r="F417" s="1349" t="s">
        <v>679</v>
      </c>
      <c r="G417" s="1349" t="s">
        <v>680</v>
      </c>
      <c r="H417" s="1349" t="s">
        <v>681</v>
      </c>
      <c r="I417" s="1349" t="s">
        <v>682</v>
      </c>
      <c r="J417" s="1350" t="s">
        <v>683</v>
      </c>
    </row>
    <row r="418" spans="3:10" ht="15">
      <c r="C418" s="1343">
        <v>44927</v>
      </c>
      <c r="D418" s="1344"/>
      <c r="E418" s="1344"/>
      <c r="F418" s="1344">
        <v>122</v>
      </c>
      <c r="G418" s="1344">
        <v>171</v>
      </c>
      <c r="H418" s="1344">
        <v>227</v>
      </c>
      <c r="I418" s="1344">
        <v>340.8</v>
      </c>
      <c r="J418" s="1345">
        <v>568</v>
      </c>
    </row>
    <row r="419" spans="3:10" ht="15">
      <c r="C419" s="1335">
        <v>44958</v>
      </c>
      <c r="D419" s="1164"/>
      <c r="E419" s="1164"/>
      <c r="F419" s="1164">
        <v>122</v>
      </c>
      <c r="G419" s="1164">
        <v>171</v>
      </c>
      <c r="H419" s="1164">
        <v>227</v>
      </c>
      <c r="I419" s="1164">
        <v>340.8</v>
      </c>
      <c r="J419" s="1336">
        <v>568</v>
      </c>
    </row>
    <row r="420" spans="3:10" ht="15">
      <c r="C420" s="1337">
        <v>44986</v>
      </c>
      <c r="D420" s="1162"/>
      <c r="E420" s="1162"/>
      <c r="F420" s="1162">
        <v>125</v>
      </c>
      <c r="G420" s="1162">
        <v>175</v>
      </c>
      <c r="H420" s="1162">
        <v>216</v>
      </c>
      <c r="I420" s="1162">
        <v>324</v>
      </c>
      <c r="J420" s="1338">
        <v>540</v>
      </c>
    </row>
    <row r="421" spans="3:10" ht="15">
      <c r="C421" s="1335">
        <v>45017</v>
      </c>
      <c r="D421" s="1164"/>
      <c r="E421" s="1164"/>
      <c r="F421" s="1164">
        <v>115</v>
      </c>
      <c r="G421" s="1164">
        <v>161</v>
      </c>
      <c r="H421" s="1164">
        <v>216</v>
      </c>
      <c r="I421" s="1164">
        <v>324</v>
      </c>
      <c r="J421" s="1336">
        <v>540</v>
      </c>
    </row>
    <row r="422" spans="3:10" ht="15">
      <c r="C422" s="1337">
        <v>45047</v>
      </c>
      <c r="D422" s="1162"/>
      <c r="E422" s="1162"/>
      <c r="F422" s="1162">
        <v>115</v>
      </c>
      <c r="G422" s="1162">
        <v>161</v>
      </c>
      <c r="H422" s="1162">
        <v>216</v>
      </c>
      <c r="I422" s="1162">
        <v>324</v>
      </c>
      <c r="J422" s="1338">
        <v>540</v>
      </c>
    </row>
    <row r="423" spans="3:10" ht="15">
      <c r="C423" s="1335">
        <v>45078</v>
      </c>
      <c r="D423" s="1164"/>
      <c r="E423" s="1164"/>
      <c r="F423" s="1164">
        <v>125</v>
      </c>
      <c r="G423" s="1164">
        <v>175</v>
      </c>
      <c r="H423" s="1164">
        <v>216</v>
      </c>
      <c r="I423" s="1164">
        <v>324</v>
      </c>
      <c r="J423" s="1336">
        <v>540</v>
      </c>
    </row>
    <row r="424" spans="3:10" ht="15">
      <c r="C424" s="1337">
        <v>45108</v>
      </c>
      <c r="D424" s="1162"/>
      <c r="E424" s="1162"/>
      <c r="F424" s="1162">
        <v>135</v>
      </c>
      <c r="G424" s="1162">
        <v>189</v>
      </c>
      <c r="H424" s="1162">
        <v>216</v>
      </c>
      <c r="I424" s="1162">
        <v>324</v>
      </c>
      <c r="J424" s="1338">
        <v>540</v>
      </c>
    </row>
    <row r="425" spans="3:10" ht="15">
      <c r="C425" s="1335">
        <v>45139</v>
      </c>
      <c r="D425" s="1164"/>
      <c r="E425" s="1164"/>
      <c r="F425" s="1164">
        <v>135</v>
      </c>
      <c r="G425" s="1164">
        <v>189</v>
      </c>
      <c r="H425" s="1164">
        <v>216</v>
      </c>
      <c r="I425" s="1164">
        <v>324</v>
      </c>
      <c r="J425" s="1336">
        <v>540</v>
      </c>
    </row>
    <row r="426" spans="3:10" ht="15">
      <c r="C426" s="1337">
        <v>45170</v>
      </c>
      <c r="D426" s="1162"/>
      <c r="E426" s="1162"/>
      <c r="F426" s="1162">
        <v>135</v>
      </c>
      <c r="G426" s="1162">
        <v>189</v>
      </c>
      <c r="H426" s="1162">
        <v>216</v>
      </c>
      <c r="I426" s="1162">
        <v>324</v>
      </c>
      <c r="J426" s="1338">
        <v>540</v>
      </c>
    </row>
    <row r="427" spans="3:10" ht="15">
      <c r="C427" s="1335">
        <v>45200</v>
      </c>
      <c r="D427" s="1164"/>
      <c r="E427" s="1164"/>
      <c r="F427" s="1164">
        <v>135</v>
      </c>
      <c r="G427" s="1164">
        <v>189</v>
      </c>
      <c r="H427" s="1164">
        <v>216</v>
      </c>
      <c r="I427" s="1164">
        <v>324</v>
      </c>
      <c r="J427" s="1336">
        <v>540</v>
      </c>
    </row>
    <row r="428" spans="3:10" ht="15">
      <c r="C428" s="1337">
        <v>45231</v>
      </c>
      <c r="D428" s="1162"/>
      <c r="E428" s="1162"/>
      <c r="F428" s="1162">
        <v>135</v>
      </c>
      <c r="G428" s="1162">
        <v>189</v>
      </c>
      <c r="H428" s="1162">
        <v>216</v>
      </c>
      <c r="I428" s="1162">
        <v>324</v>
      </c>
      <c r="J428" s="1338">
        <v>540</v>
      </c>
    </row>
    <row r="429" spans="3:10" ht="15.75" thickBot="1">
      <c r="C429" s="1483">
        <v>45261</v>
      </c>
      <c r="D429" s="1340"/>
      <c r="E429" s="1340"/>
      <c r="F429" s="1340">
        <v>125</v>
      </c>
      <c r="G429" s="1340">
        <v>175</v>
      </c>
      <c r="H429" s="1340">
        <v>200</v>
      </c>
      <c r="I429" s="1340">
        <v>300</v>
      </c>
      <c r="J429" s="1341">
        <v>500</v>
      </c>
    </row>
    <row r="430" spans="3:10" ht="13.5" thickBot="1">
      <c r="C430" s="1758" t="s">
        <v>726</v>
      </c>
      <c r="D430" s="1759"/>
      <c r="E430" s="1759"/>
      <c r="F430" s="1759"/>
      <c r="G430" s="1759"/>
      <c r="H430" s="1759"/>
      <c r="I430" s="1759"/>
      <c r="J430" s="1759"/>
    </row>
    <row r="431" spans="3:10" ht="14.25">
      <c r="C431" s="1760" t="s">
        <v>674</v>
      </c>
      <c r="D431" s="1761"/>
      <c r="E431" s="1761"/>
      <c r="F431" s="1761"/>
      <c r="G431" s="1761"/>
      <c r="H431" s="1761"/>
      <c r="I431" s="1761"/>
      <c r="J431" s="1762"/>
    </row>
    <row r="432" spans="3:10">
      <c r="C432" s="1763" t="s">
        <v>675</v>
      </c>
      <c r="D432" s="1764"/>
      <c r="E432" s="1764"/>
      <c r="F432" s="1764"/>
      <c r="G432" s="1764"/>
      <c r="H432" s="1764"/>
      <c r="I432" s="1764"/>
      <c r="J432" s="1765"/>
    </row>
    <row r="433" spans="3:16">
      <c r="C433" s="1763" t="s">
        <v>701</v>
      </c>
      <c r="D433" s="1764"/>
      <c r="E433" s="1764"/>
      <c r="F433" s="1764"/>
      <c r="G433" s="1764"/>
      <c r="H433" s="1764"/>
      <c r="I433" s="1764"/>
      <c r="J433" s="1765"/>
    </row>
    <row r="434" spans="3:16" ht="27.75" customHeight="1" thickBot="1">
      <c r="C434" s="1766" t="s">
        <v>685</v>
      </c>
      <c r="D434" s="1767"/>
      <c r="E434" s="1767"/>
      <c r="F434" s="1767"/>
      <c r="G434" s="1767"/>
      <c r="H434" s="1767"/>
      <c r="I434" s="1767"/>
      <c r="J434" s="1768"/>
    </row>
    <row r="435" spans="3:16" ht="15.75" thickBot="1">
      <c r="C435" s="1348" t="s">
        <v>25</v>
      </c>
      <c r="D435" s="1349" t="s">
        <v>677</v>
      </c>
      <c r="E435" s="1349" t="s">
        <v>678</v>
      </c>
      <c r="F435" s="1349" t="s">
        <v>679</v>
      </c>
      <c r="G435" s="1349" t="s">
        <v>680</v>
      </c>
      <c r="H435" s="1349" t="s">
        <v>681</v>
      </c>
      <c r="I435" s="1349" t="s">
        <v>682</v>
      </c>
      <c r="J435" s="1350" t="s">
        <v>683</v>
      </c>
    </row>
    <row r="436" spans="3:16" ht="15">
      <c r="C436" s="1343">
        <v>45292</v>
      </c>
      <c r="D436" s="1344"/>
      <c r="E436" s="1344"/>
      <c r="F436" s="1344">
        <v>115</v>
      </c>
      <c r="G436" s="1344">
        <v>161</v>
      </c>
      <c r="H436" s="1344">
        <v>184</v>
      </c>
      <c r="I436" s="1344">
        <v>276</v>
      </c>
      <c r="J436" s="1345">
        <v>460</v>
      </c>
      <c r="M436" s="590">
        <v>5</v>
      </c>
      <c r="N436" s="590">
        <v>35</v>
      </c>
      <c r="P436" s="590">
        <f>(M436*N436)</f>
        <v>175</v>
      </c>
    </row>
    <row r="437" spans="3:16" ht="15">
      <c r="C437" s="1335">
        <v>45323</v>
      </c>
      <c r="D437" s="1164"/>
      <c r="E437" s="1164"/>
      <c r="F437" s="1164">
        <v>115</v>
      </c>
      <c r="G437" s="1164">
        <v>161</v>
      </c>
      <c r="H437" s="1164">
        <v>184</v>
      </c>
      <c r="I437" s="1164">
        <v>276</v>
      </c>
      <c r="J437" s="1336">
        <v>460</v>
      </c>
      <c r="N437" s="590">
        <v>40</v>
      </c>
      <c r="P437" s="590">
        <f>(M436*N437)</f>
        <v>200</v>
      </c>
    </row>
    <row r="438" spans="3:16" ht="15">
      <c r="C438" s="1337">
        <v>45352</v>
      </c>
      <c r="D438" s="1162"/>
      <c r="E438" s="1162"/>
      <c r="F438" s="1162">
        <v>115</v>
      </c>
      <c r="G438" s="1162">
        <v>161</v>
      </c>
      <c r="H438" s="1162">
        <v>184</v>
      </c>
      <c r="I438" s="1162">
        <v>276</v>
      </c>
      <c r="J438" s="1338">
        <v>460</v>
      </c>
      <c r="N438" s="590">
        <v>60</v>
      </c>
      <c r="P438" s="590">
        <f>(M436*N438)</f>
        <v>300</v>
      </c>
    </row>
    <row r="439" spans="3:16" ht="15">
      <c r="C439" s="1335">
        <v>45383</v>
      </c>
      <c r="D439" s="1164"/>
      <c r="E439" s="1164"/>
      <c r="F439" s="1164">
        <v>115</v>
      </c>
      <c r="G439" s="1164">
        <v>161</v>
      </c>
      <c r="H439" s="1164">
        <v>184</v>
      </c>
      <c r="I439" s="1164">
        <v>276</v>
      </c>
      <c r="J439" s="1336">
        <v>460</v>
      </c>
      <c r="N439" s="590">
        <v>100</v>
      </c>
      <c r="P439" s="590">
        <f>(M436*N439)</f>
        <v>500</v>
      </c>
    </row>
    <row r="440" spans="3:16" ht="15">
      <c r="C440" s="1337">
        <v>45413</v>
      </c>
      <c r="D440" s="1162"/>
      <c r="E440" s="1162"/>
      <c r="F440" s="1162">
        <v>115</v>
      </c>
      <c r="G440" s="1162">
        <v>161</v>
      </c>
      <c r="H440" s="1162">
        <v>184</v>
      </c>
      <c r="I440" s="1162">
        <v>276</v>
      </c>
      <c r="J440" s="1338">
        <v>460</v>
      </c>
    </row>
    <row r="441" spans="3:16" ht="15">
      <c r="C441" s="1335">
        <v>45444</v>
      </c>
      <c r="D441" s="1164"/>
      <c r="E441" s="1164"/>
      <c r="F441" s="1164">
        <v>113.75</v>
      </c>
      <c r="G441" s="1164">
        <v>159.25</v>
      </c>
      <c r="H441" s="1164">
        <v>182</v>
      </c>
      <c r="I441" s="1164">
        <v>273</v>
      </c>
      <c r="J441" s="1336">
        <v>455</v>
      </c>
    </row>
    <row r="442" spans="3:16" ht="15">
      <c r="C442" s="1337">
        <v>45474</v>
      </c>
      <c r="D442" s="1162"/>
      <c r="E442" s="1162"/>
      <c r="F442" s="1162">
        <v>110</v>
      </c>
      <c r="G442" s="1162">
        <v>154</v>
      </c>
      <c r="H442" s="1162">
        <v>176</v>
      </c>
      <c r="I442" s="1162">
        <v>264</v>
      </c>
      <c r="J442" s="1338">
        <v>440</v>
      </c>
    </row>
    <row r="443" spans="3:16" ht="15">
      <c r="C443" s="1335">
        <v>45505</v>
      </c>
      <c r="D443" s="1164"/>
      <c r="E443" s="1164"/>
      <c r="F443" s="1164">
        <v>110</v>
      </c>
      <c r="G443" s="1164">
        <v>154</v>
      </c>
      <c r="H443" s="1164">
        <v>176</v>
      </c>
      <c r="I443" s="1164">
        <v>264</v>
      </c>
      <c r="J443" s="1336">
        <v>440</v>
      </c>
    </row>
    <row r="444" spans="3:16" ht="15">
      <c r="C444" s="1337">
        <v>45536</v>
      </c>
      <c r="D444" s="1162"/>
      <c r="E444" s="1162"/>
      <c r="F444" s="1162">
        <v>110</v>
      </c>
      <c r="G444" s="1162">
        <v>154</v>
      </c>
      <c r="H444" s="1162">
        <v>176</v>
      </c>
      <c r="I444" s="1162">
        <v>264</v>
      </c>
      <c r="J444" s="1338">
        <v>440</v>
      </c>
    </row>
    <row r="445" spans="3:16" ht="15">
      <c r="C445" s="1335">
        <v>45566</v>
      </c>
      <c r="D445" s="1164"/>
      <c r="E445" s="1164"/>
      <c r="F445" s="1164">
        <v>110</v>
      </c>
      <c r="G445" s="1164">
        <v>154</v>
      </c>
      <c r="H445" s="1164">
        <v>176</v>
      </c>
      <c r="I445" s="1164">
        <v>264</v>
      </c>
      <c r="J445" s="1336">
        <v>440</v>
      </c>
    </row>
    <row r="446" spans="3:16" ht="15">
      <c r="C446" s="1337"/>
      <c r="D446" s="1162"/>
      <c r="E446" s="1162"/>
      <c r="F446" s="1162"/>
      <c r="G446" s="1162"/>
      <c r="H446" s="1162"/>
      <c r="I446" s="1162"/>
      <c r="J446" s="1338"/>
    </row>
    <row r="447" spans="3:16" ht="15.75" thickBot="1">
      <c r="C447" s="1339"/>
      <c r="D447" s="1340"/>
      <c r="E447" s="1340"/>
      <c r="F447" s="1340"/>
      <c r="G447" s="1340"/>
      <c r="H447" s="1340"/>
      <c r="I447" s="1340"/>
      <c r="J447" s="1341"/>
    </row>
    <row r="448" spans="3:16">
      <c r="C448" s="1758" t="s">
        <v>732</v>
      </c>
      <c r="D448" s="1759"/>
      <c r="E448" s="1759"/>
      <c r="F448" s="1759"/>
      <c r="G448" s="1759"/>
      <c r="H448" s="1759"/>
      <c r="I448" s="1759"/>
      <c r="J448" s="1759"/>
    </row>
    <row r="449" spans="3:10">
      <c r="C449" s="591"/>
      <c r="D449" s="591"/>
      <c r="E449" s="591"/>
      <c r="F449" s="591"/>
      <c r="G449" s="591"/>
      <c r="H449" s="591"/>
      <c r="I449" s="591"/>
      <c r="J449" s="591"/>
    </row>
  </sheetData>
  <mergeCells count="127">
    <mergeCell ref="C431:J431"/>
    <mergeCell ref="C432:J432"/>
    <mergeCell ref="C433:J433"/>
    <mergeCell ref="C434:J434"/>
    <mergeCell ref="C448:J448"/>
    <mergeCell ref="C1:J1"/>
    <mergeCell ref="C2:J2"/>
    <mergeCell ref="C3:J3"/>
    <mergeCell ref="C4:J4"/>
    <mergeCell ref="C18:J18"/>
    <mergeCell ref="C19:J19"/>
    <mergeCell ref="C52:J52"/>
    <mergeCell ref="C53:J53"/>
    <mergeCell ref="C67:J67"/>
    <mergeCell ref="C33:J33"/>
    <mergeCell ref="C34:J34"/>
    <mergeCell ref="C35:J35"/>
    <mergeCell ref="C5:J5"/>
    <mergeCell ref="C20:J20"/>
    <mergeCell ref="C21:J21"/>
    <mergeCell ref="C22:J22"/>
    <mergeCell ref="C23:J23"/>
    <mergeCell ref="C31:J31"/>
    <mergeCell ref="C32:J32"/>
    <mergeCell ref="C68:J68"/>
    <mergeCell ref="C69:J69"/>
    <mergeCell ref="C70:J70"/>
    <mergeCell ref="C49:J49"/>
    <mergeCell ref="C50:J50"/>
    <mergeCell ref="C51:J51"/>
    <mergeCell ref="C103:J103"/>
    <mergeCell ref="C104:J104"/>
    <mergeCell ref="C105:J105"/>
    <mergeCell ref="C106:J106"/>
    <mergeCell ref="C107:J107"/>
    <mergeCell ref="C121:J121"/>
    <mergeCell ref="C71:J71"/>
    <mergeCell ref="C85:J85"/>
    <mergeCell ref="C86:J86"/>
    <mergeCell ref="C87:J87"/>
    <mergeCell ref="C88:J88"/>
    <mergeCell ref="C89:J89"/>
    <mergeCell ref="C140:J140"/>
    <mergeCell ref="C141:J141"/>
    <mergeCell ref="C142:J142"/>
    <mergeCell ref="C143:J143"/>
    <mergeCell ref="C157:J157"/>
    <mergeCell ref="C158:J158"/>
    <mergeCell ref="K121:L121"/>
    <mergeCell ref="C122:J122"/>
    <mergeCell ref="C123:J123"/>
    <mergeCell ref="C124:J124"/>
    <mergeCell ref="C125:J125"/>
    <mergeCell ref="C139:J139"/>
    <mergeCell ref="C178:J178"/>
    <mergeCell ref="C179:J179"/>
    <mergeCell ref="C193:J193"/>
    <mergeCell ref="C194:J194"/>
    <mergeCell ref="C195:J195"/>
    <mergeCell ref="C196:J196"/>
    <mergeCell ref="C159:J159"/>
    <mergeCell ref="C160:J160"/>
    <mergeCell ref="C161:J161"/>
    <mergeCell ref="C175:J175"/>
    <mergeCell ref="C176:J176"/>
    <mergeCell ref="C177:J177"/>
    <mergeCell ref="C234:J234"/>
    <mergeCell ref="C235:J235"/>
    <mergeCell ref="C236:J236"/>
    <mergeCell ref="C237:J237"/>
    <mergeCell ref="C238:J238"/>
    <mergeCell ref="C252:J252"/>
    <mergeCell ref="C197:J197"/>
    <mergeCell ref="C211:J211"/>
    <mergeCell ref="C213:J213"/>
    <mergeCell ref="C214:J214"/>
    <mergeCell ref="C215:J215"/>
    <mergeCell ref="C216:J216"/>
    <mergeCell ref="C271:J271"/>
    <mergeCell ref="C272:J272"/>
    <mergeCell ref="C286:J286"/>
    <mergeCell ref="C287:J287"/>
    <mergeCell ref="C288:J288"/>
    <mergeCell ref="C289:J289"/>
    <mergeCell ref="C253:J253"/>
    <mergeCell ref="C254:J254"/>
    <mergeCell ref="C255:J255"/>
    <mergeCell ref="C267:J267"/>
    <mergeCell ref="C269:J269"/>
    <mergeCell ref="C270:J270"/>
    <mergeCell ref="C322:J322"/>
    <mergeCell ref="C323:J323"/>
    <mergeCell ref="C324:J324"/>
    <mergeCell ref="C325:J325"/>
    <mergeCell ref="C326:J326"/>
    <mergeCell ref="C340:J340"/>
    <mergeCell ref="C290:J290"/>
    <mergeCell ref="C304:J304"/>
    <mergeCell ref="C305:J305"/>
    <mergeCell ref="C306:J306"/>
    <mergeCell ref="C307:J307"/>
    <mergeCell ref="C308:J308"/>
    <mergeCell ref="C360:J360"/>
    <mergeCell ref="C361:J361"/>
    <mergeCell ref="C362:J362"/>
    <mergeCell ref="C377:J377"/>
    <mergeCell ref="C378:J378"/>
    <mergeCell ref="C379:J379"/>
    <mergeCell ref="C341:J341"/>
    <mergeCell ref="C342:J342"/>
    <mergeCell ref="C343:J343"/>
    <mergeCell ref="C344:J344"/>
    <mergeCell ref="C358:J358"/>
    <mergeCell ref="C359:J359"/>
    <mergeCell ref="C376:J376"/>
    <mergeCell ref="C430:J430"/>
    <mergeCell ref="C413:J413"/>
    <mergeCell ref="C414:J414"/>
    <mergeCell ref="C415:J415"/>
    <mergeCell ref="C416:J416"/>
    <mergeCell ref="C380:J380"/>
    <mergeCell ref="C394:J394"/>
    <mergeCell ref="C395:J395"/>
    <mergeCell ref="C396:J396"/>
    <mergeCell ref="C397:J397"/>
    <mergeCell ref="C398:J398"/>
    <mergeCell ref="C412:J412"/>
  </mergeCells>
  <printOptions horizontalCentered="1"/>
  <pageMargins left="0.6" right="0" top="1.1417322834645669" bottom="3.937007874015748E-2" header="0" footer="0"/>
  <pageSetup paperSize="9" scale="142" fitToHeight="2" orientation="landscape" r:id="rId1"/>
  <headerFooter alignWithMargins="0"/>
  <rowBreaks count="23" manualBreakCount="23">
    <brk id="19" max="16383" man="1"/>
    <brk id="31" max="16383" man="1"/>
    <brk id="49" max="16383" man="1"/>
    <brk id="67" max="16383" man="1"/>
    <brk id="85" max="16383" man="1"/>
    <brk id="103" max="16383" man="1"/>
    <brk id="121" max="16383" man="1"/>
    <brk id="139" max="16383" man="1"/>
    <brk id="157" max="16383" man="1"/>
    <brk id="175" max="16383" man="1"/>
    <brk id="193" max="16383" man="1"/>
    <brk id="212" max="16383" man="1"/>
    <brk id="234" max="16383" man="1"/>
    <brk id="268" min="2" max="9" man="1"/>
    <brk id="286" max="16383" man="1"/>
    <brk id="304" max="16383" man="1"/>
    <brk id="322" max="16383" man="1"/>
    <brk id="340" max="16383" man="1"/>
    <brk id="358" max="16383" man="1"/>
    <brk id="376" max="16383" man="1"/>
    <brk id="394" max="16383" man="1"/>
    <brk id="412" min="2" max="9" man="1"/>
    <brk id="430" min="2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M74"/>
  <sheetViews>
    <sheetView zoomScale="130" zoomScaleNormal="130" workbookViewId="0">
      <pane ySplit="8" topLeftCell="A21" activePane="bottomLeft" state="frozen"/>
      <selection activeCell="D11" sqref="D11"/>
      <selection pane="bottomLeft" activeCell="E44" sqref="E44"/>
    </sheetView>
  </sheetViews>
  <sheetFormatPr baseColWidth="10" defaultColWidth="11.42578125" defaultRowHeight="12.75"/>
  <cols>
    <col min="1" max="1" width="6" style="4" customWidth="1"/>
    <col min="2" max="2" width="11.42578125" style="4"/>
    <col min="3" max="3" width="11.42578125" style="3"/>
    <col min="4" max="4" width="11.42578125" style="2"/>
    <col min="5" max="5" width="11.42578125" style="1"/>
    <col min="6" max="6" width="11.42578125" style="3"/>
    <col min="7" max="7" width="11.42578125" style="2"/>
    <col min="8" max="8" width="11.42578125" style="1"/>
    <col min="9" max="10" width="11.42578125" style="4"/>
    <col min="11" max="11" width="6.140625" style="4" customWidth="1"/>
    <col min="12" max="12" width="6.42578125" style="4" customWidth="1"/>
    <col min="13" max="13" width="6.28515625" style="4" customWidth="1"/>
    <col min="14" max="16384" width="11.42578125" style="4"/>
  </cols>
  <sheetData>
    <row r="1" spans="1:9" ht="18">
      <c r="A1" s="1233"/>
      <c r="B1" s="1518" t="s">
        <v>667</v>
      </c>
      <c r="C1" s="1518"/>
      <c r="D1" s="1518"/>
      <c r="E1" s="1518"/>
      <c r="F1" s="1518"/>
      <c r="G1" s="1518"/>
      <c r="H1" s="1518"/>
      <c r="I1" s="1233"/>
    </row>
    <row r="2" spans="1:9">
      <c r="A2" s="1233"/>
      <c r="B2" s="1527" t="s">
        <v>36</v>
      </c>
      <c r="C2" s="1527"/>
      <c r="D2" s="1527"/>
      <c r="E2" s="1527"/>
      <c r="F2" s="1527"/>
      <c r="G2" s="1527"/>
      <c r="H2" s="1527"/>
      <c r="I2" s="1233"/>
    </row>
    <row r="3" spans="1:9">
      <c r="A3" s="1233"/>
      <c r="B3" s="1528" t="s">
        <v>668</v>
      </c>
      <c r="C3" s="1528"/>
      <c r="D3" s="1528"/>
      <c r="E3" s="1528"/>
      <c r="F3" s="1528"/>
      <c r="G3" s="1528"/>
      <c r="H3" s="1528"/>
      <c r="I3" s="1233"/>
    </row>
    <row r="4" spans="1:9">
      <c r="A4" s="1233"/>
      <c r="B4" s="1528" t="s">
        <v>669</v>
      </c>
      <c r="C4" s="1528"/>
      <c r="D4" s="1528"/>
      <c r="E4" s="1528"/>
      <c r="F4" s="1528"/>
      <c r="G4" s="1528"/>
      <c r="H4" s="1528"/>
      <c r="I4" s="1233"/>
    </row>
    <row r="5" spans="1:9">
      <c r="A5" s="1233"/>
      <c r="B5" s="1529" t="s">
        <v>670</v>
      </c>
      <c r="C5" s="1529"/>
      <c r="D5" s="1529"/>
      <c r="E5" s="1529"/>
      <c r="F5" s="1529"/>
      <c r="G5" s="1529"/>
      <c r="H5" s="1529"/>
      <c r="I5" s="1233"/>
    </row>
    <row r="6" spans="1:9" ht="18.75" thickBot="1">
      <c r="A6" s="1233"/>
      <c r="B6" s="1518"/>
      <c r="C6" s="1518"/>
      <c r="D6" s="1518"/>
      <c r="E6" s="1518"/>
      <c r="F6" s="1518"/>
      <c r="G6" s="1518"/>
      <c r="H6" s="1518"/>
      <c r="I6" s="1233"/>
    </row>
    <row r="7" spans="1:9" ht="22.5" customHeight="1" thickBot="1">
      <c r="A7" s="1233"/>
      <c r="B7" s="1525" t="s">
        <v>1</v>
      </c>
      <c r="C7" s="1519" t="s">
        <v>2</v>
      </c>
      <c r="D7" s="1520"/>
      <c r="E7" s="1521"/>
      <c r="F7" s="1522" t="s">
        <v>3</v>
      </c>
      <c r="G7" s="1523"/>
      <c r="H7" s="1524"/>
      <c r="I7" s="1233"/>
    </row>
    <row r="8" spans="1:9" ht="25.5" customHeight="1" thickBot="1">
      <c r="A8" s="1233"/>
      <c r="B8" s="1526"/>
      <c r="C8" s="1219" t="s">
        <v>4</v>
      </c>
      <c r="D8" s="1219" t="s">
        <v>5</v>
      </c>
      <c r="E8" s="1220" t="s">
        <v>6</v>
      </c>
      <c r="F8" s="1221" t="s">
        <v>4</v>
      </c>
      <c r="G8" s="1222" t="s">
        <v>5</v>
      </c>
      <c r="H8" s="1222" t="s">
        <v>6</v>
      </c>
      <c r="I8" s="1233"/>
    </row>
    <row r="9" spans="1:9">
      <c r="A9" s="1233"/>
      <c r="B9" s="1246">
        <v>39084</v>
      </c>
      <c r="C9" s="1247">
        <v>23.25</v>
      </c>
      <c r="D9" s="1248">
        <v>22.74</v>
      </c>
      <c r="E9" s="1249">
        <v>19.190000000000001</v>
      </c>
      <c r="F9" s="1247">
        <v>22.98</v>
      </c>
      <c r="G9" s="1248">
        <v>22.47</v>
      </c>
      <c r="H9" s="1249">
        <v>19.05</v>
      </c>
      <c r="I9" s="1233"/>
    </row>
    <row r="10" spans="1:9">
      <c r="A10" s="1233"/>
      <c r="B10" s="906">
        <v>39090</v>
      </c>
      <c r="C10" s="911">
        <v>23.24</v>
      </c>
      <c r="D10" s="912">
        <v>22.73</v>
      </c>
      <c r="E10" s="913">
        <v>19.309999999999999</v>
      </c>
      <c r="F10" s="911">
        <v>22.98</v>
      </c>
      <c r="G10" s="912">
        <v>22.47</v>
      </c>
      <c r="H10" s="913">
        <v>19.22</v>
      </c>
      <c r="I10" s="1233"/>
    </row>
    <row r="11" spans="1:9">
      <c r="A11" s="1233"/>
      <c r="B11" s="1242">
        <v>39092</v>
      </c>
      <c r="C11" s="1243">
        <v>23.24</v>
      </c>
      <c r="D11" s="1244">
        <v>22.72</v>
      </c>
      <c r="E11" s="1245">
        <v>19.32</v>
      </c>
      <c r="F11" s="1243">
        <v>22.98</v>
      </c>
      <c r="G11" s="1244">
        <v>22.48</v>
      </c>
      <c r="H11" s="1245">
        <v>19.23</v>
      </c>
      <c r="I11" s="1233"/>
    </row>
    <row r="12" spans="1:9">
      <c r="A12" s="1233"/>
      <c r="B12" s="906">
        <v>39099</v>
      </c>
      <c r="C12" s="911">
        <v>23.05</v>
      </c>
      <c r="D12" s="912">
        <v>22.55</v>
      </c>
      <c r="E12" s="913">
        <v>19.05</v>
      </c>
      <c r="F12" s="911">
        <v>22.72</v>
      </c>
      <c r="G12" s="912">
        <v>22.21</v>
      </c>
      <c r="H12" s="913">
        <v>18.809999999999999</v>
      </c>
      <c r="I12" s="1233"/>
    </row>
    <row r="13" spans="1:9">
      <c r="A13" s="1233"/>
      <c r="B13" s="1234">
        <v>39106</v>
      </c>
      <c r="C13" s="1235">
        <v>22.86</v>
      </c>
      <c r="D13" s="1236">
        <v>22.34</v>
      </c>
      <c r="E13" s="1237">
        <v>18.73</v>
      </c>
      <c r="F13" s="1235">
        <v>22.52</v>
      </c>
      <c r="G13" s="1236">
        <v>22</v>
      </c>
      <c r="H13" s="1237">
        <v>18.5</v>
      </c>
      <c r="I13" s="1233"/>
    </row>
    <row r="14" spans="1:9" ht="13.5" thickBot="1">
      <c r="A14" s="1233"/>
      <c r="B14" s="907">
        <v>39113</v>
      </c>
      <c r="C14" s="914">
        <v>22.57</v>
      </c>
      <c r="D14" s="915">
        <v>22.06</v>
      </c>
      <c r="E14" s="916">
        <v>18.149999999999999</v>
      </c>
      <c r="F14" s="914">
        <v>22.15</v>
      </c>
      <c r="G14" s="915">
        <v>21.64</v>
      </c>
      <c r="H14" s="916">
        <v>17.809999999999999</v>
      </c>
      <c r="I14" s="1233"/>
    </row>
    <row r="15" spans="1:9" ht="13.5" thickBot="1">
      <c r="A15" s="1233"/>
      <c r="B15" s="1238" t="s">
        <v>8</v>
      </c>
      <c r="C15" s="1239">
        <f t="shared" ref="C15:H15" si="0">AVERAGE(C9:C14)</f>
        <v>23.034999999999997</v>
      </c>
      <c r="D15" s="1240">
        <f t="shared" si="0"/>
        <v>22.52333333333333</v>
      </c>
      <c r="E15" s="1240">
        <f t="shared" si="0"/>
        <v>18.958333333333332</v>
      </c>
      <c r="F15" s="1240">
        <f>AVERAGE(F9:F14)</f>
        <v>22.721666666666664</v>
      </c>
      <c r="G15" s="1240">
        <f>AVERAGE(G9:G14)</f>
        <v>22.211666666666662</v>
      </c>
      <c r="H15" s="1241">
        <f t="shared" si="0"/>
        <v>18.77</v>
      </c>
      <c r="I15" s="1233"/>
    </row>
    <row r="16" spans="1:9">
      <c r="A16" s="1233"/>
      <c r="B16" s="906">
        <v>39120</v>
      </c>
      <c r="C16" s="911">
        <v>22.15</v>
      </c>
      <c r="D16" s="912">
        <v>21.63</v>
      </c>
      <c r="E16" s="913">
        <v>17.84</v>
      </c>
      <c r="F16" s="911">
        <v>21.76</v>
      </c>
      <c r="G16" s="912">
        <v>21.24</v>
      </c>
      <c r="H16" s="913">
        <v>17.579999999999998</v>
      </c>
      <c r="I16" s="1233"/>
    </row>
    <row r="17" spans="1:9">
      <c r="A17" s="1233"/>
      <c r="B17" s="1234">
        <v>39127</v>
      </c>
      <c r="C17" s="1235">
        <v>22.16</v>
      </c>
      <c r="D17" s="1236">
        <v>21.65</v>
      </c>
      <c r="E17" s="1237">
        <v>17.989999999999998</v>
      </c>
      <c r="F17" s="1235">
        <v>21.77</v>
      </c>
      <c r="G17" s="1236">
        <v>21.27</v>
      </c>
      <c r="H17" s="1237">
        <v>17.760000000000002</v>
      </c>
      <c r="I17" s="1233"/>
    </row>
    <row r="18" spans="1:9">
      <c r="A18" s="1233"/>
      <c r="B18" s="906">
        <v>39134</v>
      </c>
      <c r="C18" s="911">
        <v>21.96</v>
      </c>
      <c r="D18" s="912">
        <v>21.44</v>
      </c>
      <c r="E18" s="913">
        <v>17.89</v>
      </c>
      <c r="F18" s="911">
        <v>21.57</v>
      </c>
      <c r="G18" s="912">
        <v>21.07</v>
      </c>
      <c r="H18" s="913">
        <v>17.649999999999999</v>
      </c>
      <c r="I18" s="1233"/>
    </row>
    <row r="19" spans="1:9" ht="13.5" thickBot="1">
      <c r="A19" s="1233"/>
      <c r="B19" s="1234">
        <v>39141</v>
      </c>
      <c r="C19" s="1235">
        <v>21.88</v>
      </c>
      <c r="D19" s="1236">
        <v>21.37</v>
      </c>
      <c r="E19" s="1237">
        <v>17.82</v>
      </c>
      <c r="F19" s="1235">
        <v>21.53</v>
      </c>
      <c r="G19" s="1236">
        <v>21.01</v>
      </c>
      <c r="H19" s="1237">
        <v>17.579999999999998</v>
      </c>
      <c r="I19" s="1233"/>
    </row>
    <row r="20" spans="1:9" ht="18" customHeight="1" thickBot="1">
      <c r="A20" s="1233"/>
      <c r="B20" s="1238" t="s">
        <v>9</v>
      </c>
      <c r="C20" s="1239">
        <f t="shared" ref="C20:H20" si="1">AVERAGE(C16:C19)</f>
        <v>22.037500000000001</v>
      </c>
      <c r="D20" s="1240">
        <f t="shared" si="1"/>
        <v>21.522500000000001</v>
      </c>
      <c r="E20" s="1240">
        <f t="shared" si="1"/>
        <v>17.884999999999998</v>
      </c>
      <c r="F20" s="1240">
        <f>AVERAGE(F16:F19)</f>
        <v>21.657499999999999</v>
      </c>
      <c r="G20" s="1240">
        <f t="shared" si="1"/>
        <v>21.147500000000001</v>
      </c>
      <c r="H20" s="1241">
        <f t="shared" si="1"/>
        <v>17.642499999999998</v>
      </c>
      <c r="I20" s="1233"/>
    </row>
    <row r="21" spans="1:9">
      <c r="A21" s="1233"/>
      <c r="B21" s="906">
        <v>39148</v>
      </c>
      <c r="C21" s="911">
        <v>22.55</v>
      </c>
      <c r="D21" s="912">
        <v>22.05</v>
      </c>
      <c r="E21" s="913">
        <v>18.47</v>
      </c>
      <c r="F21" s="911">
        <v>22.26</v>
      </c>
      <c r="G21" s="912">
        <v>21.74</v>
      </c>
      <c r="H21" s="913">
        <v>18.309999999999999</v>
      </c>
      <c r="I21" s="1233"/>
    </row>
    <row r="22" spans="1:9">
      <c r="A22" s="1233"/>
      <c r="B22" s="1234">
        <v>39155</v>
      </c>
      <c r="C22" s="1235">
        <v>22.8</v>
      </c>
      <c r="D22" s="1236">
        <v>22.27</v>
      </c>
      <c r="E22" s="1237">
        <v>18.690000000000001</v>
      </c>
      <c r="F22" s="1235">
        <v>22.52</v>
      </c>
      <c r="G22" s="1236">
        <v>22.01</v>
      </c>
      <c r="H22" s="1237">
        <v>18.52</v>
      </c>
      <c r="I22" s="1233"/>
    </row>
    <row r="23" spans="1:9">
      <c r="A23" s="1233"/>
      <c r="B23" s="906">
        <v>39162</v>
      </c>
      <c r="C23" s="911">
        <v>23.35</v>
      </c>
      <c r="D23" s="912">
        <v>22.82</v>
      </c>
      <c r="E23" s="913">
        <v>19.11</v>
      </c>
      <c r="F23" s="911">
        <v>23.13</v>
      </c>
      <c r="G23" s="912">
        <v>22.61</v>
      </c>
      <c r="H23" s="913">
        <v>19.010000000000002</v>
      </c>
      <c r="I23" s="1233"/>
    </row>
    <row r="24" spans="1:9" ht="13.5" thickBot="1">
      <c r="A24" s="1233"/>
      <c r="B24" s="1234">
        <v>39169</v>
      </c>
      <c r="C24" s="1235">
        <v>23.81</v>
      </c>
      <c r="D24" s="1236">
        <v>23.29</v>
      </c>
      <c r="E24" s="1237">
        <v>19.48</v>
      </c>
      <c r="F24" s="1235">
        <v>23.56</v>
      </c>
      <c r="G24" s="1236">
        <v>23.05</v>
      </c>
      <c r="H24" s="1237">
        <v>19.36</v>
      </c>
      <c r="I24" s="1233"/>
    </row>
    <row r="25" spans="1:9" ht="13.5" thickBot="1">
      <c r="A25" s="1233"/>
      <c r="B25" s="1238" t="s">
        <v>10</v>
      </c>
      <c r="C25" s="1239">
        <f t="shared" ref="C25:H25" si="2">AVERAGE(C21:C24)</f>
        <v>23.127500000000001</v>
      </c>
      <c r="D25" s="1240">
        <f t="shared" si="2"/>
        <v>22.607500000000002</v>
      </c>
      <c r="E25" s="1240">
        <f t="shared" si="2"/>
        <v>18.9375</v>
      </c>
      <c r="F25" s="1240">
        <f>AVERAGE(F21:F24)</f>
        <v>22.8675</v>
      </c>
      <c r="G25" s="1240">
        <f t="shared" si="2"/>
        <v>22.352499999999999</v>
      </c>
      <c r="H25" s="1241">
        <f t="shared" si="2"/>
        <v>18.8</v>
      </c>
      <c r="I25" s="1233"/>
    </row>
    <row r="26" spans="1:9">
      <c r="A26" s="1233"/>
      <c r="B26" s="906">
        <v>39174</v>
      </c>
      <c r="C26" s="911">
        <v>24.2</v>
      </c>
      <c r="D26" s="912">
        <v>23.69</v>
      </c>
      <c r="E26" s="913">
        <v>19.829999999999998</v>
      </c>
      <c r="F26" s="911">
        <v>23.96</v>
      </c>
      <c r="G26" s="912">
        <v>23.45</v>
      </c>
      <c r="H26" s="913">
        <v>19.760000000000002</v>
      </c>
      <c r="I26" s="1233"/>
    </row>
    <row r="27" spans="1:9">
      <c r="A27" s="1233"/>
      <c r="B27" s="1234">
        <v>39183</v>
      </c>
      <c r="C27" s="1235">
        <v>25.44</v>
      </c>
      <c r="D27" s="1236">
        <v>24.95</v>
      </c>
      <c r="E27" s="1237">
        <v>20.53</v>
      </c>
      <c r="F27" s="1235">
        <v>25.2</v>
      </c>
      <c r="G27" s="1236">
        <v>24.7</v>
      </c>
      <c r="H27" s="1237">
        <v>20.36</v>
      </c>
      <c r="I27" s="1233"/>
    </row>
    <row r="28" spans="1:9">
      <c r="A28" s="1233"/>
      <c r="B28" s="906">
        <v>39190</v>
      </c>
      <c r="C28" s="911">
        <v>25.8</v>
      </c>
      <c r="D28" s="912">
        <v>25.3</v>
      </c>
      <c r="E28" s="913">
        <v>20.59</v>
      </c>
      <c r="F28" s="911">
        <v>25.51</v>
      </c>
      <c r="G28" s="912">
        <v>25</v>
      </c>
      <c r="H28" s="913">
        <v>20.37</v>
      </c>
      <c r="I28" s="1233"/>
    </row>
    <row r="29" spans="1:9" ht="13.5" thickBot="1">
      <c r="A29" s="1233"/>
      <c r="B29" s="1234">
        <v>39196</v>
      </c>
      <c r="C29" s="1235">
        <v>26.66</v>
      </c>
      <c r="D29" s="1236">
        <v>26.1</v>
      </c>
      <c r="E29" s="1237">
        <v>20.96</v>
      </c>
      <c r="F29" s="1235">
        <v>26.45</v>
      </c>
      <c r="G29" s="1236">
        <v>25.88</v>
      </c>
      <c r="H29" s="1237">
        <v>20.85</v>
      </c>
      <c r="I29" s="1233"/>
    </row>
    <row r="30" spans="1:9" ht="13.5" thickBot="1">
      <c r="A30" s="1233"/>
      <c r="B30" s="1238" t="s">
        <v>11</v>
      </c>
      <c r="C30" s="1239">
        <f t="shared" ref="C30:H30" si="3">AVERAGE(C26:C29)</f>
        <v>25.524999999999999</v>
      </c>
      <c r="D30" s="1240">
        <f t="shared" si="3"/>
        <v>25.009999999999998</v>
      </c>
      <c r="E30" s="1240">
        <f t="shared" si="3"/>
        <v>20.477499999999999</v>
      </c>
      <c r="F30" s="1240">
        <f>AVERAGE(F26:F29)</f>
        <v>25.28</v>
      </c>
      <c r="G30" s="1240">
        <f t="shared" si="3"/>
        <v>24.7575</v>
      </c>
      <c r="H30" s="1241">
        <f t="shared" si="3"/>
        <v>20.335000000000001</v>
      </c>
      <c r="I30" s="1233"/>
    </row>
    <row r="31" spans="1:9">
      <c r="A31" s="1233"/>
      <c r="B31" s="906">
        <v>39204</v>
      </c>
      <c r="C31" s="911">
        <v>26.99</v>
      </c>
      <c r="D31" s="912">
        <v>26.4</v>
      </c>
      <c r="E31" s="913">
        <v>21.03</v>
      </c>
      <c r="F31" s="911">
        <v>26.69</v>
      </c>
      <c r="G31" s="912">
        <v>26.09</v>
      </c>
      <c r="H31" s="913">
        <v>20.88</v>
      </c>
    </row>
    <row r="32" spans="1:9">
      <c r="A32" s="1233"/>
      <c r="B32" s="1234">
        <v>39211</v>
      </c>
      <c r="C32" s="1235">
        <v>27.35</v>
      </c>
      <c r="D32" s="1236">
        <v>26.76</v>
      </c>
      <c r="E32" s="1237">
        <v>21.04</v>
      </c>
      <c r="F32" s="1235">
        <v>27.04</v>
      </c>
      <c r="G32" s="1236">
        <v>26.42</v>
      </c>
      <c r="H32" s="1237">
        <v>20.87</v>
      </c>
    </row>
    <row r="33" spans="1:9">
      <c r="A33" s="1233"/>
      <c r="B33" s="906">
        <v>39218</v>
      </c>
      <c r="C33" s="911">
        <v>27.35</v>
      </c>
      <c r="D33" s="912">
        <v>26.76</v>
      </c>
      <c r="E33" s="913">
        <v>21.07</v>
      </c>
      <c r="F33" s="911">
        <v>27.02</v>
      </c>
      <c r="G33" s="912">
        <v>26.41</v>
      </c>
      <c r="H33" s="913">
        <v>20.87</v>
      </c>
    </row>
    <row r="34" spans="1:9">
      <c r="A34" s="1233"/>
      <c r="B34" s="1234">
        <v>39225</v>
      </c>
      <c r="C34" s="1235">
        <v>27.98</v>
      </c>
      <c r="D34" s="1236">
        <v>27.38</v>
      </c>
      <c r="E34" s="1237">
        <v>21.12</v>
      </c>
      <c r="F34" s="1235">
        <v>27.71</v>
      </c>
      <c r="G34" s="1236">
        <v>27.09</v>
      </c>
      <c r="H34" s="1237">
        <v>20.95</v>
      </c>
    </row>
    <row r="35" spans="1:9" ht="13.5" thickBot="1">
      <c r="A35" s="1233"/>
      <c r="B35" s="907">
        <v>39232</v>
      </c>
      <c r="C35" s="914">
        <v>28.28</v>
      </c>
      <c r="D35" s="915">
        <v>27.66</v>
      </c>
      <c r="E35" s="916">
        <v>21.15</v>
      </c>
      <c r="F35" s="914">
        <v>28.01</v>
      </c>
      <c r="G35" s="915">
        <v>27.36</v>
      </c>
      <c r="H35" s="916">
        <v>20.96</v>
      </c>
    </row>
    <row r="36" spans="1:9" ht="13.5" thickBot="1">
      <c r="A36" s="1233"/>
      <c r="B36" s="1238" t="s">
        <v>12</v>
      </c>
      <c r="C36" s="1239">
        <f t="shared" ref="C36:H36" si="4">AVERAGE(C31:C35)</f>
        <v>27.589999999999996</v>
      </c>
      <c r="D36" s="1240">
        <f t="shared" si="4"/>
        <v>26.992000000000001</v>
      </c>
      <c r="E36" s="1240">
        <f t="shared" si="4"/>
        <v>21.082000000000001</v>
      </c>
      <c r="F36" s="1240">
        <f>AVERAGE(F31:F35)</f>
        <v>27.294</v>
      </c>
      <c r="G36" s="1240">
        <f t="shared" si="4"/>
        <v>26.673999999999999</v>
      </c>
      <c r="H36" s="1241">
        <f t="shared" si="4"/>
        <v>20.905999999999999</v>
      </c>
    </row>
    <row r="37" spans="1:9">
      <c r="A37" s="1233"/>
      <c r="B37" s="906">
        <v>39239</v>
      </c>
      <c r="C37" s="911">
        <v>28.74</v>
      </c>
      <c r="D37" s="912">
        <v>28.12</v>
      </c>
      <c r="E37" s="913">
        <v>21.43</v>
      </c>
      <c r="F37" s="911">
        <v>28.49</v>
      </c>
      <c r="G37" s="912">
        <v>27.82</v>
      </c>
      <c r="H37" s="913">
        <v>21.33</v>
      </c>
      <c r="I37" s="5"/>
    </row>
    <row r="38" spans="1:9">
      <c r="A38" s="1233"/>
      <c r="B38" s="1234">
        <v>39246</v>
      </c>
      <c r="C38" s="1235">
        <v>29.01</v>
      </c>
      <c r="D38" s="1236">
        <v>28.31</v>
      </c>
      <c r="E38" s="1237">
        <v>21.6</v>
      </c>
      <c r="F38" s="1235">
        <v>28.78</v>
      </c>
      <c r="G38" s="1236">
        <v>28.03</v>
      </c>
      <c r="H38" s="1237">
        <v>21.42</v>
      </c>
      <c r="I38" s="5"/>
    </row>
    <row r="39" spans="1:9">
      <c r="A39" s="1233"/>
      <c r="B39" s="906">
        <v>39253</v>
      </c>
      <c r="C39" s="911">
        <v>28.62</v>
      </c>
      <c r="D39" s="912">
        <v>27.94</v>
      </c>
      <c r="E39" s="913">
        <v>21.57</v>
      </c>
      <c r="F39" s="911">
        <v>28.29</v>
      </c>
      <c r="G39" s="912">
        <v>27.61</v>
      </c>
      <c r="H39" s="913">
        <v>21.43</v>
      </c>
      <c r="I39" s="5"/>
    </row>
    <row r="40" spans="1:9" ht="13.5" thickBot="1">
      <c r="A40" s="1233"/>
      <c r="B40" s="1234">
        <v>39260</v>
      </c>
      <c r="C40" s="1235">
        <v>28.38</v>
      </c>
      <c r="D40" s="1236">
        <v>27.73</v>
      </c>
      <c r="E40" s="1237">
        <v>21.52</v>
      </c>
      <c r="F40" s="1235">
        <v>28.07</v>
      </c>
      <c r="G40" s="1236">
        <v>27.41</v>
      </c>
      <c r="H40" s="1237">
        <v>21.37</v>
      </c>
      <c r="I40" s="5"/>
    </row>
    <row r="41" spans="1:9" ht="13.5" thickBot="1">
      <c r="A41" s="1233"/>
      <c r="B41" s="1238" t="s">
        <v>13</v>
      </c>
      <c r="C41" s="1239">
        <f t="shared" ref="C41:H41" si="5">AVERAGE(C37:C40)</f>
        <v>28.6875</v>
      </c>
      <c r="D41" s="1240">
        <f t="shared" si="5"/>
        <v>28.025000000000002</v>
      </c>
      <c r="E41" s="1240">
        <f t="shared" si="5"/>
        <v>21.529999999999998</v>
      </c>
      <c r="F41" s="1240">
        <f>AVERAGE(F37:F40)</f>
        <v>28.407499999999999</v>
      </c>
      <c r="G41" s="1240">
        <f t="shared" si="5"/>
        <v>27.717500000000001</v>
      </c>
      <c r="H41" s="1241">
        <f t="shared" si="5"/>
        <v>21.387500000000003</v>
      </c>
      <c r="I41" s="5"/>
    </row>
    <row r="42" spans="1:9">
      <c r="A42" s="1233"/>
      <c r="B42" s="906">
        <v>39239</v>
      </c>
      <c r="C42" s="911">
        <v>28.74</v>
      </c>
      <c r="D42" s="912">
        <v>28.12</v>
      </c>
      <c r="E42" s="913">
        <v>21.43</v>
      </c>
      <c r="F42" s="911">
        <v>28.49</v>
      </c>
      <c r="G42" s="912">
        <v>27.82</v>
      </c>
      <c r="H42" s="913">
        <v>21.33</v>
      </c>
    </row>
    <row r="43" spans="1:9">
      <c r="B43" s="1234">
        <v>39246</v>
      </c>
      <c r="C43" s="1235">
        <v>29.01</v>
      </c>
      <c r="D43" s="1236">
        <v>28.31</v>
      </c>
      <c r="E43" s="1237">
        <v>21.6</v>
      </c>
      <c r="F43" s="1235">
        <v>28.78</v>
      </c>
      <c r="G43" s="1236">
        <v>28.03</v>
      </c>
      <c r="H43" s="1237">
        <v>21.42</v>
      </c>
    </row>
    <row r="44" spans="1:9">
      <c r="B44" s="906">
        <v>39253</v>
      </c>
      <c r="C44" s="911">
        <v>28.62</v>
      </c>
      <c r="D44" s="912">
        <v>27.94</v>
      </c>
      <c r="E44" s="913">
        <v>21.57</v>
      </c>
      <c r="F44" s="911">
        <v>28.29</v>
      </c>
      <c r="G44" s="912">
        <v>27.61</v>
      </c>
      <c r="H44" s="913">
        <v>21.43</v>
      </c>
    </row>
    <row r="45" spans="1:9" ht="13.5" thickBot="1">
      <c r="B45" s="1234">
        <v>39260</v>
      </c>
      <c r="C45" s="1235">
        <v>28.38</v>
      </c>
      <c r="D45" s="1236">
        <v>27.73</v>
      </c>
      <c r="E45" s="1237">
        <v>21.52</v>
      </c>
      <c r="F45" s="1235">
        <v>28.07</v>
      </c>
      <c r="G45" s="1236">
        <v>27.41</v>
      </c>
      <c r="H45" s="1237">
        <v>21.37</v>
      </c>
    </row>
    <row r="46" spans="1:9" ht="13.5" thickBot="1">
      <c r="B46" s="1238" t="s">
        <v>13</v>
      </c>
      <c r="C46" s="1239">
        <v>28.6875</v>
      </c>
      <c r="D46" s="1240">
        <v>28.025000000000002</v>
      </c>
      <c r="E46" s="1240">
        <v>21.529999999999998</v>
      </c>
      <c r="F46" s="1240">
        <v>28.407499999999999</v>
      </c>
      <c r="G46" s="1240">
        <v>27.717500000000001</v>
      </c>
      <c r="H46" s="1241">
        <v>21.387500000000003</v>
      </c>
    </row>
    <row r="47" spans="1:9">
      <c r="B47" s="906">
        <v>39295</v>
      </c>
      <c r="C47" s="911">
        <v>28.45</v>
      </c>
      <c r="D47" s="912">
        <v>27.84</v>
      </c>
      <c r="E47" s="913">
        <v>22.02</v>
      </c>
      <c r="F47" s="911">
        <v>28.13</v>
      </c>
      <c r="G47" s="912">
        <v>27.49</v>
      </c>
      <c r="H47" s="913">
        <v>21.86</v>
      </c>
    </row>
    <row r="48" spans="1:9">
      <c r="B48" s="1234">
        <v>39302</v>
      </c>
      <c r="C48" s="1235">
        <v>27.92</v>
      </c>
      <c r="D48" s="1236">
        <v>27.24</v>
      </c>
      <c r="E48" s="1237">
        <v>21.86</v>
      </c>
      <c r="F48" s="1235">
        <v>27.54</v>
      </c>
      <c r="G48" s="1236">
        <v>26.87</v>
      </c>
      <c r="H48" s="1237">
        <v>21.65</v>
      </c>
    </row>
    <row r="49" spans="2:13">
      <c r="B49" s="906">
        <v>39309</v>
      </c>
      <c r="C49" s="911">
        <v>27.8</v>
      </c>
      <c r="D49" s="912">
        <v>27.1</v>
      </c>
      <c r="E49" s="913">
        <v>21.83</v>
      </c>
      <c r="F49" s="911">
        <v>27.38</v>
      </c>
      <c r="G49" s="912">
        <v>26.7</v>
      </c>
      <c r="H49" s="913">
        <v>21.55</v>
      </c>
      <c r="K49" s="6"/>
      <c r="L49" s="6"/>
      <c r="M49" s="6"/>
    </row>
    <row r="50" spans="2:13">
      <c r="B50" s="1234">
        <v>39316</v>
      </c>
      <c r="C50" s="1235">
        <v>27.77</v>
      </c>
      <c r="D50" s="1236">
        <v>27.05</v>
      </c>
      <c r="E50" s="1237">
        <v>21.79</v>
      </c>
      <c r="F50" s="1235">
        <v>27.35</v>
      </c>
      <c r="G50" s="1236">
        <v>26.65</v>
      </c>
      <c r="H50" s="1237">
        <v>21.54</v>
      </c>
      <c r="K50" s="6"/>
      <c r="L50" s="6"/>
      <c r="M50" s="6"/>
    </row>
    <row r="51" spans="2:13" ht="13.5" thickBot="1">
      <c r="B51" s="907">
        <v>39323</v>
      </c>
      <c r="C51" s="914">
        <v>27.59</v>
      </c>
      <c r="D51" s="915">
        <v>26.81</v>
      </c>
      <c r="E51" s="916">
        <v>21.67</v>
      </c>
      <c r="F51" s="914">
        <v>27.22</v>
      </c>
      <c r="G51" s="915">
        <v>26.41</v>
      </c>
      <c r="H51" s="916">
        <v>21.45</v>
      </c>
    </row>
    <row r="52" spans="2:13" ht="13.5" thickBot="1">
      <c r="B52" s="1238" t="s">
        <v>15</v>
      </c>
      <c r="C52" s="1239">
        <f t="shared" ref="C52:H52" si="6">AVERAGE(C47:C51)</f>
        <v>27.905999999999999</v>
      </c>
      <c r="D52" s="1240">
        <f t="shared" si="6"/>
        <v>27.207999999999998</v>
      </c>
      <c r="E52" s="1240">
        <f t="shared" si="6"/>
        <v>21.834</v>
      </c>
      <c r="F52" s="1240">
        <f>AVERAGE(F47:F51)</f>
        <v>27.524000000000001</v>
      </c>
      <c r="G52" s="1240">
        <f t="shared" si="6"/>
        <v>26.824000000000002</v>
      </c>
      <c r="H52" s="1241">
        <f t="shared" si="6"/>
        <v>21.61</v>
      </c>
    </row>
    <row r="53" spans="2:13">
      <c r="B53" s="906">
        <v>39330</v>
      </c>
      <c r="C53" s="911">
        <v>27.3</v>
      </c>
      <c r="D53" s="912">
        <v>26.38</v>
      </c>
      <c r="E53" s="913">
        <v>21.5</v>
      </c>
      <c r="F53" s="911">
        <v>26.92</v>
      </c>
      <c r="G53" s="912">
        <v>25.97</v>
      </c>
      <c r="H53" s="913">
        <v>21.23</v>
      </c>
    </row>
    <row r="54" spans="2:13">
      <c r="B54" s="1234">
        <v>39337</v>
      </c>
      <c r="C54" s="1235">
        <v>27.15</v>
      </c>
      <c r="D54" s="1236">
        <v>26.19</v>
      </c>
      <c r="E54" s="1237">
        <v>21.37</v>
      </c>
      <c r="F54" s="1235">
        <v>26.74</v>
      </c>
      <c r="G54" s="1236">
        <v>25.76</v>
      </c>
      <c r="H54" s="1237">
        <v>21.05</v>
      </c>
    </row>
    <row r="55" spans="2:13">
      <c r="B55" s="906">
        <v>39344</v>
      </c>
      <c r="C55" s="911">
        <v>27.09</v>
      </c>
      <c r="D55" s="912">
        <v>26.13</v>
      </c>
      <c r="E55" s="913">
        <v>21.48</v>
      </c>
      <c r="F55" s="911">
        <v>26.73</v>
      </c>
      <c r="G55" s="912">
        <v>25.75</v>
      </c>
      <c r="H55" s="913">
        <v>21.18</v>
      </c>
    </row>
    <row r="56" spans="2:13" ht="13.5" thickBot="1">
      <c r="B56" s="1234">
        <v>39351</v>
      </c>
      <c r="C56" s="1235">
        <v>27.08</v>
      </c>
      <c r="D56" s="1236">
        <v>26.12</v>
      </c>
      <c r="E56" s="1237">
        <v>21.79</v>
      </c>
      <c r="F56" s="1235">
        <v>26.72</v>
      </c>
      <c r="G56" s="1236">
        <v>25.73</v>
      </c>
      <c r="H56" s="1237">
        <v>21.5</v>
      </c>
    </row>
    <row r="57" spans="2:13" ht="13.5" thickBot="1">
      <c r="B57" s="1238" t="s">
        <v>16</v>
      </c>
      <c r="C57" s="1239">
        <f t="shared" ref="C57:H57" si="7">AVERAGE(C53:C56)</f>
        <v>27.155000000000001</v>
      </c>
      <c r="D57" s="1240">
        <f t="shared" si="7"/>
        <v>26.205000000000002</v>
      </c>
      <c r="E57" s="1240">
        <f t="shared" si="7"/>
        <v>21.535000000000004</v>
      </c>
      <c r="F57" s="1240">
        <f>AVERAGE(F53:F56)</f>
        <v>26.7775</v>
      </c>
      <c r="G57" s="1240">
        <f t="shared" si="7"/>
        <v>25.802500000000002</v>
      </c>
      <c r="H57" s="1241">
        <f t="shared" si="7"/>
        <v>21.240000000000002</v>
      </c>
    </row>
    <row r="58" spans="2:13">
      <c r="B58" s="906">
        <v>39358</v>
      </c>
      <c r="C58" s="911">
        <v>27.34</v>
      </c>
      <c r="D58" s="912">
        <v>26.4</v>
      </c>
      <c r="E58" s="913">
        <v>22.18</v>
      </c>
      <c r="F58" s="911">
        <v>26.98</v>
      </c>
      <c r="G58" s="912">
        <v>25.99</v>
      </c>
      <c r="H58" s="913">
        <v>22.07</v>
      </c>
    </row>
    <row r="59" spans="2:13">
      <c r="B59" s="1234">
        <v>39365</v>
      </c>
      <c r="C59" s="1235">
        <v>27.44</v>
      </c>
      <c r="D59" s="1236">
        <v>26.5</v>
      </c>
      <c r="E59" s="1237">
        <v>22.6</v>
      </c>
      <c r="F59" s="1235">
        <v>27.09</v>
      </c>
      <c r="G59" s="1236">
        <v>26.13</v>
      </c>
      <c r="H59" s="1237">
        <v>22.53</v>
      </c>
    </row>
    <row r="60" spans="2:13">
      <c r="B60" s="906">
        <v>39372</v>
      </c>
      <c r="C60" s="911">
        <v>27.33</v>
      </c>
      <c r="D60" s="912">
        <v>26.39</v>
      </c>
      <c r="E60" s="913">
        <v>22.73</v>
      </c>
      <c r="F60" s="911">
        <v>26.99</v>
      </c>
      <c r="G60" s="912">
        <v>26.03</v>
      </c>
      <c r="H60" s="913">
        <v>22.63</v>
      </c>
    </row>
    <row r="61" spans="2:13">
      <c r="B61" s="1234">
        <v>39379</v>
      </c>
      <c r="C61" s="1235">
        <v>27.32</v>
      </c>
      <c r="D61" s="1236">
        <v>26.38</v>
      </c>
      <c r="E61" s="1237">
        <v>23.06</v>
      </c>
      <c r="F61" s="1235">
        <v>27.01</v>
      </c>
      <c r="G61" s="1236">
        <v>26.03</v>
      </c>
      <c r="H61" s="1237">
        <v>23</v>
      </c>
    </row>
    <row r="62" spans="2:13" ht="13.5" thickBot="1">
      <c r="B62" s="907">
        <v>39386</v>
      </c>
      <c r="C62" s="914">
        <v>27.29</v>
      </c>
      <c r="D62" s="915">
        <v>26.36</v>
      </c>
      <c r="E62" s="916">
        <v>23.74</v>
      </c>
      <c r="F62" s="914">
        <v>27.02</v>
      </c>
      <c r="G62" s="915">
        <v>26.05</v>
      </c>
      <c r="H62" s="916">
        <v>23.61</v>
      </c>
    </row>
    <row r="63" spans="2:13" ht="13.5" thickBot="1">
      <c r="B63" s="1238" t="s">
        <v>17</v>
      </c>
      <c r="C63" s="1239">
        <f t="shared" ref="C63:H63" si="8">AVERAGE(C58:C62)</f>
        <v>27.344000000000001</v>
      </c>
      <c r="D63" s="1240">
        <f t="shared" si="8"/>
        <v>26.405999999999995</v>
      </c>
      <c r="E63" s="1240">
        <f t="shared" si="8"/>
        <v>22.862000000000002</v>
      </c>
      <c r="F63" s="1240">
        <f>AVERAGE(F58:F62)</f>
        <v>27.018000000000001</v>
      </c>
      <c r="G63" s="1240">
        <f t="shared" si="8"/>
        <v>26.046000000000003</v>
      </c>
      <c r="H63" s="1241">
        <f t="shared" si="8"/>
        <v>22.768000000000001</v>
      </c>
    </row>
    <row r="64" spans="2:13">
      <c r="B64" s="906">
        <v>39393</v>
      </c>
      <c r="C64" s="911">
        <v>27.46</v>
      </c>
      <c r="D64" s="912">
        <v>26.52</v>
      </c>
      <c r="E64" s="913">
        <v>24.48</v>
      </c>
      <c r="F64" s="911">
        <v>27.2</v>
      </c>
      <c r="G64" s="912">
        <v>26.23</v>
      </c>
      <c r="H64" s="913">
        <v>24.35</v>
      </c>
    </row>
    <row r="65" spans="2:8">
      <c r="B65" s="1234">
        <v>39400</v>
      </c>
      <c r="C65" s="1235">
        <v>28.24</v>
      </c>
      <c r="D65" s="1236">
        <v>27.32</v>
      </c>
      <c r="E65" s="1237">
        <v>25.15</v>
      </c>
      <c r="F65" s="1235">
        <v>27.99</v>
      </c>
      <c r="G65" s="1236">
        <v>27.03</v>
      </c>
      <c r="H65" s="1237">
        <v>24.99</v>
      </c>
    </row>
    <row r="66" spans="2:8">
      <c r="B66" s="906">
        <v>39407</v>
      </c>
      <c r="C66" s="911">
        <v>28.52</v>
      </c>
      <c r="D66" s="912">
        <v>27.58</v>
      </c>
      <c r="E66" s="913">
        <v>25.38</v>
      </c>
      <c r="F66" s="911">
        <v>28.27</v>
      </c>
      <c r="G66" s="912">
        <v>27.3</v>
      </c>
      <c r="H66" s="913">
        <v>25.21</v>
      </c>
    </row>
    <row r="67" spans="2:8" ht="13.5" thickBot="1">
      <c r="B67" s="1234">
        <v>39414</v>
      </c>
      <c r="C67" s="1235">
        <v>28.73</v>
      </c>
      <c r="D67" s="1236">
        <v>27.78</v>
      </c>
      <c r="E67" s="1237">
        <v>25.62</v>
      </c>
      <c r="F67" s="1235">
        <v>28.49</v>
      </c>
      <c r="G67" s="1236">
        <v>27.52</v>
      </c>
      <c r="H67" s="1237">
        <v>25.46</v>
      </c>
    </row>
    <row r="68" spans="2:8" ht="13.5" thickBot="1">
      <c r="B68" s="1238" t="s">
        <v>18</v>
      </c>
      <c r="C68" s="1239">
        <f t="shared" ref="C68:H68" si="9">AVERAGE(C64:C67)</f>
        <v>28.237500000000001</v>
      </c>
      <c r="D68" s="1240">
        <f t="shared" si="9"/>
        <v>27.3</v>
      </c>
      <c r="E68" s="1240">
        <f t="shared" si="9"/>
        <v>25.157499999999999</v>
      </c>
      <c r="F68" s="1240">
        <f>AVERAGE(F64:F67)</f>
        <v>27.987499999999997</v>
      </c>
      <c r="G68" s="1240">
        <f t="shared" si="9"/>
        <v>27.02</v>
      </c>
      <c r="H68" s="1241">
        <f t="shared" si="9"/>
        <v>25.002500000000005</v>
      </c>
    </row>
    <row r="69" spans="2:8">
      <c r="B69" s="906">
        <v>39421</v>
      </c>
      <c r="C69" s="911">
        <v>29.23</v>
      </c>
      <c r="D69" s="912">
        <v>28.26</v>
      </c>
      <c r="E69" s="913">
        <v>26.12</v>
      </c>
      <c r="F69" s="911">
        <v>28.96</v>
      </c>
      <c r="G69" s="912">
        <v>27.98</v>
      </c>
      <c r="H69" s="913">
        <v>25.92</v>
      </c>
    </row>
    <row r="70" spans="2:8">
      <c r="B70" s="1234">
        <v>39428</v>
      </c>
      <c r="C70" s="1235">
        <v>29.1</v>
      </c>
      <c r="D70" s="1236">
        <v>28.26</v>
      </c>
      <c r="E70" s="1237">
        <v>26.12</v>
      </c>
      <c r="F70" s="1235">
        <v>28.79</v>
      </c>
      <c r="G70" s="1236">
        <v>27.98</v>
      </c>
      <c r="H70" s="1237">
        <v>25.94</v>
      </c>
    </row>
    <row r="71" spans="2:8">
      <c r="B71" s="906">
        <v>39435</v>
      </c>
      <c r="C71" s="911">
        <v>28.94</v>
      </c>
      <c r="D71" s="912">
        <v>28.25</v>
      </c>
      <c r="E71" s="913">
        <v>26.12</v>
      </c>
      <c r="F71" s="911">
        <v>28.6</v>
      </c>
      <c r="G71" s="912">
        <v>27.97</v>
      </c>
      <c r="H71" s="913">
        <v>25.93</v>
      </c>
    </row>
    <row r="72" spans="2:8" ht="13.5" thickBot="1">
      <c r="B72" s="1234">
        <v>39442</v>
      </c>
      <c r="C72" s="1235">
        <v>28.9</v>
      </c>
      <c r="D72" s="1236">
        <v>28.23</v>
      </c>
      <c r="E72" s="1237">
        <v>26.1</v>
      </c>
      <c r="F72" s="1235">
        <v>28.56</v>
      </c>
      <c r="G72" s="1236">
        <v>27.96</v>
      </c>
      <c r="H72" s="1237">
        <v>25.92</v>
      </c>
    </row>
    <row r="73" spans="2:8" ht="13.5" thickBot="1">
      <c r="B73" s="1238" t="s">
        <v>19</v>
      </c>
      <c r="C73" s="1239">
        <f t="shared" ref="C73:H73" si="10">AVERAGE(C69:C72)</f>
        <v>29.042499999999997</v>
      </c>
      <c r="D73" s="1240">
        <f t="shared" si="10"/>
        <v>28.250000000000004</v>
      </c>
      <c r="E73" s="1240">
        <f t="shared" si="10"/>
        <v>26.115000000000002</v>
      </c>
      <c r="F73" s="1240">
        <f t="shared" si="10"/>
        <v>28.727499999999999</v>
      </c>
      <c r="G73" s="1240">
        <f t="shared" si="10"/>
        <v>27.972500000000004</v>
      </c>
      <c r="H73" s="1241">
        <f t="shared" si="10"/>
        <v>25.927499999999998</v>
      </c>
    </row>
    <row r="74" spans="2:8">
      <c r="B74" s="924"/>
      <c r="C74" s="925"/>
      <c r="D74" s="928"/>
      <c r="E74" s="929"/>
      <c r="F74" s="925"/>
      <c r="G74" s="928"/>
      <c r="H74" s="929"/>
    </row>
  </sheetData>
  <mergeCells count="9">
    <mergeCell ref="B1:H1"/>
    <mergeCell ref="C7:E7"/>
    <mergeCell ref="F7:H7"/>
    <mergeCell ref="B7:B8"/>
    <mergeCell ref="B2:H2"/>
    <mergeCell ref="B3:H3"/>
    <mergeCell ref="B5:H5"/>
    <mergeCell ref="B6:H6"/>
    <mergeCell ref="B4:H4"/>
  </mergeCells>
  <phoneticPr fontId="5" type="noConversion"/>
  <pageMargins left="0.74803149606299213" right="0.74803149606299213" top="0.35433070866141736" bottom="0.98425196850393704" header="0" footer="0"/>
  <pageSetup paperSize="5" scale="88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6">
    <tabColor rgb="FFFF0000"/>
  </sheetPr>
  <dimension ref="A1:L435"/>
  <sheetViews>
    <sheetView view="pageBreakPreview" topLeftCell="A289" zoomScaleNormal="100" zoomScaleSheetLayoutView="100" workbookViewId="0">
      <selection activeCell="I43" sqref="I43"/>
    </sheetView>
  </sheetViews>
  <sheetFormatPr baseColWidth="10" defaultColWidth="11.42578125" defaultRowHeight="12.75"/>
  <cols>
    <col min="1" max="1" width="12.7109375" customWidth="1"/>
    <col min="2" max="2" width="29.5703125" customWidth="1"/>
    <col min="3" max="3" width="12.28515625" bestFit="1" customWidth="1"/>
  </cols>
  <sheetData>
    <row r="1" spans="1:9">
      <c r="A1" s="1004" t="s">
        <v>54</v>
      </c>
      <c r="B1" s="1004"/>
      <c r="C1" s="1003"/>
      <c r="D1" s="548"/>
      <c r="E1" s="548"/>
      <c r="F1" s="548"/>
      <c r="G1" s="548"/>
    </row>
    <row r="2" spans="1:9">
      <c r="A2" s="1004" t="s">
        <v>569</v>
      </c>
      <c r="B2" s="1004"/>
      <c r="C2" s="1003"/>
      <c r="D2" s="548"/>
      <c r="E2" s="548"/>
      <c r="F2" s="548"/>
      <c r="G2" s="548"/>
    </row>
    <row r="3" spans="1:9">
      <c r="A3" s="1001"/>
      <c r="B3" s="1001"/>
      <c r="C3" s="1001"/>
      <c r="D3" s="1001"/>
      <c r="E3" s="1001"/>
      <c r="F3" s="1001"/>
      <c r="G3" s="1001"/>
    </row>
    <row r="4" spans="1:9" ht="22.5">
      <c r="A4" s="1780" t="s">
        <v>604</v>
      </c>
      <c r="B4" s="1780"/>
      <c r="C4" s="1780"/>
      <c r="D4" s="1780"/>
      <c r="E4" s="1780"/>
      <c r="F4" s="1780"/>
      <c r="G4" s="1780"/>
    </row>
    <row r="5" spans="1:9" ht="22.5">
      <c r="A5" s="1780" t="s">
        <v>603</v>
      </c>
      <c r="B5" s="1780"/>
      <c r="C5" s="1780"/>
      <c r="D5" s="1780"/>
      <c r="E5" s="1780"/>
      <c r="F5" s="1780"/>
      <c r="G5" s="1780"/>
    </row>
    <row r="6" spans="1:9" ht="22.5">
      <c r="A6" s="1780" t="s">
        <v>629</v>
      </c>
      <c r="B6" s="1780"/>
      <c r="C6" s="1780"/>
      <c r="D6" s="1780"/>
      <c r="E6" s="1780"/>
      <c r="F6" s="1780"/>
      <c r="G6" s="1780"/>
    </row>
    <row r="7" spans="1:9" ht="5.25" customHeight="1">
      <c r="A7" s="994"/>
      <c r="B7" s="994"/>
      <c r="C7" s="994"/>
      <c r="D7" s="994"/>
      <c r="E7" s="994"/>
      <c r="F7" s="994"/>
      <c r="G7" s="994"/>
    </row>
    <row r="8" spans="1:9" ht="13.5">
      <c r="A8" s="1781" t="s">
        <v>605</v>
      </c>
      <c r="B8" s="1781"/>
      <c r="C8" s="1781"/>
      <c r="D8" s="1781"/>
      <c r="E8" s="1781"/>
      <c r="F8" s="1781"/>
      <c r="G8" s="1781"/>
    </row>
    <row r="9" spans="1:9" ht="3.75" customHeight="1">
      <c r="A9" s="1002"/>
      <c r="B9" s="1002"/>
      <c r="C9" s="1002"/>
      <c r="D9" s="1002"/>
      <c r="E9" s="1002"/>
      <c r="F9" s="1002"/>
      <c r="G9" s="1002"/>
    </row>
    <row r="10" spans="1:9" ht="13.5" thickBot="1">
      <c r="A10" s="1559" t="s">
        <v>115</v>
      </c>
      <c r="B10" s="1559"/>
      <c r="C10" s="1559"/>
      <c r="D10" s="1559"/>
      <c r="E10" s="1559"/>
      <c r="F10" s="1559"/>
      <c r="G10" s="1559"/>
    </row>
    <row r="11" spans="1:9" ht="29.25" customHeight="1" thickBot="1">
      <c r="A11" s="1055" t="s">
        <v>116</v>
      </c>
      <c r="B11" s="1056" t="s">
        <v>117</v>
      </c>
      <c r="C11" s="1057" t="s">
        <v>118</v>
      </c>
      <c r="D11" s="1058" t="s">
        <v>119</v>
      </c>
      <c r="E11" s="1057" t="s">
        <v>120</v>
      </c>
      <c r="F11" s="1058" t="s">
        <v>121</v>
      </c>
      <c r="G11" s="1059" t="s">
        <v>122</v>
      </c>
    </row>
    <row r="12" spans="1:9" ht="3.75" customHeight="1" thickBot="1">
      <c r="A12" s="997"/>
      <c r="B12" s="1027"/>
      <c r="C12" s="580"/>
      <c r="D12" s="580"/>
      <c r="E12" s="580"/>
      <c r="F12" s="580"/>
      <c r="G12" s="998"/>
      <c r="I12" s="767"/>
    </row>
    <row r="13" spans="1:9" ht="12.75" customHeight="1">
      <c r="A13" s="1776">
        <v>43255</v>
      </c>
      <c r="B13" s="901" t="s">
        <v>611</v>
      </c>
      <c r="C13" s="931">
        <v>120</v>
      </c>
      <c r="D13" s="931">
        <v>168</v>
      </c>
      <c r="E13" s="931" t="s">
        <v>126</v>
      </c>
      <c r="F13" s="931" t="s">
        <v>126</v>
      </c>
      <c r="G13" s="932">
        <v>480</v>
      </c>
    </row>
    <row r="14" spans="1:9" ht="12.75" customHeight="1">
      <c r="A14" s="1777"/>
      <c r="B14" s="902" t="s">
        <v>612</v>
      </c>
      <c r="C14" s="933">
        <v>120</v>
      </c>
      <c r="D14" s="933">
        <v>168</v>
      </c>
      <c r="E14" s="933">
        <v>192</v>
      </c>
      <c r="F14" s="933">
        <v>288</v>
      </c>
      <c r="G14" s="934">
        <v>480</v>
      </c>
    </row>
    <row r="15" spans="1:9" ht="14.25" customHeight="1" thickBot="1">
      <c r="A15" s="1778"/>
      <c r="B15" s="903" t="s">
        <v>602</v>
      </c>
      <c r="C15" s="935">
        <v>120</v>
      </c>
      <c r="D15" s="935">
        <v>168</v>
      </c>
      <c r="E15" s="935">
        <v>192</v>
      </c>
      <c r="F15" s="935">
        <v>288</v>
      </c>
      <c r="G15" s="936">
        <v>480</v>
      </c>
    </row>
    <row r="16" spans="1:9" ht="5.25" customHeight="1" thickBot="1">
      <c r="A16" s="997"/>
      <c r="B16" s="589"/>
      <c r="C16" s="937"/>
      <c r="D16" s="937"/>
      <c r="E16" s="937"/>
      <c r="F16" s="937"/>
      <c r="G16" s="1000"/>
    </row>
    <row r="17" spans="1:7" ht="13.5" customHeight="1">
      <c r="A17" s="1776">
        <v>43262</v>
      </c>
      <c r="B17" s="901" t="s">
        <v>611</v>
      </c>
      <c r="C17" s="931">
        <v>120</v>
      </c>
      <c r="D17" s="931">
        <v>168</v>
      </c>
      <c r="E17" s="931" t="s">
        <v>126</v>
      </c>
      <c r="F17" s="931" t="s">
        <v>126</v>
      </c>
      <c r="G17" s="932">
        <v>480</v>
      </c>
    </row>
    <row r="18" spans="1:7" ht="14.25" customHeight="1">
      <c r="A18" s="1777"/>
      <c r="B18" s="902" t="s">
        <v>612</v>
      </c>
      <c r="C18" s="933">
        <v>120</v>
      </c>
      <c r="D18" s="933">
        <v>168</v>
      </c>
      <c r="E18" s="933">
        <v>192</v>
      </c>
      <c r="F18" s="933">
        <v>288</v>
      </c>
      <c r="G18" s="934">
        <v>480</v>
      </c>
    </row>
    <row r="19" spans="1:7" ht="14.25" customHeight="1" thickBot="1">
      <c r="A19" s="1778"/>
      <c r="B19" s="903" t="s">
        <v>602</v>
      </c>
      <c r="C19" s="935">
        <v>120</v>
      </c>
      <c r="D19" s="935">
        <v>168</v>
      </c>
      <c r="E19" s="935">
        <v>192</v>
      </c>
      <c r="F19" s="935">
        <v>288</v>
      </c>
      <c r="G19" s="936">
        <v>480</v>
      </c>
    </row>
    <row r="20" spans="1:7" ht="6" customHeight="1" thickBot="1">
      <c r="A20" s="997"/>
      <c r="B20" s="589"/>
      <c r="C20" s="937"/>
      <c r="D20" s="937"/>
      <c r="E20" s="937"/>
      <c r="F20" s="937"/>
      <c r="G20" s="1000"/>
    </row>
    <row r="21" spans="1:7" ht="12" customHeight="1">
      <c r="A21" s="1776">
        <v>43270</v>
      </c>
      <c r="B21" s="901" t="s">
        <v>611</v>
      </c>
      <c r="C21" s="931">
        <v>120</v>
      </c>
      <c r="D21" s="931">
        <v>168</v>
      </c>
      <c r="E21" s="931" t="s">
        <v>126</v>
      </c>
      <c r="F21" s="931" t="s">
        <v>126</v>
      </c>
      <c r="G21" s="932">
        <v>480</v>
      </c>
    </row>
    <row r="22" spans="1:7" ht="12" customHeight="1">
      <c r="A22" s="1777"/>
      <c r="B22" s="902" t="s">
        <v>612</v>
      </c>
      <c r="C22" s="933">
        <v>120</v>
      </c>
      <c r="D22" s="933">
        <v>168</v>
      </c>
      <c r="E22" s="933">
        <v>192</v>
      </c>
      <c r="F22" s="933">
        <v>288</v>
      </c>
      <c r="G22" s="934">
        <v>480</v>
      </c>
    </row>
    <row r="23" spans="1:7" ht="14.25" customHeight="1" thickBot="1">
      <c r="A23" s="1778"/>
      <c r="B23" s="903" t="s">
        <v>602</v>
      </c>
      <c r="C23" s="935">
        <v>120</v>
      </c>
      <c r="D23" s="935">
        <v>168</v>
      </c>
      <c r="E23" s="935">
        <v>192</v>
      </c>
      <c r="F23" s="935">
        <v>288</v>
      </c>
      <c r="G23" s="936">
        <v>480</v>
      </c>
    </row>
    <row r="24" spans="1:7" ht="4.5" customHeight="1" thickBot="1">
      <c r="A24" s="997"/>
      <c r="B24" s="589"/>
      <c r="C24" s="937"/>
      <c r="D24" s="937"/>
      <c r="E24" s="937"/>
      <c r="F24" s="937"/>
      <c r="G24" s="1000"/>
    </row>
    <row r="25" spans="1:7" ht="12" customHeight="1">
      <c r="A25" s="1776">
        <v>43277</v>
      </c>
      <c r="B25" s="901" t="s">
        <v>611</v>
      </c>
      <c r="C25" s="931">
        <v>120</v>
      </c>
      <c r="D25" s="931">
        <v>168</v>
      </c>
      <c r="E25" s="931" t="s">
        <v>126</v>
      </c>
      <c r="F25" s="931" t="s">
        <v>126</v>
      </c>
      <c r="G25" s="932">
        <v>480</v>
      </c>
    </row>
    <row r="26" spans="1:7" ht="12" customHeight="1">
      <c r="A26" s="1777"/>
      <c r="B26" s="902" t="s">
        <v>612</v>
      </c>
      <c r="C26" s="933">
        <v>120</v>
      </c>
      <c r="D26" s="933">
        <v>168</v>
      </c>
      <c r="E26" s="933">
        <v>192</v>
      </c>
      <c r="F26" s="933">
        <v>288</v>
      </c>
      <c r="G26" s="934">
        <v>480</v>
      </c>
    </row>
    <row r="27" spans="1:7" ht="14.25" customHeight="1" thickBot="1">
      <c r="A27" s="1778"/>
      <c r="B27" s="903" t="s">
        <v>602</v>
      </c>
      <c r="C27" s="935">
        <v>120</v>
      </c>
      <c r="D27" s="935">
        <v>168</v>
      </c>
      <c r="E27" s="935">
        <v>192</v>
      </c>
      <c r="F27" s="935">
        <v>288</v>
      </c>
      <c r="G27" s="936">
        <v>480</v>
      </c>
    </row>
    <row r="28" spans="1:7" ht="6" customHeight="1" thickBot="1">
      <c r="A28" s="997"/>
      <c r="B28" s="589"/>
      <c r="C28" s="937"/>
      <c r="D28" s="937"/>
      <c r="E28" s="937"/>
      <c r="F28" s="937"/>
      <c r="G28" s="1000"/>
    </row>
    <row r="29" spans="1:7" ht="12" customHeight="1">
      <c r="A29" s="1776">
        <v>43285</v>
      </c>
      <c r="B29" s="901" t="s">
        <v>611</v>
      </c>
      <c r="C29" s="931">
        <v>120</v>
      </c>
      <c r="D29" s="931">
        <v>168</v>
      </c>
      <c r="E29" s="931" t="s">
        <v>126</v>
      </c>
      <c r="F29" s="931" t="s">
        <v>126</v>
      </c>
      <c r="G29" s="932">
        <v>480</v>
      </c>
    </row>
    <row r="30" spans="1:7" ht="12" customHeight="1">
      <c r="A30" s="1777"/>
      <c r="B30" s="902" t="s">
        <v>612</v>
      </c>
      <c r="C30" s="933">
        <v>120</v>
      </c>
      <c r="D30" s="933">
        <v>168</v>
      </c>
      <c r="E30" s="933">
        <v>192</v>
      </c>
      <c r="F30" s="933">
        <v>288</v>
      </c>
      <c r="G30" s="934">
        <v>480</v>
      </c>
    </row>
    <row r="31" spans="1:7" ht="14.25" customHeight="1" thickBot="1">
      <c r="A31" s="1778"/>
      <c r="B31" s="903" t="s">
        <v>602</v>
      </c>
      <c r="C31" s="935">
        <v>120</v>
      </c>
      <c r="D31" s="935">
        <v>168</v>
      </c>
      <c r="E31" s="935">
        <v>192</v>
      </c>
      <c r="F31" s="935">
        <v>288</v>
      </c>
      <c r="G31" s="936">
        <v>480</v>
      </c>
    </row>
    <row r="32" spans="1:7" ht="6.75" customHeight="1" thickBot="1">
      <c r="A32" s="997"/>
      <c r="B32" s="589"/>
      <c r="C32" s="937"/>
      <c r="D32" s="937"/>
      <c r="E32" s="937"/>
      <c r="F32" s="937"/>
      <c r="G32" s="1000"/>
    </row>
    <row r="33" spans="1:7" ht="12" customHeight="1">
      <c r="A33" s="1776">
        <v>43291</v>
      </c>
      <c r="B33" s="901" t="s">
        <v>611</v>
      </c>
      <c r="C33" s="931">
        <v>120</v>
      </c>
      <c r="D33" s="931">
        <v>168</v>
      </c>
      <c r="E33" s="931" t="s">
        <v>126</v>
      </c>
      <c r="F33" s="931" t="s">
        <v>126</v>
      </c>
      <c r="G33" s="932">
        <v>480</v>
      </c>
    </row>
    <row r="34" spans="1:7" ht="12" customHeight="1">
      <c r="A34" s="1777"/>
      <c r="B34" s="902" t="s">
        <v>612</v>
      </c>
      <c r="C34" s="933">
        <v>120</v>
      </c>
      <c r="D34" s="933">
        <v>168</v>
      </c>
      <c r="E34" s="933">
        <v>192</v>
      </c>
      <c r="F34" s="933">
        <v>288</v>
      </c>
      <c r="G34" s="934">
        <v>480</v>
      </c>
    </row>
    <row r="35" spans="1:7" ht="14.25" customHeight="1" thickBot="1">
      <c r="A35" s="1778"/>
      <c r="B35" s="903" t="s">
        <v>602</v>
      </c>
      <c r="C35" s="935">
        <v>120</v>
      </c>
      <c r="D35" s="935">
        <v>168</v>
      </c>
      <c r="E35" s="935">
        <v>192</v>
      </c>
      <c r="F35" s="935">
        <v>288</v>
      </c>
      <c r="G35" s="936">
        <v>480</v>
      </c>
    </row>
    <row r="36" spans="1:7" ht="6" customHeight="1" thickBot="1">
      <c r="A36" s="997"/>
      <c r="B36" s="589"/>
      <c r="C36" s="937"/>
      <c r="D36" s="937"/>
      <c r="E36" s="937"/>
      <c r="F36" s="937"/>
      <c r="G36" s="1000"/>
    </row>
    <row r="37" spans="1:7" ht="12" customHeight="1">
      <c r="A37" s="1776">
        <v>43298</v>
      </c>
      <c r="B37" s="901" t="s">
        <v>123</v>
      </c>
      <c r="C37" s="931">
        <v>120</v>
      </c>
      <c r="D37" s="931">
        <v>168</v>
      </c>
      <c r="E37" s="931" t="s">
        <v>126</v>
      </c>
      <c r="F37" s="931" t="s">
        <v>126</v>
      </c>
      <c r="G37" s="932">
        <v>480</v>
      </c>
    </row>
    <row r="38" spans="1:7" ht="12" customHeight="1">
      <c r="A38" s="1777"/>
      <c r="B38" s="902" t="s">
        <v>124</v>
      </c>
      <c r="C38" s="933">
        <v>120</v>
      </c>
      <c r="D38" s="933">
        <v>168</v>
      </c>
      <c r="E38" s="933">
        <v>192</v>
      </c>
      <c r="F38" s="933">
        <v>288</v>
      </c>
      <c r="G38" s="934">
        <v>480</v>
      </c>
    </row>
    <row r="39" spans="1:7" ht="14.25" customHeight="1" thickBot="1">
      <c r="A39" s="1778"/>
      <c r="B39" s="903" t="s">
        <v>602</v>
      </c>
      <c r="C39" s="935">
        <v>120</v>
      </c>
      <c r="D39" s="935">
        <v>168</v>
      </c>
      <c r="E39" s="935">
        <v>192</v>
      </c>
      <c r="F39" s="935">
        <v>288</v>
      </c>
      <c r="G39" s="936">
        <v>480</v>
      </c>
    </row>
    <row r="40" spans="1:7" ht="6.75" customHeight="1" thickBot="1">
      <c r="A40" s="997"/>
      <c r="B40" s="589"/>
      <c r="C40" s="937"/>
      <c r="D40" s="937"/>
      <c r="E40" s="937"/>
      <c r="F40" s="937"/>
      <c r="G40" s="1000"/>
    </row>
    <row r="41" spans="1:7" ht="12" customHeight="1">
      <c r="A41" s="1776">
        <v>43305</v>
      </c>
      <c r="B41" s="901" t="s">
        <v>611</v>
      </c>
      <c r="C41" s="931">
        <v>120</v>
      </c>
      <c r="D41" s="931">
        <v>168</v>
      </c>
      <c r="E41" s="931" t="s">
        <v>126</v>
      </c>
      <c r="F41" s="931" t="s">
        <v>126</v>
      </c>
      <c r="G41" s="932">
        <v>480</v>
      </c>
    </row>
    <row r="42" spans="1:7" ht="12" customHeight="1">
      <c r="A42" s="1777"/>
      <c r="B42" s="902" t="s">
        <v>612</v>
      </c>
      <c r="C42" s="933">
        <v>120</v>
      </c>
      <c r="D42" s="933">
        <v>168</v>
      </c>
      <c r="E42" s="933">
        <v>192</v>
      </c>
      <c r="F42" s="933">
        <v>288</v>
      </c>
      <c r="G42" s="934">
        <v>480</v>
      </c>
    </row>
    <row r="43" spans="1:7" ht="14.25" customHeight="1" thickBot="1">
      <c r="A43" s="1778"/>
      <c r="B43" s="903" t="s">
        <v>602</v>
      </c>
      <c r="C43" s="935">
        <v>120</v>
      </c>
      <c r="D43" s="935">
        <v>168</v>
      </c>
      <c r="E43" s="935">
        <v>192</v>
      </c>
      <c r="F43" s="935">
        <v>288</v>
      </c>
      <c r="G43" s="936">
        <v>480</v>
      </c>
    </row>
    <row r="44" spans="1:7" ht="6" customHeight="1" thickBot="1">
      <c r="A44" s="997"/>
      <c r="B44" s="589"/>
      <c r="C44" s="937"/>
      <c r="D44" s="937"/>
      <c r="E44" s="937"/>
      <c r="F44" s="937"/>
      <c r="G44" s="1000"/>
    </row>
    <row r="45" spans="1:7" ht="12" customHeight="1">
      <c r="A45" s="1776">
        <v>43312</v>
      </c>
      <c r="B45" s="901" t="s">
        <v>611</v>
      </c>
      <c r="C45" s="931">
        <v>120</v>
      </c>
      <c r="D45" s="931">
        <v>168</v>
      </c>
      <c r="E45" s="931" t="s">
        <v>126</v>
      </c>
      <c r="F45" s="931" t="s">
        <v>126</v>
      </c>
      <c r="G45" s="932">
        <v>480</v>
      </c>
    </row>
    <row r="46" spans="1:7" ht="12" customHeight="1">
      <c r="A46" s="1777"/>
      <c r="B46" s="902" t="s">
        <v>612</v>
      </c>
      <c r="C46" s="933">
        <v>120</v>
      </c>
      <c r="D46" s="933">
        <v>168</v>
      </c>
      <c r="E46" s="933">
        <v>192</v>
      </c>
      <c r="F46" s="933">
        <v>288</v>
      </c>
      <c r="G46" s="934">
        <v>480</v>
      </c>
    </row>
    <row r="47" spans="1:7" ht="14.25" customHeight="1" thickBot="1">
      <c r="A47" s="1778"/>
      <c r="B47" s="903" t="s">
        <v>602</v>
      </c>
      <c r="C47" s="935">
        <v>120</v>
      </c>
      <c r="D47" s="935">
        <v>168</v>
      </c>
      <c r="E47" s="935">
        <v>192</v>
      </c>
      <c r="F47" s="935">
        <v>288</v>
      </c>
      <c r="G47" s="936">
        <v>480</v>
      </c>
    </row>
    <row r="48" spans="1:7" ht="6.75" customHeight="1" thickBot="1">
      <c r="A48" s="999"/>
      <c r="B48" s="581"/>
      <c r="C48" s="1012"/>
      <c r="D48" s="1012"/>
      <c r="E48" s="1012"/>
      <c r="F48" s="1012"/>
      <c r="G48" s="1013"/>
    </row>
    <row r="49" spans="1:7" ht="12" customHeight="1">
      <c r="A49" s="1776">
        <v>43318</v>
      </c>
      <c r="B49" s="901" t="s">
        <v>611</v>
      </c>
      <c r="C49" s="931">
        <v>120</v>
      </c>
      <c r="D49" s="931">
        <v>168</v>
      </c>
      <c r="E49" s="931" t="s">
        <v>126</v>
      </c>
      <c r="F49" s="931" t="s">
        <v>126</v>
      </c>
      <c r="G49" s="932">
        <v>480</v>
      </c>
    </row>
    <row r="50" spans="1:7" ht="12" customHeight="1">
      <c r="A50" s="1777"/>
      <c r="B50" s="902" t="s">
        <v>612</v>
      </c>
      <c r="C50" s="933">
        <v>120</v>
      </c>
      <c r="D50" s="933">
        <v>168</v>
      </c>
      <c r="E50" s="933">
        <v>192</v>
      </c>
      <c r="F50" s="933">
        <v>288</v>
      </c>
      <c r="G50" s="934">
        <v>480</v>
      </c>
    </row>
    <row r="51" spans="1:7" ht="14.25" customHeight="1" thickBot="1">
      <c r="A51" s="1778"/>
      <c r="B51" s="903" t="s">
        <v>602</v>
      </c>
      <c r="C51" s="935">
        <v>120</v>
      </c>
      <c r="D51" s="935">
        <v>168</v>
      </c>
      <c r="E51" s="935">
        <v>192</v>
      </c>
      <c r="F51" s="935">
        <v>288</v>
      </c>
      <c r="G51" s="936">
        <v>480</v>
      </c>
    </row>
    <row r="52" spans="1:7" ht="6" customHeight="1" thickBot="1">
      <c r="A52" s="997"/>
      <c r="B52" s="589"/>
      <c r="C52" s="937"/>
      <c r="D52" s="937"/>
      <c r="E52" s="937"/>
      <c r="F52" s="937"/>
      <c r="G52" s="1000"/>
    </row>
    <row r="53" spans="1:7" ht="12" customHeight="1">
      <c r="A53" s="1776">
        <v>43326</v>
      </c>
      <c r="B53" s="901" t="s">
        <v>611</v>
      </c>
      <c r="C53" s="931">
        <v>120</v>
      </c>
      <c r="D53" s="931">
        <v>168</v>
      </c>
      <c r="E53" s="931" t="s">
        <v>126</v>
      </c>
      <c r="F53" s="931" t="s">
        <v>126</v>
      </c>
      <c r="G53" s="932">
        <v>480</v>
      </c>
    </row>
    <row r="54" spans="1:7" ht="12" customHeight="1">
      <c r="A54" s="1777"/>
      <c r="B54" s="902" t="s">
        <v>612</v>
      </c>
      <c r="C54" s="933">
        <v>120</v>
      </c>
      <c r="D54" s="933">
        <v>168</v>
      </c>
      <c r="E54" s="933">
        <v>192</v>
      </c>
      <c r="F54" s="933">
        <v>288</v>
      </c>
      <c r="G54" s="934">
        <v>480</v>
      </c>
    </row>
    <row r="55" spans="1:7" ht="14.25" customHeight="1" thickBot="1">
      <c r="A55" s="1778"/>
      <c r="B55" s="903" t="s">
        <v>602</v>
      </c>
      <c r="C55" s="935">
        <v>120</v>
      </c>
      <c r="D55" s="935">
        <v>168</v>
      </c>
      <c r="E55" s="935">
        <v>192</v>
      </c>
      <c r="F55" s="935">
        <v>288</v>
      </c>
      <c r="G55" s="936">
        <v>480</v>
      </c>
    </row>
    <row r="56" spans="1:7" ht="6.75" customHeight="1" thickBot="1">
      <c r="A56" s="997"/>
      <c r="B56" s="589"/>
      <c r="C56" s="937"/>
      <c r="D56" s="937"/>
      <c r="E56" s="937"/>
      <c r="F56" s="937"/>
      <c r="G56" s="1000"/>
    </row>
    <row r="57" spans="1:7" ht="12" customHeight="1">
      <c r="A57" s="1776">
        <v>43333</v>
      </c>
      <c r="B57" s="901" t="s">
        <v>611</v>
      </c>
      <c r="C57" s="931">
        <v>120</v>
      </c>
      <c r="D57" s="931">
        <v>168</v>
      </c>
      <c r="E57" s="931" t="s">
        <v>126</v>
      </c>
      <c r="F57" s="931" t="s">
        <v>126</v>
      </c>
      <c r="G57" s="932">
        <v>480</v>
      </c>
    </row>
    <row r="58" spans="1:7" ht="12" customHeight="1">
      <c r="A58" s="1777"/>
      <c r="B58" s="902" t="s">
        <v>612</v>
      </c>
      <c r="C58" s="933">
        <v>120</v>
      </c>
      <c r="D58" s="933">
        <v>168</v>
      </c>
      <c r="E58" s="933">
        <v>192</v>
      </c>
      <c r="F58" s="933">
        <v>288</v>
      </c>
      <c r="G58" s="934">
        <v>480</v>
      </c>
    </row>
    <row r="59" spans="1:7" ht="14.25" customHeight="1" thickBot="1">
      <c r="A59" s="1778"/>
      <c r="B59" s="903" t="s">
        <v>602</v>
      </c>
      <c r="C59" s="935">
        <v>120</v>
      </c>
      <c r="D59" s="935">
        <v>168</v>
      </c>
      <c r="E59" s="935">
        <v>192</v>
      </c>
      <c r="F59" s="935">
        <v>288</v>
      </c>
      <c r="G59" s="936">
        <v>480</v>
      </c>
    </row>
    <row r="60" spans="1:7" ht="4.5" customHeight="1" thickBot="1">
      <c r="A60" s="997"/>
      <c r="B60" s="589"/>
      <c r="C60" s="937"/>
      <c r="D60" s="937"/>
      <c r="E60" s="937"/>
      <c r="F60" s="937"/>
      <c r="G60" s="1000"/>
    </row>
    <row r="61" spans="1:7" ht="12" customHeight="1">
      <c r="A61" s="1776">
        <v>43339</v>
      </c>
      <c r="B61" s="901" t="s">
        <v>611</v>
      </c>
      <c r="C61" s="931">
        <v>120</v>
      </c>
      <c r="D61" s="931">
        <v>168</v>
      </c>
      <c r="E61" s="931" t="s">
        <v>126</v>
      </c>
      <c r="F61" s="931" t="s">
        <v>126</v>
      </c>
      <c r="G61" s="932">
        <v>480</v>
      </c>
    </row>
    <row r="62" spans="1:7" ht="12" customHeight="1">
      <c r="A62" s="1777"/>
      <c r="B62" s="902" t="s">
        <v>612</v>
      </c>
      <c r="C62" s="933">
        <v>120</v>
      </c>
      <c r="D62" s="933">
        <v>168</v>
      </c>
      <c r="E62" s="933">
        <v>192</v>
      </c>
      <c r="F62" s="933">
        <v>288</v>
      </c>
      <c r="G62" s="934">
        <v>480</v>
      </c>
    </row>
    <row r="63" spans="1:7" ht="14.25" customHeight="1" thickBot="1">
      <c r="A63" s="1778"/>
      <c r="B63" s="903" t="s">
        <v>602</v>
      </c>
      <c r="C63" s="935">
        <v>120</v>
      </c>
      <c r="D63" s="935">
        <v>168</v>
      </c>
      <c r="E63" s="935">
        <v>192</v>
      </c>
      <c r="F63" s="935">
        <v>288</v>
      </c>
      <c r="G63" s="936">
        <v>480</v>
      </c>
    </row>
    <row r="64" spans="1:7" ht="5.25" customHeight="1" thickBot="1">
      <c r="A64" s="997"/>
      <c r="B64" s="589"/>
      <c r="C64" s="937"/>
      <c r="D64" s="937"/>
      <c r="E64" s="937"/>
      <c r="F64" s="937"/>
      <c r="G64" s="1000"/>
    </row>
    <row r="65" spans="1:7" ht="14.25" customHeight="1">
      <c r="A65" s="1776">
        <v>43346</v>
      </c>
      <c r="B65" s="901" t="s">
        <v>611</v>
      </c>
      <c r="C65" s="931">
        <v>120</v>
      </c>
      <c r="D65" s="931">
        <v>168</v>
      </c>
      <c r="E65" s="931" t="s">
        <v>126</v>
      </c>
      <c r="F65" s="931" t="s">
        <v>126</v>
      </c>
      <c r="G65" s="932">
        <v>480</v>
      </c>
    </row>
    <row r="66" spans="1:7" ht="14.25" customHeight="1">
      <c r="A66" s="1777"/>
      <c r="B66" s="902" t="s">
        <v>612</v>
      </c>
      <c r="C66" s="933">
        <v>120</v>
      </c>
      <c r="D66" s="933">
        <v>168</v>
      </c>
      <c r="E66" s="933">
        <v>192</v>
      </c>
      <c r="F66" s="933">
        <v>288</v>
      </c>
      <c r="G66" s="934">
        <v>480</v>
      </c>
    </row>
    <row r="67" spans="1:7" ht="14.25" customHeight="1" thickBot="1">
      <c r="A67" s="1778"/>
      <c r="B67" s="903" t="s">
        <v>602</v>
      </c>
      <c r="C67" s="935">
        <v>120</v>
      </c>
      <c r="D67" s="935">
        <v>168</v>
      </c>
      <c r="E67" s="935">
        <v>192</v>
      </c>
      <c r="F67" s="935">
        <v>288</v>
      </c>
      <c r="G67" s="936">
        <v>480</v>
      </c>
    </row>
    <row r="68" spans="1:7" ht="7.5" customHeight="1" thickBot="1">
      <c r="A68" s="997"/>
      <c r="B68" s="589"/>
      <c r="C68" s="937"/>
      <c r="D68" s="937"/>
      <c r="E68" s="937"/>
      <c r="F68" s="937"/>
      <c r="G68" s="1000"/>
    </row>
    <row r="69" spans="1:7" ht="14.25" customHeight="1">
      <c r="A69" s="1776">
        <v>43354</v>
      </c>
      <c r="B69" s="901" t="s">
        <v>611</v>
      </c>
      <c r="C69" s="931">
        <v>120</v>
      </c>
      <c r="D69" s="931">
        <v>168</v>
      </c>
      <c r="E69" s="931" t="s">
        <v>126</v>
      </c>
      <c r="F69" s="931" t="s">
        <v>126</v>
      </c>
      <c r="G69" s="932">
        <v>480</v>
      </c>
    </row>
    <row r="70" spans="1:7" ht="14.25" customHeight="1">
      <c r="A70" s="1777"/>
      <c r="B70" s="902" t="s">
        <v>612</v>
      </c>
      <c r="C70" s="933">
        <v>120</v>
      </c>
      <c r="D70" s="933">
        <v>168</v>
      </c>
      <c r="E70" s="933">
        <v>192</v>
      </c>
      <c r="F70" s="933">
        <v>288</v>
      </c>
      <c r="G70" s="934">
        <v>480</v>
      </c>
    </row>
    <row r="71" spans="1:7" ht="14.25" customHeight="1" thickBot="1">
      <c r="A71" s="1778"/>
      <c r="B71" s="903" t="s">
        <v>602</v>
      </c>
      <c r="C71" s="935">
        <v>120</v>
      </c>
      <c r="D71" s="935">
        <v>168</v>
      </c>
      <c r="E71" s="935">
        <v>192</v>
      </c>
      <c r="F71" s="935">
        <v>288</v>
      </c>
      <c r="G71" s="936">
        <v>480</v>
      </c>
    </row>
    <row r="72" spans="1:7" ht="4.5" customHeight="1" thickBot="1">
      <c r="A72" s="997"/>
      <c r="B72" s="589"/>
      <c r="C72" s="937"/>
      <c r="D72" s="937"/>
      <c r="E72" s="937"/>
      <c r="F72" s="937"/>
      <c r="G72" s="1000"/>
    </row>
    <row r="73" spans="1:7" ht="14.25" customHeight="1">
      <c r="A73" s="1776">
        <v>43361</v>
      </c>
      <c r="B73" s="901" t="s">
        <v>611</v>
      </c>
      <c r="C73" s="931">
        <v>120</v>
      </c>
      <c r="D73" s="931">
        <v>168</v>
      </c>
      <c r="E73" s="931" t="s">
        <v>126</v>
      </c>
      <c r="F73" s="931" t="s">
        <v>126</v>
      </c>
      <c r="G73" s="932">
        <v>480</v>
      </c>
    </row>
    <row r="74" spans="1:7" ht="14.25" customHeight="1">
      <c r="A74" s="1777"/>
      <c r="B74" s="902" t="s">
        <v>612</v>
      </c>
      <c r="C74" s="933">
        <v>120</v>
      </c>
      <c r="D74" s="933">
        <v>168</v>
      </c>
      <c r="E74" s="933">
        <v>192</v>
      </c>
      <c r="F74" s="933">
        <v>288</v>
      </c>
      <c r="G74" s="934">
        <v>480</v>
      </c>
    </row>
    <row r="75" spans="1:7" ht="14.25" customHeight="1" thickBot="1">
      <c r="A75" s="1778"/>
      <c r="B75" s="903" t="s">
        <v>602</v>
      </c>
      <c r="C75" s="935">
        <v>120</v>
      </c>
      <c r="D75" s="935">
        <v>168</v>
      </c>
      <c r="E75" s="935">
        <v>192</v>
      </c>
      <c r="F75" s="935">
        <v>288</v>
      </c>
      <c r="G75" s="936">
        <v>480</v>
      </c>
    </row>
    <row r="76" spans="1:7" ht="8.25" customHeight="1" thickBot="1">
      <c r="A76" s="579"/>
      <c r="B76" s="589"/>
      <c r="C76" s="937"/>
      <c r="D76" s="937"/>
      <c r="E76" s="937"/>
      <c r="F76" s="937"/>
      <c r="G76" s="937"/>
    </row>
    <row r="77" spans="1:7" ht="14.25" customHeight="1">
      <c r="A77" s="1776">
        <v>43370</v>
      </c>
      <c r="B77" s="901" t="s">
        <v>611</v>
      </c>
      <c r="C77" s="931">
        <v>120</v>
      </c>
      <c r="D77" s="931">
        <v>168</v>
      </c>
      <c r="E77" s="931" t="s">
        <v>126</v>
      </c>
      <c r="F77" s="931" t="s">
        <v>126</v>
      </c>
      <c r="G77" s="932">
        <v>480</v>
      </c>
    </row>
    <row r="78" spans="1:7" ht="14.25" customHeight="1">
      <c r="A78" s="1777"/>
      <c r="B78" s="902" t="s">
        <v>612</v>
      </c>
      <c r="C78" s="933">
        <v>120</v>
      </c>
      <c r="D78" s="933">
        <v>168</v>
      </c>
      <c r="E78" s="933">
        <v>192</v>
      </c>
      <c r="F78" s="933">
        <v>288</v>
      </c>
      <c r="G78" s="934">
        <v>480</v>
      </c>
    </row>
    <row r="79" spans="1:7" ht="14.25" customHeight="1" thickBot="1">
      <c r="A79" s="1778"/>
      <c r="B79" s="903" t="s">
        <v>602</v>
      </c>
      <c r="C79" s="935">
        <v>120</v>
      </c>
      <c r="D79" s="935">
        <v>168</v>
      </c>
      <c r="E79" s="935">
        <v>192</v>
      </c>
      <c r="F79" s="935">
        <v>288</v>
      </c>
      <c r="G79" s="936">
        <v>480</v>
      </c>
    </row>
    <row r="80" spans="1:7" ht="6.75" customHeight="1" thickBot="1">
      <c r="A80" s="997"/>
      <c r="B80" s="589"/>
      <c r="C80" s="937"/>
      <c r="D80" s="937"/>
      <c r="E80" s="937"/>
      <c r="F80" s="937"/>
      <c r="G80" s="1000"/>
    </row>
    <row r="81" spans="1:7" ht="14.25" customHeight="1">
      <c r="A81" s="1776">
        <v>43376</v>
      </c>
      <c r="B81" s="901" t="s">
        <v>611</v>
      </c>
      <c r="C81" s="931">
        <v>128</v>
      </c>
      <c r="D81" s="931">
        <v>180</v>
      </c>
      <c r="E81" s="931" t="s">
        <v>126</v>
      </c>
      <c r="F81" s="931" t="s">
        <v>126</v>
      </c>
      <c r="G81" s="932">
        <v>512</v>
      </c>
    </row>
    <row r="82" spans="1:7" ht="14.25" customHeight="1">
      <c r="A82" s="1777"/>
      <c r="B82" s="902" t="s">
        <v>612</v>
      </c>
      <c r="C82" s="933">
        <v>128</v>
      </c>
      <c r="D82" s="933">
        <v>180</v>
      </c>
      <c r="E82" s="933">
        <v>205</v>
      </c>
      <c r="F82" s="933">
        <v>308</v>
      </c>
      <c r="G82" s="934">
        <v>512</v>
      </c>
    </row>
    <row r="83" spans="1:7" ht="14.25" customHeight="1" thickBot="1">
      <c r="A83" s="1778"/>
      <c r="B83" s="903" t="s">
        <v>602</v>
      </c>
      <c r="C83" s="935">
        <v>128</v>
      </c>
      <c r="D83" s="935">
        <v>180</v>
      </c>
      <c r="E83" s="935">
        <v>205</v>
      </c>
      <c r="F83" s="935">
        <v>308</v>
      </c>
      <c r="G83" s="936">
        <v>512</v>
      </c>
    </row>
    <row r="84" spans="1:7" ht="5.25" customHeight="1" thickBot="1">
      <c r="A84" s="997"/>
      <c r="B84" s="589"/>
      <c r="C84" s="937"/>
      <c r="D84" s="937"/>
      <c r="E84" s="937"/>
      <c r="F84" s="937"/>
      <c r="G84" s="1000"/>
    </row>
    <row r="85" spans="1:7" ht="14.25" customHeight="1">
      <c r="A85" s="1776">
        <v>43382</v>
      </c>
      <c r="B85" s="901" t="s">
        <v>611</v>
      </c>
      <c r="C85" s="931">
        <v>128</v>
      </c>
      <c r="D85" s="931">
        <v>180</v>
      </c>
      <c r="E85" s="931" t="s">
        <v>126</v>
      </c>
      <c r="F85" s="931" t="s">
        <v>126</v>
      </c>
      <c r="G85" s="932">
        <v>512</v>
      </c>
    </row>
    <row r="86" spans="1:7" ht="14.25" customHeight="1">
      <c r="A86" s="1777"/>
      <c r="B86" s="902" t="s">
        <v>612</v>
      </c>
      <c r="C86" s="933">
        <v>128</v>
      </c>
      <c r="D86" s="933">
        <v>180</v>
      </c>
      <c r="E86" s="933">
        <v>205</v>
      </c>
      <c r="F86" s="933">
        <v>308</v>
      </c>
      <c r="G86" s="934">
        <v>512</v>
      </c>
    </row>
    <row r="87" spans="1:7" ht="14.25" customHeight="1" thickBot="1">
      <c r="A87" s="1778"/>
      <c r="B87" s="903" t="s">
        <v>602</v>
      </c>
      <c r="C87" s="935">
        <v>128</v>
      </c>
      <c r="D87" s="935">
        <v>180</v>
      </c>
      <c r="E87" s="935">
        <v>205</v>
      </c>
      <c r="F87" s="935">
        <v>308</v>
      </c>
      <c r="G87" s="936">
        <v>512</v>
      </c>
    </row>
    <row r="88" spans="1:7" ht="5.25" customHeight="1" thickBot="1">
      <c r="A88" s="997"/>
      <c r="B88" s="589"/>
      <c r="C88" s="937"/>
      <c r="D88" s="937"/>
      <c r="E88" s="937"/>
      <c r="F88" s="937"/>
      <c r="G88" s="1000"/>
    </row>
    <row r="89" spans="1:7" ht="14.25" customHeight="1">
      <c r="A89" s="1776">
        <v>43389</v>
      </c>
      <c r="B89" s="901" t="s">
        <v>611</v>
      </c>
      <c r="C89" s="931">
        <v>128</v>
      </c>
      <c r="D89" s="931">
        <v>180</v>
      </c>
      <c r="E89" s="931" t="s">
        <v>126</v>
      </c>
      <c r="F89" s="931" t="s">
        <v>126</v>
      </c>
      <c r="G89" s="932">
        <v>512</v>
      </c>
    </row>
    <row r="90" spans="1:7" ht="14.25" customHeight="1">
      <c r="A90" s="1777"/>
      <c r="B90" s="902" t="s">
        <v>612</v>
      </c>
      <c r="C90" s="933">
        <v>128</v>
      </c>
      <c r="D90" s="933">
        <v>180</v>
      </c>
      <c r="E90" s="933">
        <v>205</v>
      </c>
      <c r="F90" s="933">
        <v>308</v>
      </c>
      <c r="G90" s="934">
        <v>512</v>
      </c>
    </row>
    <row r="91" spans="1:7" ht="14.25" customHeight="1" thickBot="1">
      <c r="A91" s="1778"/>
      <c r="B91" s="903" t="s">
        <v>602</v>
      </c>
      <c r="C91" s="935">
        <v>128</v>
      </c>
      <c r="D91" s="935">
        <v>180</v>
      </c>
      <c r="E91" s="935">
        <v>205</v>
      </c>
      <c r="F91" s="935">
        <v>308</v>
      </c>
      <c r="G91" s="936">
        <v>512</v>
      </c>
    </row>
    <row r="92" spans="1:7" ht="6" customHeight="1" thickBot="1">
      <c r="A92" s="997"/>
      <c r="B92" s="589"/>
      <c r="C92" s="937"/>
      <c r="D92" s="937"/>
      <c r="E92" s="937"/>
      <c r="F92" s="937"/>
      <c r="G92" s="1000"/>
    </row>
    <row r="93" spans="1:7" ht="14.25" customHeight="1">
      <c r="A93" s="1776">
        <v>43397</v>
      </c>
      <c r="B93" s="901" t="s">
        <v>611</v>
      </c>
      <c r="C93" s="931">
        <v>128</v>
      </c>
      <c r="D93" s="931">
        <v>180</v>
      </c>
      <c r="E93" s="931" t="s">
        <v>126</v>
      </c>
      <c r="F93" s="931" t="s">
        <v>126</v>
      </c>
      <c r="G93" s="932">
        <v>512</v>
      </c>
    </row>
    <row r="94" spans="1:7" ht="14.25" customHeight="1">
      <c r="A94" s="1777"/>
      <c r="B94" s="902" t="s">
        <v>612</v>
      </c>
      <c r="C94" s="933">
        <v>128</v>
      </c>
      <c r="D94" s="933">
        <v>180</v>
      </c>
      <c r="E94" s="933">
        <v>205</v>
      </c>
      <c r="F94" s="933">
        <v>308</v>
      </c>
      <c r="G94" s="934">
        <v>512</v>
      </c>
    </row>
    <row r="95" spans="1:7" ht="14.25" customHeight="1" thickBot="1">
      <c r="A95" s="1778"/>
      <c r="B95" s="903" t="s">
        <v>602</v>
      </c>
      <c r="C95" s="935">
        <v>128</v>
      </c>
      <c r="D95" s="935">
        <v>180</v>
      </c>
      <c r="E95" s="935">
        <v>205</v>
      </c>
      <c r="F95" s="935">
        <v>308</v>
      </c>
      <c r="G95" s="936">
        <v>512</v>
      </c>
    </row>
    <row r="96" spans="1:7" ht="5.25" customHeight="1" thickBot="1">
      <c r="A96" s="997"/>
      <c r="B96" s="589"/>
      <c r="C96" s="937"/>
      <c r="D96" s="937"/>
      <c r="E96" s="937"/>
      <c r="F96" s="937"/>
      <c r="G96" s="1000"/>
    </row>
    <row r="97" spans="1:7" ht="14.25" customHeight="1">
      <c r="A97" s="1776">
        <v>43409</v>
      </c>
      <c r="B97" s="901" t="s">
        <v>611</v>
      </c>
      <c r="C97" s="931">
        <v>128</v>
      </c>
      <c r="D97" s="931">
        <v>180</v>
      </c>
      <c r="E97" s="931" t="s">
        <v>126</v>
      </c>
      <c r="F97" s="931" t="s">
        <v>126</v>
      </c>
      <c r="G97" s="932">
        <v>512</v>
      </c>
    </row>
    <row r="98" spans="1:7" ht="14.25" customHeight="1">
      <c r="A98" s="1777"/>
      <c r="B98" s="902" t="s">
        <v>612</v>
      </c>
      <c r="C98" s="933">
        <v>128</v>
      </c>
      <c r="D98" s="933">
        <v>180</v>
      </c>
      <c r="E98" s="933">
        <v>205</v>
      </c>
      <c r="F98" s="933">
        <v>308</v>
      </c>
      <c r="G98" s="934">
        <v>512</v>
      </c>
    </row>
    <row r="99" spans="1:7" ht="14.25" customHeight="1" thickBot="1">
      <c r="A99" s="1778"/>
      <c r="B99" s="903" t="s">
        <v>602</v>
      </c>
      <c r="C99" s="935">
        <v>128</v>
      </c>
      <c r="D99" s="935">
        <v>180</v>
      </c>
      <c r="E99" s="935">
        <v>205</v>
      </c>
      <c r="F99" s="935">
        <v>308</v>
      </c>
      <c r="G99" s="936">
        <v>512</v>
      </c>
    </row>
    <row r="100" spans="1:7" ht="6" customHeight="1" thickBot="1">
      <c r="A100" s="997"/>
      <c r="B100" s="589"/>
      <c r="C100" s="937"/>
      <c r="D100" s="937"/>
      <c r="E100" s="937"/>
      <c r="F100" s="937"/>
      <c r="G100" s="1000"/>
    </row>
    <row r="101" spans="1:7" ht="13.5" customHeight="1">
      <c r="A101" s="1776">
        <v>43417</v>
      </c>
      <c r="B101" s="901" t="s">
        <v>611</v>
      </c>
      <c r="C101" s="931">
        <v>128</v>
      </c>
      <c r="D101" s="931">
        <v>180</v>
      </c>
      <c r="E101" s="931" t="s">
        <v>126</v>
      </c>
      <c r="F101" s="931" t="s">
        <v>126</v>
      </c>
      <c r="G101" s="932">
        <v>512</v>
      </c>
    </row>
    <row r="102" spans="1:7" ht="9.75" customHeight="1">
      <c r="A102" s="1777"/>
      <c r="B102" s="902" t="s">
        <v>612</v>
      </c>
      <c r="C102" s="933">
        <v>128</v>
      </c>
      <c r="D102" s="933">
        <v>180</v>
      </c>
      <c r="E102" s="933">
        <v>205</v>
      </c>
      <c r="F102" s="933">
        <v>308</v>
      </c>
      <c r="G102" s="934">
        <v>512</v>
      </c>
    </row>
    <row r="103" spans="1:7" ht="14.25" customHeight="1" thickBot="1">
      <c r="A103" s="1778"/>
      <c r="B103" s="903" t="s">
        <v>602</v>
      </c>
      <c r="C103" s="935">
        <v>128</v>
      </c>
      <c r="D103" s="935">
        <v>180</v>
      </c>
      <c r="E103" s="935">
        <v>205</v>
      </c>
      <c r="F103" s="935">
        <v>308</v>
      </c>
      <c r="G103" s="936">
        <v>512</v>
      </c>
    </row>
    <row r="104" spans="1:7" ht="6" customHeight="1" thickBot="1">
      <c r="A104" s="997"/>
      <c r="B104" s="589"/>
      <c r="C104" s="937"/>
      <c r="D104" s="937"/>
      <c r="E104" s="937"/>
      <c r="F104" s="937"/>
      <c r="G104" s="1000"/>
    </row>
    <row r="105" spans="1:7" ht="12" customHeight="1">
      <c r="A105" s="1776">
        <v>43424</v>
      </c>
      <c r="B105" s="901" t="s">
        <v>611</v>
      </c>
      <c r="C105" s="931">
        <v>128</v>
      </c>
      <c r="D105" s="931">
        <v>180</v>
      </c>
      <c r="E105" s="931" t="s">
        <v>126</v>
      </c>
      <c r="F105" s="931" t="s">
        <v>126</v>
      </c>
      <c r="G105" s="932">
        <v>512</v>
      </c>
    </row>
    <row r="106" spans="1:7" ht="12" customHeight="1">
      <c r="A106" s="1777"/>
      <c r="B106" s="902" t="s">
        <v>612</v>
      </c>
      <c r="C106" s="933">
        <v>128</v>
      </c>
      <c r="D106" s="933">
        <v>180</v>
      </c>
      <c r="E106" s="933">
        <v>205</v>
      </c>
      <c r="F106" s="933">
        <v>308</v>
      </c>
      <c r="G106" s="934">
        <v>512</v>
      </c>
    </row>
    <row r="107" spans="1:7" ht="12.75" customHeight="1" thickBot="1">
      <c r="A107" s="1778"/>
      <c r="B107" s="903" t="s">
        <v>602</v>
      </c>
      <c r="C107" s="935">
        <v>128</v>
      </c>
      <c r="D107" s="935">
        <v>180</v>
      </c>
      <c r="E107" s="935">
        <v>205</v>
      </c>
      <c r="F107" s="935">
        <v>308</v>
      </c>
      <c r="G107" s="936">
        <v>512</v>
      </c>
    </row>
    <row r="108" spans="1:7" ht="5.25" customHeight="1" thickBot="1">
      <c r="A108" s="997"/>
      <c r="B108" s="589"/>
      <c r="C108" s="937"/>
      <c r="D108" s="937"/>
      <c r="E108" s="937"/>
      <c r="F108" s="937"/>
      <c r="G108" s="1000"/>
    </row>
    <row r="109" spans="1:7" ht="14.25" customHeight="1">
      <c r="A109" s="1776">
        <v>43431</v>
      </c>
      <c r="B109" s="901" t="s">
        <v>611</v>
      </c>
      <c r="C109" s="931">
        <v>123</v>
      </c>
      <c r="D109" s="931">
        <v>173</v>
      </c>
      <c r="E109" s="931" t="s">
        <v>126</v>
      </c>
      <c r="F109" s="931" t="s">
        <v>126</v>
      </c>
      <c r="G109" s="932">
        <v>492</v>
      </c>
    </row>
    <row r="110" spans="1:7" ht="12.75" customHeight="1">
      <c r="A110" s="1777"/>
      <c r="B110" s="902" t="s">
        <v>612</v>
      </c>
      <c r="C110" s="933">
        <v>123</v>
      </c>
      <c r="D110" s="933">
        <v>173</v>
      </c>
      <c r="E110" s="933">
        <v>197</v>
      </c>
      <c r="F110" s="933">
        <v>295</v>
      </c>
      <c r="G110" s="934">
        <v>492</v>
      </c>
    </row>
    <row r="111" spans="1:7" ht="12" customHeight="1" thickBot="1">
      <c r="A111" s="1778"/>
      <c r="B111" s="903" t="s">
        <v>602</v>
      </c>
      <c r="C111" s="935">
        <v>123</v>
      </c>
      <c r="D111" s="935">
        <v>173</v>
      </c>
      <c r="E111" s="935">
        <v>197</v>
      </c>
      <c r="F111" s="935">
        <v>295</v>
      </c>
      <c r="G111" s="936">
        <v>492</v>
      </c>
    </row>
    <row r="112" spans="1:7" ht="6" customHeight="1" thickBot="1">
      <c r="A112" s="997"/>
      <c r="B112" s="589"/>
      <c r="C112" s="937"/>
      <c r="D112" s="937"/>
      <c r="E112" s="937"/>
      <c r="F112" s="937"/>
      <c r="G112" s="1000"/>
    </row>
    <row r="113" spans="1:9" ht="12" customHeight="1">
      <c r="A113" s="1776">
        <v>43438</v>
      </c>
      <c r="B113" s="901" t="s">
        <v>611</v>
      </c>
      <c r="C113" s="931">
        <v>123</v>
      </c>
      <c r="D113" s="931">
        <v>173</v>
      </c>
      <c r="E113" s="931" t="s">
        <v>126</v>
      </c>
      <c r="F113" s="931" t="s">
        <v>126</v>
      </c>
      <c r="G113" s="932">
        <v>492</v>
      </c>
      <c r="H113" s="564"/>
      <c r="I113" s="564"/>
    </row>
    <row r="114" spans="1:9" ht="12" customHeight="1">
      <c r="A114" s="1777"/>
      <c r="B114" s="902" t="s">
        <v>612</v>
      </c>
      <c r="C114" s="933">
        <v>123</v>
      </c>
      <c r="D114" s="933">
        <v>173</v>
      </c>
      <c r="E114" s="933">
        <v>197</v>
      </c>
      <c r="F114" s="933">
        <v>295</v>
      </c>
      <c r="G114" s="934">
        <v>492</v>
      </c>
      <c r="H114" s="564"/>
      <c r="I114" s="564"/>
    </row>
    <row r="115" spans="1:9" ht="12" customHeight="1" thickBot="1">
      <c r="A115" s="1778"/>
      <c r="B115" s="903" t="s">
        <v>602</v>
      </c>
      <c r="C115" s="935">
        <v>123</v>
      </c>
      <c r="D115" s="935">
        <v>173</v>
      </c>
      <c r="E115" s="935">
        <v>197</v>
      </c>
      <c r="F115" s="935">
        <v>295</v>
      </c>
      <c r="G115" s="936">
        <v>492</v>
      </c>
      <c r="H115" s="564"/>
      <c r="I115" s="564"/>
    </row>
    <row r="116" spans="1:9" ht="4.5" customHeight="1" thickBot="1">
      <c r="A116" s="997"/>
      <c r="B116" s="589"/>
      <c r="C116" s="937"/>
      <c r="D116" s="937"/>
      <c r="E116" s="937"/>
      <c r="F116" s="937"/>
      <c r="G116" s="1000"/>
      <c r="H116" s="564"/>
      <c r="I116" s="564"/>
    </row>
    <row r="117" spans="1:9" ht="12" customHeight="1">
      <c r="A117" s="1776">
        <v>43445</v>
      </c>
      <c r="B117" s="901" t="s">
        <v>611</v>
      </c>
      <c r="C117" s="931">
        <v>123</v>
      </c>
      <c r="D117" s="931">
        <v>173</v>
      </c>
      <c r="E117" s="931" t="s">
        <v>126</v>
      </c>
      <c r="F117" s="931" t="s">
        <v>126</v>
      </c>
      <c r="G117" s="932">
        <v>492</v>
      </c>
      <c r="H117" s="564"/>
      <c r="I117" s="564"/>
    </row>
    <row r="118" spans="1:9" ht="12" customHeight="1">
      <c r="A118" s="1777"/>
      <c r="B118" s="902" t="s">
        <v>612</v>
      </c>
      <c r="C118" s="933">
        <v>123</v>
      </c>
      <c r="D118" s="933">
        <v>173</v>
      </c>
      <c r="E118" s="933">
        <v>197</v>
      </c>
      <c r="F118" s="933">
        <v>295</v>
      </c>
      <c r="G118" s="934">
        <v>492</v>
      </c>
      <c r="H118" s="564"/>
      <c r="I118" s="564"/>
    </row>
    <row r="119" spans="1:9" ht="12" customHeight="1" thickBot="1">
      <c r="A119" s="1778"/>
      <c r="B119" s="903" t="s">
        <v>602</v>
      </c>
      <c r="C119" s="935">
        <v>123</v>
      </c>
      <c r="D119" s="935">
        <v>173</v>
      </c>
      <c r="E119" s="935">
        <v>197</v>
      </c>
      <c r="F119" s="935">
        <v>295</v>
      </c>
      <c r="G119" s="936">
        <v>492</v>
      </c>
      <c r="H119" s="564"/>
      <c r="I119" s="564"/>
    </row>
    <row r="120" spans="1:9" ht="5.25" customHeight="1" thickBot="1">
      <c r="A120" s="997"/>
      <c r="B120" s="589"/>
      <c r="C120" s="937"/>
      <c r="D120" s="937"/>
      <c r="E120" s="937"/>
      <c r="F120" s="937"/>
      <c r="G120" s="1000"/>
      <c r="H120" s="564"/>
      <c r="I120" s="564"/>
    </row>
    <row r="121" spans="1:9" ht="11.25" customHeight="1">
      <c r="A121" s="1776">
        <v>43452</v>
      </c>
      <c r="B121" s="901" t="s">
        <v>611</v>
      </c>
      <c r="C121" s="931">
        <v>123</v>
      </c>
      <c r="D121" s="931">
        <v>173</v>
      </c>
      <c r="E121" s="931" t="s">
        <v>126</v>
      </c>
      <c r="F121" s="931" t="s">
        <v>126</v>
      </c>
      <c r="G121" s="932">
        <v>492</v>
      </c>
      <c r="H121" s="564"/>
      <c r="I121" s="564"/>
    </row>
    <row r="122" spans="1:9" ht="11.25" customHeight="1">
      <c r="A122" s="1777"/>
      <c r="B122" s="902" t="s">
        <v>612</v>
      </c>
      <c r="C122" s="933">
        <v>123</v>
      </c>
      <c r="D122" s="933">
        <v>173</v>
      </c>
      <c r="E122" s="933">
        <v>197</v>
      </c>
      <c r="F122" s="933">
        <v>295</v>
      </c>
      <c r="G122" s="934">
        <v>492</v>
      </c>
      <c r="H122" s="564"/>
      <c r="I122" s="564"/>
    </row>
    <row r="123" spans="1:9" ht="11.25" customHeight="1" thickBot="1">
      <c r="A123" s="1778"/>
      <c r="B123" s="903" t="s">
        <v>602</v>
      </c>
      <c r="C123" s="935">
        <v>123</v>
      </c>
      <c r="D123" s="935">
        <v>173</v>
      </c>
      <c r="E123" s="935">
        <v>197</v>
      </c>
      <c r="F123" s="935">
        <v>295</v>
      </c>
      <c r="G123" s="936">
        <v>492</v>
      </c>
      <c r="H123" s="564"/>
      <c r="I123" s="564"/>
    </row>
    <row r="124" spans="1:9" ht="6" customHeight="1" thickBot="1">
      <c r="A124" s="997"/>
      <c r="B124" s="589"/>
      <c r="C124" s="937"/>
      <c r="D124" s="937"/>
      <c r="E124" s="937"/>
      <c r="F124" s="937"/>
      <c r="G124" s="1000"/>
      <c r="H124" s="564"/>
      <c r="I124" s="564"/>
    </row>
    <row r="125" spans="1:9" ht="12" customHeight="1">
      <c r="A125" s="1776">
        <v>43460</v>
      </c>
      <c r="B125" s="901" t="s">
        <v>611</v>
      </c>
      <c r="C125" s="931">
        <v>123</v>
      </c>
      <c r="D125" s="931">
        <v>173</v>
      </c>
      <c r="E125" s="931" t="s">
        <v>126</v>
      </c>
      <c r="F125" s="931" t="s">
        <v>126</v>
      </c>
      <c r="G125" s="932">
        <v>492</v>
      </c>
      <c r="H125" s="564"/>
      <c r="I125" s="564"/>
    </row>
    <row r="126" spans="1:9" ht="12" customHeight="1">
      <c r="A126" s="1777"/>
      <c r="B126" s="902" t="s">
        <v>612</v>
      </c>
      <c r="C126" s="933">
        <v>123</v>
      </c>
      <c r="D126" s="933">
        <v>173</v>
      </c>
      <c r="E126" s="933">
        <v>197</v>
      </c>
      <c r="F126" s="933">
        <v>295</v>
      </c>
      <c r="G126" s="934">
        <v>492</v>
      </c>
      <c r="H126" s="564"/>
      <c r="I126" s="564"/>
    </row>
    <row r="127" spans="1:9" ht="12" customHeight="1" thickBot="1">
      <c r="A127" s="1778"/>
      <c r="B127" s="903" t="s">
        <v>602</v>
      </c>
      <c r="C127" s="935">
        <v>123</v>
      </c>
      <c r="D127" s="935">
        <v>173</v>
      </c>
      <c r="E127" s="935">
        <v>197</v>
      </c>
      <c r="F127" s="935">
        <v>295</v>
      </c>
      <c r="G127" s="936">
        <v>492</v>
      </c>
      <c r="H127" s="564"/>
      <c r="I127" s="564"/>
    </row>
    <row r="128" spans="1:9" ht="6" customHeight="1" thickBot="1">
      <c r="A128" s="1025"/>
      <c r="B128" s="581"/>
      <c r="C128" s="1012"/>
      <c r="D128" s="1012"/>
      <c r="E128" s="1012"/>
      <c r="F128" s="1012"/>
      <c r="G128" s="1012"/>
      <c r="H128" s="564"/>
      <c r="I128" s="564"/>
    </row>
    <row r="129" spans="1:9" ht="12" customHeight="1">
      <c r="A129" s="1776">
        <v>43467</v>
      </c>
      <c r="B129" s="901" t="s">
        <v>611</v>
      </c>
      <c r="C129" s="931">
        <v>123</v>
      </c>
      <c r="D129" s="931">
        <v>173</v>
      </c>
      <c r="E129" s="931" t="s">
        <v>126</v>
      </c>
      <c r="F129" s="931" t="s">
        <v>126</v>
      </c>
      <c r="G129" s="932">
        <v>492</v>
      </c>
      <c r="H129" s="564"/>
      <c r="I129" s="564"/>
    </row>
    <row r="130" spans="1:9" ht="12" customHeight="1">
      <c r="A130" s="1777"/>
      <c r="B130" s="902" t="s">
        <v>612</v>
      </c>
      <c r="C130" s="933">
        <v>123</v>
      </c>
      <c r="D130" s="933">
        <v>173</v>
      </c>
      <c r="E130" s="933">
        <v>197</v>
      </c>
      <c r="F130" s="933">
        <v>295</v>
      </c>
      <c r="G130" s="934">
        <v>492</v>
      </c>
      <c r="H130" s="564"/>
      <c r="I130" s="564"/>
    </row>
    <row r="131" spans="1:9" ht="12" customHeight="1" thickBot="1">
      <c r="A131" s="1778"/>
      <c r="B131" s="903" t="s">
        <v>602</v>
      </c>
      <c r="C131" s="935">
        <v>123</v>
      </c>
      <c r="D131" s="935">
        <v>173</v>
      </c>
      <c r="E131" s="935">
        <v>197</v>
      </c>
      <c r="F131" s="935">
        <v>295</v>
      </c>
      <c r="G131" s="936">
        <v>492</v>
      </c>
      <c r="H131" s="564"/>
      <c r="I131" s="564"/>
    </row>
    <row r="132" spans="1:9" ht="6" customHeight="1" thickBot="1">
      <c r="A132" s="1025"/>
      <c r="B132" s="581"/>
      <c r="C132" s="1012"/>
      <c r="D132" s="1012"/>
      <c r="E132" s="1012"/>
      <c r="F132" s="1012"/>
      <c r="G132" s="1012"/>
      <c r="H132" s="564"/>
      <c r="I132" s="564"/>
    </row>
    <row r="133" spans="1:9" ht="12" customHeight="1">
      <c r="A133" s="1776">
        <v>43472</v>
      </c>
      <c r="B133" s="901" t="s">
        <v>611</v>
      </c>
      <c r="C133" s="931">
        <v>123</v>
      </c>
      <c r="D133" s="931">
        <v>173</v>
      </c>
      <c r="E133" s="931" t="s">
        <v>126</v>
      </c>
      <c r="F133" s="931" t="s">
        <v>126</v>
      </c>
      <c r="G133" s="932">
        <v>492</v>
      </c>
      <c r="H133" s="564"/>
      <c r="I133" s="564"/>
    </row>
    <row r="134" spans="1:9" ht="12" customHeight="1">
      <c r="A134" s="1777"/>
      <c r="B134" s="902" t="s">
        <v>612</v>
      </c>
      <c r="C134" s="933">
        <v>123</v>
      </c>
      <c r="D134" s="933">
        <v>173</v>
      </c>
      <c r="E134" s="933">
        <v>197</v>
      </c>
      <c r="F134" s="933">
        <v>295</v>
      </c>
      <c r="G134" s="934">
        <v>492</v>
      </c>
      <c r="H134" s="564"/>
      <c r="I134" s="564"/>
    </row>
    <row r="135" spans="1:9" ht="12" customHeight="1" thickBot="1">
      <c r="A135" s="1778"/>
      <c r="B135" s="903" t="s">
        <v>602</v>
      </c>
      <c r="C135" s="935">
        <v>123</v>
      </c>
      <c r="D135" s="935">
        <v>173</v>
      </c>
      <c r="E135" s="935">
        <v>197</v>
      </c>
      <c r="F135" s="935">
        <v>295</v>
      </c>
      <c r="G135" s="936">
        <v>492</v>
      </c>
      <c r="H135" s="564"/>
      <c r="I135" s="564"/>
    </row>
    <row r="136" spans="1:9" ht="3.75" customHeight="1" thickBot="1">
      <c r="A136" s="1025"/>
      <c r="B136" s="1025"/>
      <c r="C136" s="1025"/>
      <c r="D136" s="1025"/>
      <c r="E136" s="1025"/>
      <c r="F136" s="1025"/>
      <c r="G136" s="1025"/>
      <c r="H136" s="564"/>
      <c r="I136" s="564"/>
    </row>
    <row r="137" spans="1:9" ht="12" customHeight="1">
      <c r="A137" s="1776">
        <v>43480</v>
      </c>
      <c r="B137" s="901" t="s">
        <v>611</v>
      </c>
      <c r="C137" s="931">
        <v>115</v>
      </c>
      <c r="D137" s="931">
        <v>161</v>
      </c>
      <c r="E137" s="931" t="s">
        <v>126</v>
      </c>
      <c r="F137" s="931" t="s">
        <v>126</v>
      </c>
      <c r="G137" s="932">
        <v>460</v>
      </c>
      <c r="H137" s="564"/>
      <c r="I137" s="564"/>
    </row>
    <row r="138" spans="1:9" ht="12" customHeight="1">
      <c r="A138" s="1777"/>
      <c r="B138" s="902" t="s">
        <v>612</v>
      </c>
      <c r="C138" s="933">
        <v>115</v>
      </c>
      <c r="D138" s="933">
        <v>161</v>
      </c>
      <c r="E138" s="933">
        <v>184</v>
      </c>
      <c r="F138" s="933">
        <v>276</v>
      </c>
      <c r="G138" s="934">
        <v>460</v>
      </c>
      <c r="H138" s="564"/>
      <c r="I138" s="564"/>
    </row>
    <row r="139" spans="1:9" ht="12" customHeight="1" thickBot="1">
      <c r="A139" s="1778"/>
      <c r="B139" s="903" t="s">
        <v>602</v>
      </c>
      <c r="C139" s="935">
        <v>115</v>
      </c>
      <c r="D139" s="935">
        <v>161</v>
      </c>
      <c r="E139" s="935">
        <v>184</v>
      </c>
      <c r="F139" s="935">
        <v>276</v>
      </c>
      <c r="G139" s="936">
        <v>460</v>
      </c>
      <c r="H139" s="564"/>
      <c r="I139" s="564"/>
    </row>
    <row r="140" spans="1:9" ht="6" customHeight="1" thickBot="1">
      <c r="A140" s="1025"/>
      <c r="B140" s="581"/>
      <c r="C140" s="1012"/>
      <c r="D140" s="1012"/>
      <c r="E140" s="1012"/>
      <c r="F140" s="1012"/>
      <c r="G140" s="1012"/>
      <c r="H140" s="564"/>
      <c r="I140" s="564"/>
    </row>
    <row r="141" spans="1:9" ht="12" customHeight="1">
      <c r="A141" s="1776">
        <v>43487</v>
      </c>
      <c r="B141" s="901" t="s">
        <v>611</v>
      </c>
      <c r="C141" s="931">
        <v>115</v>
      </c>
      <c r="D141" s="931">
        <v>161</v>
      </c>
      <c r="E141" s="931" t="s">
        <v>126</v>
      </c>
      <c r="F141" s="931" t="s">
        <v>126</v>
      </c>
      <c r="G141" s="932">
        <v>460</v>
      </c>
      <c r="H141" s="564"/>
      <c r="I141" s="564"/>
    </row>
    <row r="142" spans="1:9" ht="12" customHeight="1">
      <c r="A142" s="1777"/>
      <c r="B142" s="902" t="s">
        <v>612</v>
      </c>
      <c r="C142" s="933">
        <v>115</v>
      </c>
      <c r="D142" s="933">
        <v>161</v>
      </c>
      <c r="E142" s="933">
        <v>184</v>
      </c>
      <c r="F142" s="933">
        <v>276</v>
      </c>
      <c r="G142" s="934">
        <v>460</v>
      </c>
      <c r="H142" s="564"/>
      <c r="I142" s="564"/>
    </row>
    <row r="143" spans="1:9" ht="12" customHeight="1" thickBot="1">
      <c r="A143" s="1778"/>
      <c r="B143" s="903" t="s">
        <v>602</v>
      </c>
      <c r="C143" s="935">
        <v>115</v>
      </c>
      <c r="D143" s="935">
        <v>161</v>
      </c>
      <c r="E143" s="935">
        <v>184</v>
      </c>
      <c r="F143" s="935">
        <v>276</v>
      </c>
      <c r="G143" s="936">
        <v>460</v>
      </c>
      <c r="H143" s="564"/>
      <c r="I143" s="564"/>
    </row>
    <row r="144" spans="1:9" ht="8.25" customHeight="1" thickBot="1">
      <c r="A144" s="1025"/>
      <c r="B144" s="581"/>
      <c r="C144" s="1012"/>
      <c r="D144" s="1012"/>
      <c r="E144" s="1012"/>
      <c r="F144" s="1012"/>
      <c r="G144" s="1012"/>
      <c r="H144" s="564"/>
      <c r="I144" s="564"/>
    </row>
    <row r="145" spans="1:9" ht="12" customHeight="1">
      <c r="A145" s="1776">
        <v>43494</v>
      </c>
      <c r="B145" s="901" t="s">
        <v>611</v>
      </c>
      <c r="C145" s="931">
        <v>115</v>
      </c>
      <c r="D145" s="931">
        <v>161</v>
      </c>
      <c r="E145" s="931" t="s">
        <v>126</v>
      </c>
      <c r="F145" s="931" t="s">
        <v>126</v>
      </c>
      <c r="G145" s="932">
        <v>460</v>
      </c>
      <c r="H145" s="564"/>
      <c r="I145" s="564"/>
    </row>
    <row r="146" spans="1:9" ht="12" customHeight="1">
      <c r="A146" s="1777"/>
      <c r="B146" s="902" t="s">
        <v>612</v>
      </c>
      <c r="C146" s="933">
        <v>115</v>
      </c>
      <c r="D146" s="933">
        <v>161</v>
      </c>
      <c r="E146" s="933">
        <v>184</v>
      </c>
      <c r="F146" s="933">
        <v>276</v>
      </c>
      <c r="G146" s="934">
        <v>460</v>
      </c>
      <c r="H146" s="564"/>
      <c r="I146" s="564"/>
    </row>
    <row r="147" spans="1:9" ht="12" customHeight="1" thickBot="1">
      <c r="A147" s="1778"/>
      <c r="B147" s="903" t="s">
        <v>602</v>
      </c>
      <c r="C147" s="935">
        <v>115</v>
      </c>
      <c r="D147" s="935">
        <v>161</v>
      </c>
      <c r="E147" s="935">
        <v>184</v>
      </c>
      <c r="F147" s="935">
        <v>276</v>
      </c>
      <c r="G147" s="936">
        <v>460</v>
      </c>
      <c r="H147" s="564"/>
      <c r="I147" s="564"/>
    </row>
    <row r="148" spans="1:9" ht="4.5" customHeight="1" thickBot="1">
      <c r="A148" s="1025"/>
      <c r="B148" s="581"/>
      <c r="C148" s="1012"/>
      <c r="D148" s="1012"/>
      <c r="E148" s="1012"/>
      <c r="F148" s="1012"/>
      <c r="G148" s="1012"/>
      <c r="H148" s="564"/>
      <c r="I148" s="564"/>
    </row>
    <row r="149" spans="1:9" ht="12" customHeight="1">
      <c r="A149" s="1776">
        <v>43501</v>
      </c>
      <c r="B149" s="901" t="s">
        <v>611</v>
      </c>
      <c r="C149" s="931">
        <v>115</v>
      </c>
      <c r="D149" s="931">
        <v>161</v>
      </c>
      <c r="E149" s="931" t="s">
        <v>126</v>
      </c>
      <c r="F149" s="931" t="s">
        <v>126</v>
      </c>
      <c r="G149" s="932">
        <v>460</v>
      </c>
      <c r="H149" s="564"/>
      <c r="I149" s="564"/>
    </row>
    <row r="150" spans="1:9" ht="12" customHeight="1">
      <c r="A150" s="1777"/>
      <c r="B150" s="902" t="s">
        <v>612</v>
      </c>
      <c r="C150" s="933">
        <v>115</v>
      </c>
      <c r="D150" s="933">
        <v>161</v>
      </c>
      <c r="E150" s="933">
        <v>184</v>
      </c>
      <c r="F150" s="933">
        <v>276</v>
      </c>
      <c r="G150" s="934">
        <v>460</v>
      </c>
      <c r="H150" s="564"/>
      <c r="I150" s="564"/>
    </row>
    <row r="151" spans="1:9" ht="12" customHeight="1" thickBot="1">
      <c r="A151" s="1778"/>
      <c r="B151" s="903" t="s">
        <v>602</v>
      </c>
      <c r="C151" s="935">
        <v>115</v>
      </c>
      <c r="D151" s="935">
        <v>161</v>
      </c>
      <c r="E151" s="935">
        <v>184</v>
      </c>
      <c r="F151" s="935">
        <v>276</v>
      </c>
      <c r="G151" s="936">
        <v>460</v>
      </c>
      <c r="H151" s="564"/>
      <c r="I151" s="564"/>
    </row>
    <row r="152" spans="1:9" ht="3" customHeight="1" thickBot="1">
      <c r="A152" s="1025"/>
      <c r="B152" s="581"/>
      <c r="C152" s="1012"/>
      <c r="D152" s="1012"/>
      <c r="E152" s="1012"/>
      <c r="F152" s="1012"/>
      <c r="G152" s="1012"/>
      <c r="H152" s="564"/>
      <c r="I152" s="564"/>
    </row>
    <row r="153" spans="1:9" ht="12" customHeight="1">
      <c r="A153" s="1776">
        <v>43508</v>
      </c>
      <c r="B153" s="901" t="s">
        <v>611</v>
      </c>
      <c r="C153" s="931">
        <v>115</v>
      </c>
      <c r="D153" s="931">
        <v>161</v>
      </c>
      <c r="E153" s="931" t="s">
        <v>126</v>
      </c>
      <c r="F153" s="931" t="s">
        <v>126</v>
      </c>
      <c r="G153" s="932">
        <v>460</v>
      </c>
      <c r="H153" s="564"/>
      <c r="I153" s="564"/>
    </row>
    <row r="154" spans="1:9" ht="12" customHeight="1">
      <c r="A154" s="1777"/>
      <c r="B154" s="902" t="s">
        <v>612</v>
      </c>
      <c r="C154" s="933">
        <v>115</v>
      </c>
      <c r="D154" s="933">
        <v>161</v>
      </c>
      <c r="E154" s="933">
        <v>184</v>
      </c>
      <c r="F154" s="933">
        <v>276</v>
      </c>
      <c r="G154" s="934">
        <v>460</v>
      </c>
      <c r="H154" s="564"/>
      <c r="I154" s="564"/>
    </row>
    <row r="155" spans="1:9" ht="12" customHeight="1" thickBot="1">
      <c r="A155" s="1778"/>
      <c r="B155" s="903" t="s">
        <v>602</v>
      </c>
      <c r="C155" s="935">
        <v>115</v>
      </c>
      <c r="D155" s="935">
        <v>161</v>
      </c>
      <c r="E155" s="935">
        <v>184</v>
      </c>
      <c r="F155" s="935">
        <v>276</v>
      </c>
      <c r="G155" s="936">
        <v>460</v>
      </c>
      <c r="H155" s="564"/>
      <c r="I155" s="564"/>
    </row>
    <row r="156" spans="1:9" ht="4.5" customHeight="1" thickBot="1">
      <c r="A156" s="1025"/>
      <c r="B156" s="581"/>
      <c r="C156" s="1012"/>
      <c r="D156" s="1012"/>
      <c r="E156" s="1012"/>
      <c r="F156" s="1012"/>
      <c r="G156" s="1012"/>
      <c r="H156" s="564"/>
      <c r="I156" s="564"/>
    </row>
    <row r="157" spans="1:9" ht="12" customHeight="1">
      <c r="A157" s="1776">
        <v>43514</v>
      </c>
      <c r="B157" s="901" t="s">
        <v>611</v>
      </c>
      <c r="C157" s="931">
        <v>115</v>
      </c>
      <c r="D157" s="931">
        <v>161</v>
      </c>
      <c r="E157" s="931" t="s">
        <v>126</v>
      </c>
      <c r="F157" s="931" t="s">
        <v>126</v>
      </c>
      <c r="G157" s="932">
        <v>460</v>
      </c>
      <c r="H157" s="564"/>
      <c r="I157" s="564"/>
    </row>
    <row r="158" spans="1:9" ht="12" customHeight="1">
      <c r="A158" s="1777"/>
      <c r="B158" s="902" t="s">
        <v>612</v>
      </c>
      <c r="C158" s="933">
        <v>115</v>
      </c>
      <c r="D158" s="933">
        <v>161</v>
      </c>
      <c r="E158" s="933">
        <v>184</v>
      </c>
      <c r="F158" s="933">
        <v>276</v>
      </c>
      <c r="G158" s="934">
        <v>460</v>
      </c>
      <c r="H158" s="564"/>
      <c r="I158" s="564"/>
    </row>
    <row r="159" spans="1:9" ht="12" customHeight="1" thickBot="1">
      <c r="A159" s="1778"/>
      <c r="B159" s="903" t="s">
        <v>602</v>
      </c>
      <c r="C159" s="935">
        <v>115</v>
      </c>
      <c r="D159" s="935">
        <v>161</v>
      </c>
      <c r="E159" s="935">
        <v>184</v>
      </c>
      <c r="F159" s="935">
        <v>276</v>
      </c>
      <c r="G159" s="936">
        <v>460</v>
      </c>
      <c r="H159" s="564"/>
      <c r="I159" s="564"/>
    </row>
    <row r="160" spans="1:9" ht="3.75" customHeight="1" thickBot="1">
      <c r="A160" s="1025"/>
      <c r="B160" s="581"/>
      <c r="C160" s="1012"/>
      <c r="D160" s="1012"/>
      <c r="E160" s="1012"/>
      <c r="F160" s="1012"/>
      <c r="G160" s="1012"/>
      <c r="H160" s="564"/>
      <c r="I160" s="564"/>
    </row>
    <row r="161" spans="1:9" ht="12" customHeight="1">
      <c r="A161" s="1776">
        <v>43522</v>
      </c>
      <c r="B161" s="901" t="s">
        <v>611</v>
      </c>
      <c r="C161" s="931">
        <v>115</v>
      </c>
      <c r="D161" s="931">
        <v>161</v>
      </c>
      <c r="E161" s="931" t="s">
        <v>126</v>
      </c>
      <c r="F161" s="931" t="s">
        <v>126</v>
      </c>
      <c r="G161" s="932">
        <v>460</v>
      </c>
      <c r="H161" s="564"/>
      <c r="I161" s="564"/>
    </row>
    <row r="162" spans="1:9" ht="12" customHeight="1">
      <c r="A162" s="1777"/>
      <c r="B162" s="902" t="s">
        <v>612</v>
      </c>
      <c r="C162" s="933">
        <v>115</v>
      </c>
      <c r="D162" s="933">
        <v>161</v>
      </c>
      <c r="E162" s="933">
        <v>184</v>
      </c>
      <c r="F162" s="933">
        <v>276</v>
      </c>
      <c r="G162" s="934">
        <v>460</v>
      </c>
      <c r="H162" s="564"/>
      <c r="I162" s="564"/>
    </row>
    <row r="163" spans="1:9" ht="12" customHeight="1" thickBot="1">
      <c r="A163" s="1778"/>
      <c r="B163" s="903" t="s">
        <v>602</v>
      </c>
      <c r="C163" s="935">
        <v>115</v>
      </c>
      <c r="D163" s="935">
        <v>161</v>
      </c>
      <c r="E163" s="935">
        <v>184</v>
      </c>
      <c r="F163" s="935">
        <v>276</v>
      </c>
      <c r="G163" s="936">
        <v>460</v>
      </c>
      <c r="H163" s="564"/>
      <c r="I163" s="564"/>
    </row>
    <row r="164" spans="1:9" ht="5.25" customHeight="1" thickBot="1">
      <c r="A164" s="1025"/>
      <c r="B164" s="581"/>
      <c r="C164" s="1012"/>
      <c r="D164" s="1012"/>
      <c r="E164" s="1012"/>
      <c r="F164" s="1012"/>
      <c r="G164" s="1012"/>
      <c r="H164" s="564"/>
      <c r="I164" s="564"/>
    </row>
    <row r="165" spans="1:9" ht="12" customHeight="1">
      <c r="A165" s="1776">
        <v>43529</v>
      </c>
      <c r="B165" s="901" t="s">
        <v>611</v>
      </c>
      <c r="C165" s="931">
        <v>115</v>
      </c>
      <c r="D165" s="931">
        <v>161</v>
      </c>
      <c r="E165" s="931" t="s">
        <v>126</v>
      </c>
      <c r="F165" s="931" t="s">
        <v>126</v>
      </c>
      <c r="G165" s="932">
        <v>460</v>
      </c>
      <c r="H165" s="564"/>
      <c r="I165" s="564"/>
    </row>
    <row r="166" spans="1:9" ht="12" customHeight="1">
      <c r="A166" s="1777"/>
      <c r="B166" s="902" t="s">
        <v>612</v>
      </c>
      <c r="C166" s="933">
        <v>115</v>
      </c>
      <c r="D166" s="933">
        <v>161</v>
      </c>
      <c r="E166" s="933">
        <v>184</v>
      </c>
      <c r="F166" s="933">
        <v>276</v>
      </c>
      <c r="G166" s="934">
        <v>460</v>
      </c>
      <c r="H166" s="564"/>
      <c r="I166" s="564"/>
    </row>
    <row r="167" spans="1:9" ht="12" customHeight="1" thickBot="1">
      <c r="A167" s="1778"/>
      <c r="B167" s="903" t="s">
        <v>602</v>
      </c>
      <c r="C167" s="935">
        <v>115</v>
      </c>
      <c r="D167" s="935">
        <v>161</v>
      </c>
      <c r="E167" s="935">
        <v>184</v>
      </c>
      <c r="F167" s="935">
        <v>276</v>
      </c>
      <c r="G167" s="936">
        <v>460</v>
      </c>
      <c r="H167" s="564"/>
      <c r="I167" s="564"/>
    </row>
    <row r="168" spans="1:9" ht="5.25" customHeight="1" thickBot="1">
      <c r="A168" s="1025"/>
      <c r="B168" s="581"/>
      <c r="C168" s="1012"/>
      <c r="D168" s="1012"/>
      <c r="E168" s="1012"/>
      <c r="F168" s="1012"/>
      <c r="G168" s="1012"/>
      <c r="H168" s="564"/>
      <c r="I168" s="564"/>
    </row>
    <row r="169" spans="1:9" ht="12" customHeight="1">
      <c r="A169" s="1776">
        <v>43536</v>
      </c>
      <c r="B169" s="901" t="s">
        <v>611</v>
      </c>
      <c r="C169" s="931">
        <v>115</v>
      </c>
      <c r="D169" s="931">
        <v>161</v>
      </c>
      <c r="E169" s="931" t="s">
        <v>126</v>
      </c>
      <c r="F169" s="931" t="s">
        <v>126</v>
      </c>
      <c r="G169" s="932">
        <v>460</v>
      </c>
      <c r="H169" s="564"/>
      <c r="I169" s="564"/>
    </row>
    <row r="170" spans="1:9" ht="12" customHeight="1">
      <c r="A170" s="1777"/>
      <c r="B170" s="902" t="s">
        <v>612</v>
      </c>
      <c r="C170" s="933">
        <v>115</v>
      </c>
      <c r="D170" s="933">
        <v>161</v>
      </c>
      <c r="E170" s="933">
        <v>184</v>
      </c>
      <c r="F170" s="933">
        <v>276</v>
      </c>
      <c r="G170" s="934">
        <v>460</v>
      </c>
      <c r="H170" s="564"/>
      <c r="I170" s="564"/>
    </row>
    <row r="171" spans="1:9" ht="12" customHeight="1" thickBot="1">
      <c r="A171" s="1778"/>
      <c r="B171" s="903" t="s">
        <v>602</v>
      </c>
      <c r="C171" s="935">
        <v>115</v>
      </c>
      <c r="D171" s="935">
        <v>161</v>
      </c>
      <c r="E171" s="935">
        <v>184</v>
      </c>
      <c r="F171" s="935">
        <v>276</v>
      </c>
      <c r="G171" s="936">
        <v>460</v>
      </c>
      <c r="H171" s="564"/>
      <c r="I171" s="564"/>
    </row>
    <row r="172" spans="1:9" ht="6" customHeight="1" thickBot="1">
      <c r="A172" s="1025"/>
      <c r="B172" s="581"/>
      <c r="C172" s="1012"/>
      <c r="D172" s="1012"/>
      <c r="E172" s="1012"/>
      <c r="F172" s="1012"/>
      <c r="G172" s="1012"/>
      <c r="H172" s="564"/>
      <c r="I172" s="564"/>
    </row>
    <row r="173" spans="1:9" ht="12" customHeight="1">
      <c r="A173" s="1776">
        <v>43542</v>
      </c>
      <c r="B173" s="901" t="s">
        <v>611</v>
      </c>
      <c r="C173" s="931">
        <v>115</v>
      </c>
      <c r="D173" s="931">
        <v>161</v>
      </c>
      <c r="E173" s="931" t="s">
        <v>126</v>
      </c>
      <c r="F173" s="931" t="s">
        <v>126</v>
      </c>
      <c r="G173" s="932">
        <v>460</v>
      </c>
      <c r="H173" s="564"/>
      <c r="I173" s="564"/>
    </row>
    <row r="174" spans="1:9" ht="12" customHeight="1">
      <c r="A174" s="1777"/>
      <c r="B174" s="902" t="s">
        <v>612</v>
      </c>
      <c r="C174" s="933">
        <v>115</v>
      </c>
      <c r="D174" s="933">
        <v>161</v>
      </c>
      <c r="E174" s="933">
        <v>184</v>
      </c>
      <c r="F174" s="933">
        <v>276</v>
      </c>
      <c r="G174" s="934">
        <v>460</v>
      </c>
      <c r="H174" s="564"/>
      <c r="I174" s="564"/>
    </row>
    <row r="175" spans="1:9" ht="12" customHeight="1" thickBot="1">
      <c r="A175" s="1778"/>
      <c r="B175" s="903" t="s">
        <v>602</v>
      </c>
      <c r="C175" s="935">
        <v>115</v>
      </c>
      <c r="D175" s="935">
        <v>161</v>
      </c>
      <c r="E175" s="935">
        <v>184</v>
      </c>
      <c r="F175" s="935">
        <v>276</v>
      </c>
      <c r="G175" s="936">
        <v>460</v>
      </c>
      <c r="H175" s="564"/>
      <c r="I175" s="564"/>
    </row>
    <row r="176" spans="1:9" ht="6.75" customHeight="1" thickBot="1">
      <c r="A176" s="1025"/>
      <c r="B176" s="581"/>
      <c r="C176" s="1012"/>
      <c r="D176" s="1012"/>
      <c r="E176" s="1012"/>
      <c r="F176" s="1012"/>
      <c r="G176" s="1012"/>
      <c r="H176" s="564"/>
      <c r="I176" s="564"/>
    </row>
    <row r="177" spans="1:9" ht="12" customHeight="1">
      <c r="A177" s="1776">
        <v>43549</v>
      </c>
      <c r="B177" s="901" t="s">
        <v>611</v>
      </c>
      <c r="C177" s="931">
        <v>115</v>
      </c>
      <c r="D177" s="931">
        <v>161</v>
      </c>
      <c r="E177" s="931" t="s">
        <v>126</v>
      </c>
      <c r="F177" s="931" t="s">
        <v>126</v>
      </c>
      <c r="G177" s="932">
        <v>460</v>
      </c>
      <c r="H177" s="564"/>
      <c r="I177" s="564"/>
    </row>
    <row r="178" spans="1:9" ht="12" customHeight="1">
      <c r="A178" s="1777"/>
      <c r="B178" s="902" t="s">
        <v>612</v>
      </c>
      <c r="C178" s="933">
        <v>115</v>
      </c>
      <c r="D178" s="933">
        <v>161</v>
      </c>
      <c r="E178" s="933">
        <v>184</v>
      </c>
      <c r="F178" s="933">
        <v>276</v>
      </c>
      <c r="G178" s="934">
        <v>460</v>
      </c>
      <c r="H178" s="564"/>
      <c r="I178" s="564"/>
    </row>
    <row r="179" spans="1:9" ht="12" customHeight="1" thickBot="1">
      <c r="A179" s="1778"/>
      <c r="B179" s="903" t="s">
        <v>602</v>
      </c>
      <c r="C179" s="935">
        <v>115</v>
      </c>
      <c r="D179" s="935">
        <v>161</v>
      </c>
      <c r="E179" s="935">
        <v>184</v>
      </c>
      <c r="F179" s="935">
        <v>276</v>
      </c>
      <c r="G179" s="936">
        <v>460</v>
      </c>
      <c r="H179" s="564"/>
      <c r="I179" s="564"/>
    </row>
    <row r="180" spans="1:9" ht="6" customHeight="1" thickBot="1">
      <c r="A180" s="1025"/>
      <c r="B180" s="581"/>
      <c r="C180" s="1012"/>
      <c r="D180" s="1012"/>
      <c r="E180" s="1012"/>
      <c r="F180" s="1012"/>
      <c r="G180" s="1012"/>
      <c r="H180" s="564"/>
      <c r="I180" s="564"/>
    </row>
    <row r="181" spans="1:9" ht="12" customHeight="1">
      <c r="A181" s="1776">
        <v>43557</v>
      </c>
      <c r="B181" s="901" t="s">
        <v>611</v>
      </c>
      <c r="C181" s="931">
        <v>115</v>
      </c>
      <c r="D181" s="931">
        <v>161</v>
      </c>
      <c r="E181" s="931" t="s">
        <v>126</v>
      </c>
      <c r="F181" s="931" t="s">
        <v>126</v>
      </c>
      <c r="G181" s="932">
        <v>460</v>
      </c>
      <c r="H181" s="564"/>
      <c r="I181" s="564"/>
    </row>
    <row r="182" spans="1:9" ht="12" customHeight="1">
      <c r="A182" s="1777"/>
      <c r="B182" s="902" t="s">
        <v>612</v>
      </c>
      <c r="C182" s="933">
        <v>115</v>
      </c>
      <c r="D182" s="933">
        <v>161</v>
      </c>
      <c r="E182" s="933">
        <v>184</v>
      </c>
      <c r="F182" s="933">
        <v>276</v>
      </c>
      <c r="G182" s="934">
        <v>460</v>
      </c>
      <c r="H182" s="564"/>
      <c r="I182" s="564"/>
    </row>
    <row r="183" spans="1:9" ht="12" customHeight="1" thickBot="1">
      <c r="A183" s="1778"/>
      <c r="B183" s="903" t="s">
        <v>602</v>
      </c>
      <c r="C183" s="935">
        <v>115</v>
      </c>
      <c r="D183" s="935">
        <v>161</v>
      </c>
      <c r="E183" s="935">
        <v>184</v>
      </c>
      <c r="F183" s="935">
        <v>276</v>
      </c>
      <c r="G183" s="936">
        <v>460</v>
      </c>
      <c r="H183" s="564"/>
      <c r="I183" s="564"/>
    </row>
    <row r="184" spans="1:9" ht="6" customHeight="1" thickBot="1">
      <c r="A184" s="1025"/>
      <c r="B184" s="581"/>
      <c r="C184" s="1012"/>
      <c r="D184" s="1012"/>
      <c r="E184" s="1012"/>
      <c r="F184" s="1012"/>
      <c r="G184" s="1012"/>
      <c r="H184" s="564"/>
      <c r="I184" s="564"/>
    </row>
    <row r="185" spans="1:9" ht="12" customHeight="1">
      <c r="A185" s="1776">
        <v>43564</v>
      </c>
      <c r="B185" s="901" t="s">
        <v>611</v>
      </c>
      <c r="C185" s="931">
        <v>115</v>
      </c>
      <c r="D185" s="931">
        <v>161</v>
      </c>
      <c r="E185" s="931" t="s">
        <v>126</v>
      </c>
      <c r="F185" s="931" t="s">
        <v>126</v>
      </c>
      <c r="G185" s="932">
        <v>460</v>
      </c>
      <c r="H185" s="564"/>
      <c r="I185" s="564"/>
    </row>
    <row r="186" spans="1:9" ht="12" customHeight="1">
      <c r="A186" s="1777"/>
      <c r="B186" s="902" t="s">
        <v>612</v>
      </c>
      <c r="C186" s="933">
        <v>115</v>
      </c>
      <c r="D186" s="933">
        <v>161</v>
      </c>
      <c r="E186" s="933">
        <v>184</v>
      </c>
      <c r="F186" s="933">
        <v>276</v>
      </c>
      <c r="G186" s="934">
        <v>460</v>
      </c>
      <c r="H186" s="564"/>
      <c r="I186" s="564"/>
    </row>
    <row r="187" spans="1:9" ht="12" customHeight="1" thickBot="1">
      <c r="A187" s="1778"/>
      <c r="B187" s="903" t="s">
        <v>602</v>
      </c>
      <c r="C187" s="935">
        <v>115</v>
      </c>
      <c r="D187" s="935">
        <v>161</v>
      </c>
      <c r="E187" s="935">
        <v>184</v>
      </c>
      <c r="F187" s="935">
        <v>276</v>
      </c>
      <c r="G187" s="936">
        <v>460</v>
      </c>
      <c r="H187" s="564"/>
      <c r="I187" s="564"/>
    </row>
    <row r="188" spans="1:9" ht="8.25" customHeight="1" thickBot="1">
      <c r="A188" s="1025"/>
      <c r="B188" s="581"/>
      <c r="C188" s="1012"/>
      <c r="D188" s="1012"/>
      <c r="E188" s="1012"/>
      <c r="F188" s="1012"/>
      <c r="G188" s="1012"/>
      <c r="H188" s="564"/>
      <c r="I188" s="564"/>
    </row>
    <row r="189" spans="1:9" ht="12" customHeight="1">
      <c r="A189" s="1776">
        <v>43571</v>
      </c>
      <c r="B189" s="901" t="s">
        <v>611</v>
      </c>
      <c r="C189" s="931">
        <v>115</v>
      </c>
      <c r="D189" s="931">
        <v>161</v>
      </c>
      <c r="E189" s="931" t="s">
        <v>126</v>
      </c>
      <c r="F189" s="931" t="s">
        <v>126</v>
      </c>
      <c r="G189" s="932">
        <v>460</v>
      </c>
      <c r="H189" s="564"/>
      <c r="I189" s="564"/>
    </row>
    <row r="190" spans="1:9" ht="12" customHeight="1">
      <c r="A190" s="1777"/>
      <c r="B190" s="902" t="s">
        <v>612</v>
      </c>
      <c r="C190" s="933">
        <v>115</v>
      </c>
      <c r="D190" s="933">
        <v>161</v>
      </c>
      <c r="E190" s="933">
        <v>184</v>
      </c>
      <c r="F190" s="933">
        <v>276</v>
      </c>
      <c r="G190" s="934">
        <v>460</v>
      </c>
      <c r="H190" s="564"/>
      <c r="I190" s="564"/>
    </row>
    <row r="191" spans="1:9" ht="12" customHeight="1" thickBot="1">
      <c r="A191" s="1778"/>
      <c r="B191" s="903" t="s">
        <v>602</v>
      </c>
      <c r="C191" s="935">
        <v>115</v>
      </c>
      <c r="D191" s="935">
        <v>161</v>
      </c>
      <c r="E191" s="935">
        <v>184</v>
      </c>
      <c r="F191" s="935">
        <v>276</v>
      </c>
      <c r="G191" s="936">
        <v>460</v>
      </c>
      <c r="H191" s="564"/>
      <c r="I191" s="564"/>
    </row>
    <row r="192" spans="1:9" ht="6" customHeight="1" thickBot="1">
      <c r="A192" s="1025"/>
      <c r="B192" s="581"/>
      <c r="C192" s="1012"/>
      <c r="D192" s="1012"/>
      <c r="E192" s="1012"/>
      <c r="F192" s="1012"/>
      <c r="G192" s="1012"/>
      <c r="H192" s="564"/>
      <c r="I192" s="564"/>
    </row>
    <row r="193" spans="1:9" ht="12" customHeight="1">
      <c r="A193" s="1776">
        <v>43578</v>
      </c>
      <c r="B193" s="901" t="s">
        <v>611</v>
      </c>
      <c r="C193" s="931">
        <v>115</v>
      </c>
      <c r="D193" s="931">
        <v>161</v>
      </c>
      <c r="E193" s="931" t="s">
        <v>126</v>
      </c>
      <c r="F193" s="931" t="s">
        <v>126</v>
      </c>
      <c r="G193" s="932">
        <v>460</v>
      </c>
      <c r="H193" s="564"/>
      <c r="I193" s="564"/>
    </row>
    <row r="194" spans="1:9" ht="12" customHeight="1">
      <c r="A194" s="1777"/>
      <c r="B194" s="902" t="s">
        <v>612</v>
      </c>
      <c r="C194" s="933">
        <v>115</v>
      </c>
      <c r="D194" s="933">
        <v>161</v>
      </c>
      <c r="E194" s="933">
        <v>184</v>
      </c>
      <c r="F194" s="933">
        <v>276</v>
      </c>
      <c r="G194" s="934">
        <v>460</v>
      </c>
      <c r="H194" s="564"/>
      <c r="I194" s="564"/>
    </row>
    <row r="195" spans="1:9" ht="12" customHeight="1" thickBot="1">
      <c r="A195" s="1778"/>
      <c r="B195" s="903" t="s">
        <v>602</v>
      </c>
      <c r="C195" s="935">
        <v>115</v>
      </c>
      <c r="D195" s="935">
        <v>161</v>
      </c>
      <c r="E195" s="935">
        <v>184</v>
      </c>
      <c r="F195" s="935">
        <v>276</v>
      </c>
      <c r="G195" s="936">
        <v>460</v>
      </c>
      <c r="H195" s="564"/>
      <c r="I195" s="564"/>
    </row>
    <row r="196" spans="1:9" ht="6" customHeight="1" thickBot="1">
      <c r="A196" s="1025"/>
      <c r="B196" s="581"/>
      <c r="C196" s="1012"/>
      <c r="D196" s="1012"/>
      <c r="E196" s="1012"/>
      <c r="F196" s="1012"/>
      <c r="G196" s="1012"/>
      <c r="H196" s="564"/>
      <c r="I196" s="564"/>
    </row>
    <row r="197" spans="1:9" ht="12" customHeight="1">
      <c r="A197" s="1776">
        <v>43585</v>
      </c>
      <c r="B197" s="901" t="s">
        <v>611</v>
      </c>
      <c r="C197" s="931">
        <v>115</v>
      </c>
      <c r="D197" s="931">
        <v>161</v>
      </c>
      <c r="E197" s="931" t="s">
        <v>126</v>
      </c>
      <c r="F197" s="931" t="s">
        <v>126</v>
      </c>
      <c r="G197" s="932">
        <v>460</v>
      </c>
      <c r="H197" s="564"/>
      <c r="I197" s="564"/>
    </row>
    <row r="198" spans="1:9" ht="12" customHeight="1">
      <c r="A198" s="1777"/>
      <c r="B198" s="902" t="s">
        <v>612</v>
      </c>
      <c r="C198" s="933">
        <v>115</v>
      </c>
      <c r="D198" s="933">
        <v>161</v>
      </c>
      <c r="E198" s="933">
        <v>184</v>
      </c>
      <c r="F198" s="933">
        <v>276</v>
      </c>
      <c r="G198" s="934">
        <v>460</v>
      </c>
      <c r="H198" s="564"/>
      <c r="I198" s="564"/>
    </row>
    <row r="199" spans="1:9" ht="12" customHeight="1" thickBot="1">
      <c r="A199" s="1778"/>
      <c r="B199" s="903" t="s">
        <v>602</v>
      </c>
      <c r="C199" s="935">
        <v>115</v>
      </c>
      <c r="D199" s="935">
        <v>161</v>
      </c>
      <c r="E199" s="935">
        <v>184</v>
      </c>
      <c r="F199" s="935">
        <v>276</v>
      </c>
      <c r="G199" s="936">
        <v>460</v>
      </c>
      <c r="H199" s="564"/>
      <c r="I199" s="564"/>
    </row>
    <row r="200" spans="1:9" ht="4.5" customHeight="1" thickBot="1">
      <c r="A200" s="1025"/>
      <c r="B200" s="581"/>
      <c r="C200" s="1012"/>
      <c r="D200" s="1012"/>
      <c r="E200" s="1012"/>
      <c r="F200" s="1012"/>
      <c r="G200" s="1012"/>
      <c r="H200" s="564"/>
      <c r="I200" s="564"/>
    </row>
    <row r="201" spans="1:9" ht="12" customHeight="1">
      <c r="A201" s="1776">
        <v>43591</v>
      </c>
      <c r="B201" s="901" t="s">
        <v>611</v>
      </c>
      <c r="C201" s="931">
        <v>115</v>
      </c>
      <c r="D201" s="931">
        <v>161</v>
      </c>
      <c r="E201" s="931" t="s">
        <v>126</v>
      </c>
      <c r="F201" s="931" t="s">
        <v>126</v>
      </c>
      <c r="G201" s="932">
        <v>460</v>
      </c>
      <c r="H201" s="564"/>
      <c r="I201" s="564"/>
    </row>
    <row r="202" spans="1:9" ht="12" customHeight="1">
      <c r="A202" s="1777"/>
      <c r="B202" s="902" t="s">
        <v>612</v>
      </c>
      <c r="C202" s="933">
        <v>115</v>
      </c>
      <c r="D202" s="933">
        <v>161</v>
      </c>
      <c r="E202" s="933">
        <v>184</v>
      </c>
      <c r="F202" s="933">
        <v>276</v>
      </c>
      <c r="G202" s="934">
        <v>460</v>
      </c>
      <c r="H202" s="564"/>
      <c r="I202" s="564"/>
    </row>
    <row r="203" spans="1:9" ht="12" customHeight="1" thickBot="1">
      <c r="A203" s="1778"/>
      <c r="B203" s="903" t="s">
        <v>602</v>
      </c>
      <c r="C203" s="935">
        <v>115</v>
      </c>
      <c r="D203" s="935">
        <v>161</v>
      </c>
      <c r="E203" s="935">
        <v>184</v>
      </c>
      <c r="F203" s="935">
        <v>276</v>
      </c>
      <c r="G203" s="936">
        <v>460</v>
      </c>
      <c r="H203" s="564"/>
      <c r="I203" s="564"/>
    </row>
    <row r="204" spans="1:9" ht="6" customHeight="1" thickBot="1">
      <c r="A204" s="1025"/>
      <c r="B204" s="581"/>
      <c r="C204" s="1012"/>
      <c r="D204" s="1012"/>
      <c r="E204" s="1012"/>
      <c r="F204" s="1012"/>
      <c r="G204" s="1012"/>
      <c r="H204" s="564"/>
      <c r="I204" s="564"/>
    </row>
    <row r="205" spans="1:9" ht="12" customHeight="1">
      <c r="A205" s="1776">
        <v>43598</v>
      </c>
      <c r="B205" s="901" t="s">
        <v>611</v>
      </c>
      <c r="C205" s="931">
        <v>115</v>
      </c>
      <c r="D205" s="931">
        <v>161</v>
      </c>
      <c r="E205" s="931" t="s">
        <v>126</v>
      </c>
      <c r="F205" s="931" t="s">
        <v>126</v>
      </c>
      <c r="G205" s="932">
        <v>460</v>
      </c>
      <c r="H205" s="564"/>
      <c r="I205" s="564"/>
    </row>
    <row r="206" spans="1:9" ht="12" customHeight="1">
      <c r="A206" s="1777"/>
      <c r="B206" s="902" t="s">
        <v>612</v>
      </c>
      <c r="C206" s="933">
        <v>115</v>
      </c>
      <c r="D206" s="933">
        <v>161</v>
      </c>
      <c r="E206" s="933">
        <v>184</v>
      </c>
      <c r="F206" s="933">
        <v>276</v>
      </c>
      <c r="G206" s="934">
        <v>460</v>
      </c>
      <c r="H206" s="564"/>
      <c r="I206" s="564"/>
    </row>
    <row r="207" spans="1:9" ht="12" customHeight="1" thickBot="1">
      <c r="A207" s="1778"/>
      <c r="B207" s="903" t="s">
        <v>602</v>
      </c>
      <c r="C207" s="935">
        <v>115</v>
      </c>
      <c r="D207" s="935">
        <v>161</v>
      </c>
      <c r="E207" s="935">
        <v>184</v>
      </c>
      <c r="F207" s="935">
        <v>276</v>
      </c>
      <c r="G207" s="936">
        <v>460</v>
      </c>
      <c r="H207" s="564"/>
      <c r="I207" s="564"/>
    </row>
    <row r="208" spans="1:9" ht="6" customHeight="1" thickBot="1">
      <c r="A208" s="1025"/>
      <c r="B208" s="581"/>
      <c r="C208" s="1012"/>
      <c r="D208" s="1012"/>
      <c r="E208" s="1012"/>
      <c r="F208" s="1012"/>
      <c r="G208" s="1012"/>
      <c r="H208" s="564"/>
      <c r="I208" s="564"/>
    </row>
    <row r="209" spans="1:9" ht="12" customHeight="1">
      <c r="A209" s="1776">
        <v>43606</v>
      </c>
      <c r="B209" s="901" t="s">
        <v>611</v>
      </c>
      <c r="C209" s="931">
        <v>115</v>
      </c>
      <c r="D209" s="931">
        <v>161</v>
      </c>
      <c r="E209" s="931" t="s">
        <v>126</v>
      </c>
      <c r="F209" s="931" t="s">
        <v>126</v>
      </c>
      <c r="G209" s="932">
        <v>460</v>
      </c>
      <c r="H209" s="564"/>
      <c r="I209" s="564"/>
    </row>
    <row r="210" spans="1:9" ht="12" customHeight="1">
      <c r="A210" s="1777"/>
      <c r="B210" s="902" t="s">
        <v>612</v>
      </c>
      <c r="C210" s="933">
        <v>115</v>
      </c>
      <c r="D210" s="933">
        <v>161</v>
      </c>
      <c r="E210" s="933">
        <v>184</v>
      </c>
      <c r="F210" s="933">
        <v>276</v>
      </c>
      <c r="G210" s="934">
        <v>460</v>
      </c>
      <c r="H210" s="564"/>
      <c r="I210" s="564"/>
    </row>
    <row r="211" spans="1:9" ht="12" customHeight="1" thickBot="1">
      <c r="A211" s="1778"/>
      <c r="B211" s="903" t="s">
        <v>602</v>
      </c>
      <c r="C211" s="935">
        <v>115</v>
      </c>
      <c r="D211" s="935">
        <v>161</v>
      </c>
      <c r="E211" s="935">
        <v>184</v>
      </c>
      <c r="F211" s="935">
        <v>276</v>
      </c>
      <c r="G211" s="936">
        <v>460</v>
      </c>
      <c r="H211" s="564"/>
      <c r="I211" s="564"/>
    </row>
    <row r="212" spans="1:9" ht="5.25" customHeight="1" thickBot="1">
      <c r="A212" s="1025"/>
      <c r="B212" s="581"/>
      <c r="C212" s="1012"/>
      <c r="D212" s="1012"/>
      <c r="E212" s="1012"/>
      <c r="F212" s="1012"/>
      <c r="G212" s="1012"/>
      <c r="H212" s="564"/>
      <c r="I212" s="564"/>
    </row>
    <row r="213" spans="1:9" ht="12" customHeight="1">
      <c r="A213" s="1776">
        <v>43613</v>
      </c>
      <c r="B213" s="901" t="s">
        <v>611</v>
      </c>
      <c r="C213" s="931">
        <v>115</v>
      </c>
      <c r="D213" s="931">
        <v>161</v>
      </c>
      <c r="E213" s="931" t="s">
        <v>126</v>
      </c>
      <c r="F213" s="931" t="s">
        <v>126</v>
      </c>
      <c r="G213" s="932">
        <v>460</v>
      </c>
      <c r="H213" s="564"/>
      <c r="I213" s="564"/>
    </row>
    <row r="214" spans="1:9" ht="12" customHeight="1">
      <c r="A214" s="1777"/>
      <c r="B214" s="902" t="s">
        <v>612</v>
      </c>
      <c r="C214" s="933">
        <v>115</v>
      </c>
      <c r="D214" s="933">
        <v>161</v>
      </c>
      <c r="E214" s="933">
        <v>184</v>
      </c>
      <c r="F214" s="933">
        <v>276</v>
      </c>
      <c r="G214" s="934">
        <v>460</v>
      </c>
      <c r="H214" s="564"/>
      <c r="I214" s="564"/>
    </row>
    <row r="215" spans="1:9" ht="12" customHeight="1" thickBot="1">
      <c r="A215" s="1778"/>
      <c r="B215" s="903" t="s">
        <v>602</v>
      </c>
      <c r="C215" s="935">
        <v>115</v>
      </c>
      <c r="D215" s="935">
        <v>161</v>
      </c>
      <c r="E215" s="935">
        <v>184</v>
      </c>
      <c r="F215" s="935">
        <v>276</v>
      </c>
      <c r="G215" s="936">
        <v>460</v>
      </c>
      <c r="H215" s="564"/>
      <c r="I215" s="564"/>
    </row>
    <row r="216" spans="1:9" ht="3.75" customHeight="1" thickBot="1">
      <c r="A216" s="1025"/>
      <c r="B216" s="581"/>
      <c r="C216" s="1012"/>
      <c r="D216" s="1012"/>
      <c r="E216" s="1012"/>
      <c r="F216" s="1012"/>
      <c r="G216" s="1012"/>
      <c r="H216" s="564"/>
      <c r="I216" s="564"/>
    </row>
    <row r="217" spans="1:9" ht="12" customHeight="1">
      <c r="A217" s="1776">
        <v>43620</v>
      </c>
      <c r="B217" s="901" t="s">
        <v>611</v>
      </c>
      <c r="C217" s="931">
        <v>115</v>
      </c>
      <c r="D217" s="931">
        <v>161</v>
      </c>
      <c r="E217" s="931" t="s">
        <v>126</v>
      </c>
      <c r="F217" s="931" t="s">
        <v>126</v>
      </c>
      <c r="G217" s="932">
        <v>460</v>
      </c>
      <c r="H217" s="564"/>
      <c r="I217" s="564"/>
    </row>
    <row r="218" spans="1:9" ht="12" customHeight="1">
      <c r="A218" s="1777"/>
      <c r="B218" s="902" t="s">
        <v>612</v>
      </c>
      <c r="C218" s="933">
        <v>115</v>
      </c>
      <c r="D218" s="933">
        <v>161</v>
      </c>
      <c r="E218" s="933">
        <v>184</v>
      </c>
      <c r="F218" s="933">
        <v>276</v>
      </c>
      <c r="G218" s="934">
        <v>460</v>
      </c>
      <c r="H218" s="564"/>
      <c r="I218" s="564"/>
    </row>
    <row r="219" spans="1:9" ht="12" customHeight="1" thickBot="1">
      <c r="A219" s="1778"/>
      <c r="B219" s="903" t="s">
        <v>602</v>
      </c>
      <c r="C219" s="935">
        <v>115</v>
      </c>
      <c r="D219" s="935">
        <v>161</v>
      </c>
      <c r="E219" s="935">
        <v>184</v>
      </c>
      <c r="F219" s="935">
        <v>276</v>
      </c>
      <c r="G219" s="936">
        <v>460</v>
      </c>
      <c r="H219" s="564"/>
      <c r="I219" s="564"/>
    </row>
    <row r="220" spans="1:9" ht="6" customHeight="1" thickBot="1">
      <c r="A220" s="1025"/>
      <c r="B220" s="581"/>
      <c r="C220" s="1012"/>
      <c r="D220" s="1012"/>
      <c r="E220" s="1012"/>
      <c r="F220" s="1012"/>
      <c r="G220" s="1012"/>
      <c r="H220" s="564"/>
      <c r="I220" s="564"/>
    </row>
    <row r="221" spans="1:9" ht="12" customHeight="1">
      <c r="A221" s="1776">
        <v>43627</v>
      </c>
      <c r="B221" s="901" t="s">
        <v>611</v>
      </c>
      <c r="C221" s="931">
        <v>115</v>
      </c>
      <c r="D221" s="931">
        <v>161</v>
      </c>
      <c r="E221" s="931" t="s">
        <v>126</v>
      </c>
      <c r="F221" s="931" t="s">
        <v>126</v>
      </c>
      <c r="G221" s="932">
        <v>460</v>
      </c>
      <c r="H221" s="564"/>
      <c r="I221" s="564"/>
    </row>
    <row r="222" spans="1:9" ht="12" customHeight="1">
      <c r="A222" s="1777"/>
      <c r="B222" s="902" t="s">
        <v>612</v>
      </c>
      <c r="C222" s="933">
        <v>115</v>
      </c>
      <c r="D222" s="933">
        <v>161</v>
      </c>
      <c r="E222" s="933">
        <v>184</v>
      </c>
      <c r="F222" s="933">
        <v>276</v>
      </c>
      <c r="G222" s="934">
        <v>460</v>
      </c>
      <c r="H222" s="564"/>
      <c r="I222" s="564"/>
    </row>
    <row r="223" spans="1:9" ht="12" customHeight="1" thickBot="1">
      <c r="A223" s="1778"/>
      <c r="B223" s="903" t="s">
        <v>602</v>
      </c>
      <c r="C223" s="935">
        <v>115</v>
      </c>
      <c r="D223" s="935">
        <v>161</v>
      </c>
      <c r="E223" s="935">
        <v>184</v>
      </c>
      <c r="F223" s="935">
        <v>276</v>
      </c>
      <c r="G223" s="936">
        <v>460</v>
      </c>
      <c r="H223" s="564"/>
      <c r="I223" s="564"/>
    </row>
    <row r="224" spans="1:9" ht="5.25" customHeight="1" thickBot="1">
      <c r="A224" s="1025"/>
      <c r="B224" s="581"/>
      <c r="C224" s="1012"/>
      <c r="D224" s="1012"/>
      <c r="E224" s="1012"/>
      <c r="F224" s="1012"/>
      <c r="G224" s="1012"/>
      <c r="H224" s="564"/>
      <c r="I224" s="564"/>
    </row>
    <row r="225" spans="1:9" ht="12" customHeight="1">
      <c r="A225" s="1776">
        <v>43633</v>
      </c>
      <c r="B225" s="901" t="s">
        <v>611</v>
      </c>
      <c r="C225" s="931">
        <v>115</v>
      </c>
      <c r="D225" s="931">
        <v>161</v>
      </c>
      <c r="E225" s="931" t="s">
        <v>126</v>
      </c>
      <c r="F225" s="931" t="s">
        <v>126</v>
      </c>
      <c r="G225" s="932">
        <v>460</v>
      </c>
      <c r="H225" s="564"/>
      <c r="I225" s="564"/>
    </row>
    <row r="226" spans="1:9" ht="12" customHeight="1">
      <c r="A226" s="1777"/>
      <c r="B226" s="902" t="s">
        <v>612</v>
      </c>
      <c r="C226" s="933">
        <v>115</v>
      </c>
      <c r="D226" s="933">
        <v>161</v>
      </c>
      <c r="E226" s="933">
        <v>184</v>
      </c>
      <c r="F226" s="933">
        <v>276</v>
      </c>
      <c r="G226" s="934">
        <v>460</v>
      </c>
      <c r="H226" s="564"/>
      <c r="I226" s="564"/>
    </row>
    <row r="227" spans="1:9" ht="12" customHeight="1" thickBot="1">
      <c r="A227" s="1778"/>
      <c r="B227" s="903" t="s">
        <v>602</v>
      </c>
      <c r="C227" s="935">
        <v>115</v>
      </c>
      <c r="D227" s="935">
        <v>161</v>
      </c>
      <c r="E227" s="935">
        <v>184</v>
      </c>
      <c r="F227" s="935">
        <v>276</v>
      </c>
      <c r="G227" s="936">
        <v>460</v>
      </c>
      <c r="H227" s="564"/>
      <c r="I227" s="564"/>
    </row>
    <row r="228" spans="1:9" ht="5.25" customHeight="1" thickBot="1">
      <c r="A228" s="1025"/>
      <c r="B228" s="581"/>
      <c r="C228" s="1012"/>
      <c r="D228" s="1012"/>
      <c r="E228" s="1012"/>
      <c r="F228" s="1012"/>
      <c r="G228" s="1012"/>
      <c r="H228" s="564"/>
      <c r="I228" s="564"/>
    </row>
    <row r="229" spans="1:9" ht="12" customHeight="1">
      <c r="A229" s="1776">
        <v>43636</v>
      </c>
      <c r="B229" s="901" t="s">
        <v>611</v>
      </c>
      <c r="C229" s="931">
        <v>110</v>
      </c>
      <c r="D229" s="931">
        <v>154</v>
      </c>
      <c r="E229" s="931" t="s">
        <v>126</v>
      </c>
      <c r="F229" s="931" t="s">
        <v>126</v>
      </c>
      <c r="G229" s="932">
        <v>440</v>
      </c>
      <c r="H229" s="564"/>
      <c r="I229" s="564"/>
    </row>
    <row r="230" spans="1:9" ht="12" customHeight="1">
      <c r="A230" s="1777"/>
      <c r="B230" s="902" t="s">
        <v>612</v>
      </c>
      <c r="C230" s="933">
        <v>110</v>
      </c>
      <c r="D230" s="933">
        <v>154</v>
      </c>
      <c r="E230" s="933">
        <v>176</v>
      </c>
      <c r="F230" s="933">
        <v>264</v>
      </c>
      <c r="G230" s="934">
        <v>440</v>
      </c>
      <c r="H230" s="564"/>
      <c r="I230" s="564"/>
    </row>
    <row r="231" spans="1:9" ht="12" customHeight="1" thickBot="1">
      <c r="A231" s="1778"/>
      <c r="B231" s="903" t="s">
        <v>602</v>
      </c>
      <c r="C231" s="935">
        <v>110</v>
      </c>
      <c r="D231" s="935">
        <v>154</v>
      </c>
      <c r="E231" s="935">
        <v>176</v>
      </c>
      <c r="F231" s="935">
        <v>264</v>
      </c>
      <c r="G231" s="936">
        <v>440</v>
      </c>
      <c r="H231" s="564"/>
      <c r="I231" s="564"/>
    </row>
    <row r="232" spans="1:9" ht="6" customHeight="1" thickBot="1">
      <c r="A232" s="1025"/>
      <c r="B232" s="581"/>
      <c r="C232" s="1012"/>
      <c r="D232" s="1012"/>
      <c r="E232" s="1012"/>
      <c r="F232" s="1012"/>
      <c r="G232" s="1012"/>
      <c r="H232" s="564"/>
      <c r="I232" s="564"/>
    </row>
    <row r="233" spans="1:9" ht="12" customHeight="1">
      <c r="A233" s="1776">
        <v>43641</v>
      </c>
      <c r="B233" s="901" t="s">
        <v>611</v>
      </c>
      <c r="C233" s="931">
        <v>110</v>
      </c>
      <c r="D233" s="931">
        <v>154</v>
      </c>
      <c r="E233" s="931" t="s">
        <v>126</v>
      </c>
      <c r="F233" s="931" t="s">
        <v>126</v>
      </c>
      <c r="G233" s="932">
        <v>440</v>
      </c>
      <c r="H233" s="564"/>
      <c r="I233" s="564"/>
    </row>
    <row r="234" spans="1:9" ht="12" customHeight="1">
      <c r="A234" s="1777"/>
      <c r="B234" s="902" t="s">
        <v>612</v>
      </c>
      <c r="C234" s="933">
        <v>110</v>
      </c>
      <c r="D234" s="933">
        <v>154</v>
      </c>
      <c r="E234" s="933">
        <v>176</v>
      </c>
      <c r="F234" s="933">
        <v>264</v>
      </c>
      <c r="G234" s="934">
        <v>440</v>
      </c>
      <c r="H234" s="564"/>
      <c r="I234" s="564"/>
    </row>
    <row r="235" spans="1:9" ht="12" customHeight="1" thickBot="1">
      <c r="A235" s="1778"/>
      <c r="B235" s="903" t="s">
        <v>602</v>
      </c>
      <c r="C235" s="935">
        <v>110</v>
      </c>
      <c r="D235" s="935">
        <v>154</v>
      </c>
      <c r="E235" s="935">
        <v>176</v>
      </c>
      <c r="F235" s="935">
        <v>264</v>
      </c>
      <c r="G235" s="936">
        <v>440</v>
      </c>
      <c r="H235" s="564"/>
      <c r="I235" s="564"/>
    </row>
    <row r="236" spans="1:9" ht="6" customHeight="1" thickBot="1">
      <c r="A236" s="1025"/>
      <c r="B236" s="581"/>
      <c r="C236" s="1012"/>
      <c r="D236" s="1012"/>
      <c r="E236" s="1012"/>
      <c r="F236" s="1012"/>
      <c r="G236" s="1012"/>
      <c r="H236" s="564"/>
      <c r="I236" s="564"/>
    </row>
    <row r="237" spans="1:9" ht="12" customHeight="1">
      <c r="A237" s="1776">
        <v>43649</v>
      </c>
      <c r="B237" s="901" t="s">
        <v>611</v>
      </c>
      <c r="C237" s="931">
        <v>110</v>
      </c>
      <c r="D237" s="931">
        <v>154</v>
      </c>
      <c r="E237" s="931" t="s">
        <v>126</v>
      </c>
      <c r="F237" s="931" t="s">
        <v>126</v>
      </c>
      <c r="G237" s="932">
        <v>440</v>
      </c>
      <c r="H237" s="564"/>
      <c r="I237" s="564"/>
    </row>
    <row r="238" spans="1:9" ht="12" customHeight="1">
      <c r="A238" s="1777"/>
      <c r="B238" s="902" t="s">
        <v>612</v>
      </c>
      <c r="C238" s="933">
        <v>110</v>
      </c>
      <c r="D238" s="933">
        <v>154</v>
      </c>
      <c r="E238" s="933">
        <v>176</v>
      </c>
      <c r="F238" s="933">
        <v>264</v>
      </c>
      <c r="G238" s="934">
        <v>440</v>
      </c>
      <c r="H238" s="564"/>
      <c r="I238" s="564"/>
    </row>
    <row r="239" spans="1:9" ht="12" customHeight="1" thickBot="1">
      <c r="A239" s="1778"/>
      <c r="B239" s="903" t="s">
        <v>602</v>
      </c>
      <c r="C239" s="935">
        <v>110</v>
      </c>
      <c r="D239" s="935">
        <v>154</v>
      </c>
      <c r="E239" s="935">
        <v>176</v>
      </c>
      <c r="F239" s="935">
        <v>264</v>
      </c>
      <c r="G239" s="936">
        <v>440</v>
      </c>
      <c r="H239" s="564"/>
      <c r="I239" s="564"/>
    </row>
    <row r="240" spans="1:9" ht="7.5" customHeight="1" thickBot="1">
      <c r="A240" s="1025"/>
      <c r="B240" s="581"/>
      <c r="C240" s="1012"/>
      <c r="D240" s="1012"/>
      <c r="E240" s="1012"/>
      <c r="F240" s="1012"/>
      <c r="G240" s="1012"/>
      <c r="H240" s="564"/>
      <c r="I240" s="564"/>
    </row>
    <row r="241" spans="1:9" ht="12" customHeight="1">
      <c r="A241" s="1776">
        <v>43655</v>
      </c>
      <c r="B241" s="901" t="s">
        <v>611</v>
      </c>
      <c r="C241" s="931">
        <v>110</v>
      </c>
      <c r="D241" s="931">
        <v>154</v>
      </c>
      <c r="E241" s="931" t="s">
        <v>126</v>
      </c>
      <c r="F241" s="931" t="s">
        <v>126</v>
      </c>
      <c r="G241" s="932">
        <v>440</v>
      </c>
      <c r="H241" s="564"/>
      <c r="I241" s="564"/>
    </row>
    <row r="242" spans="1:9" ht="12" customHeight="1">
      <c r="A242" s="1777"/>
      <c r="B242" s="902" t="s">
        <v>612</v>
      </c>
      <c r="C242" s="933">
        <v>110</v>
      </c>
      <c r="D242" s="933">
        <v>154</v>
      </c>
      <c r="E242" s="933">
        <v>176</v>
      </c>
      <c r="F242" s="933">
        <v>264</v>
      </c>
      <c r="G242" s="934">
        <v>440</v>
      </c>
      <c r="H242" s="564"/>
      <c r="I242" s="564"/>
    </row>
    <row r="243" spans="1:9" ht="12" customHeight="1" thickBot="1">
      <c r="A243" s="1778"/>
      <c r="B243" s="903" t="s">
        <v>602</v>
      </c>
      <c r="C243" s="935">
        <v>110</v>
      </c>
      <c r="D243" s="935">
        <v>154</v>
      </c>
      <c r="E243" s="935">
        <v>176</v>
      </c>
      <c r="F243" s="935">
        <v>264</v>
      </c>
      <c r="G243" s="936">
        <v>440</v>
      </c>
      <c r="H243" s="564"/>
      <c r="I243" s="564"/>
    </row>
    <row r="244" spans="1:9" ht="3.75" customHeight="1" thickBot="1">
      <c r="A244" s="1025"/>
      <c r="B244" s="581"/>
      <c r="C244" s="1012"/>
      <c r="D244" s="1012"/>
      <c r="E244" s="1012"/>
      <c r="F244" s="1012"/>
      <c r="G244" s="1012"/>
      <c r="H244" s="564"/>
      <c r="I244" s="564"/>
    </row>
    <row r="245" spans="1:9" ht="12" customHeight="1">
      <c r="A245" s="1776">
        <v>43661</v>
      </c>
      <c r="B245" s="901" t="s">
        <v>611</v>
      </c>
      <c r="C245" s="931">
        <v>110</v>
      </c>
      <c r="D245" s="931">
        <v>154</v>
      </c>
      <c r="E245" s="931" t="s">
        <v>126</v>
      </c>
      <c r="F245" s="931" t="s">
        <v>126</v>
      </c>
      <c r="G245" s="932">
        <v>440</v>
      </c>
      <c r="H245" s="564"/>
      <c r="I245" s="564"/>
    </row>
    <row r="246" spans="1:9" ht="12" customHeight="1">
      <c r="A246" s="1777"/>
      <c r="B246" s="902" t="s">
        <v>612</v>
      </c>
      <c r="C246" s="933">
        <v>110</v>
      </c>
      <c r="D246" s="933">
        <v>154</v>
      </c>
      <c r="E246" s="933">
        <v>176</v>
      </c>
      <c r="F246" s="933">
        <v>264</v>
      </c>
      <c r="G246" s="934">
        <v>440</v>
      </c>
      <c r="H246" s="564"/>
      <c r="I246" s="564"/>
    </row>
    <row r="247" spans="1:9" ht="12" customHeight="1" thickBot="1">
      <c r="A247" s="1778"/>
      <c r="B247" s="903" t="s">
        <v>602</v>
      </c>
      <c r="C247" s="935">
        <v>110</v>
      </c>
      <c r="D247" s="935">
        <v>154</v>
      </c>
      <c r="E247" s="935">
        <v>176</v>
      </c>
      <c r="F247" s="935">
        <v>264</v>
      </c>
      <c r="G247" s="936">
        <v>440</v>
      </c>
      <c r="H247" s="564"/>
      <c r="I247" s="564"/>
    </row>
    <row r="248" spans="1:9" ht="5.25" customHeight="1" thickBot="1">
      <c r="A248" s="1025"/>
      <c r="B248" s="581"/>
      <c r="C248" s="1012"/>
      <c r="D248" s="1012"/>
      <c r="E248" s="1012"/>
      <c r="F248" s="1012"/>
      <c r="G248" s="1012"/>
      <c r="H248" s="564"/>
      <c r="I248" s="564"/>
    </row>
    <row r="249" spans="1:9" ht="12" customHeight="1">
      <c r="A249" s="1776">
        <v>43668</v>
      </c>
      <c r="B249" s="901" t="s">
        <v>611</v>
      </c>
      <c r="C249" s="931">
        <v>110</v>
      </c>
      <c r="D249" s="931">
        <v>154</v>
      </c>
      <c r="E249" s="931" t="s">
        <v>126</v>
      </c>
      <c r="F249" s="931" t="s">
        <v>126</v>
      </c>
      <c r="G249" s="932">
        <v>440</v>
      </c>
      <c r="H249" s="564"/>
      <c r="I249" s="564"/>
    </row>
    <row r="250" spans="1:9" ht="12" customHeight="1">
      <c r="A250" s="1777"/>
      <c r="B250" s="902" t="s">
        <v>612</v>
      </c>
      <c r="C250" s="933">
        <v>110</v>
      </c>
      <c r="D250" s="933">
        <v>154</v>
      </c>
      <c r="E250" s="933">
        <v>176</v>
      </c>
      <c r="F250" s="933">
        <v>264</v>
      </c>
      <c r="G250" s="934">
        <v>440</v>
      </c>
      <c r="H250" s="564"/>
      <c r="I250" s="564"/>
    </row>
    <row r="251" spans="1:9" ht="12" customHeight="1" thickBot="1">
      <c r="A251" s="1778"/>
      <c r="B251" s="903" t="s">
        <v>602</v>
      </c>
      <c r="C251" s="935">
        <v>110</v>
      </c>
      <c r="D251" s="935">
        <v>154</v>
      </c>
      <c r="E251" s="935">
        <v>176</v>
      </c>
      <c r="F251" s="935">
        <v>264</v>
      </c>
      <c r="G251" s="936">
        <v>440</v>
      </c>
      <c r="H251" s="564"/>
      <c r="I251" s="564"/>
    </row>
    <row r="252" spans="1:9" ht="7.5" customHeight="1" thickBot="1">
      <c r="A252" s="1025"/>
      <c r="B252" s="581"/>
      <c r="C252" s="1012"/>
      <c r="D252" s="1012"/>
      <c r="E252" s="1012"/>
      <c r="F252" s="1012"/>
      <c r="G252" s="1012"/>
      <c r="H252" s="564"/>
      <c r="I252" s="564"/>
    </row>
    <row r="253" spans="1:9" ht="12" customHeight="1">
      <c r="A253" s="1776">
        <v>43675</v>
      </c>
      <c r="B253" s="901" t="s">
        <v>611</v>
      </c>
      <c r="C253" s="931">
        <v>110</v>
      </c>
      <c r="D253" s="931">
        <v>154</v>
      </c>
      <c r="E253" s="931" t="s">
        <v>126</v>
      </c>
      <c r="F253" s="931" t="s">
        <v>126</v>
      </c>
      <c r="G253" s="932">
        <v>440</v>
      </c>
      <c r="H253" s="564"/>
      <c r="I253" s="564"/>
    </row>
    <row r="254" spans="1:9" ht="12" customHeight="1">
      <c r="A254" s="1777"/>
      <c r="B254" s="902" t="s">
        <v>612</v>
      </c>
      <c r="C254" s="933">
        <v>110</v>
      </c>
      <c r="D254" s="933">
        <v>154</v>
      </c>
      <c r="E254" s="933">
        <v>176</v>
      </c>
      <c r="F254" s="933">
        <v>264</v>
      </c>
      <c r="G254" s="934">
        <v>440</v>
      </c>
      <c r="H254" s="564"/>
      <c r="I254" s="564"/>
    </row>
    <row r="255" spans="1:9" ht="12" customHeight="1" thickBot="1">
      <c r="A255" s="1778"/>
      <c r="B255" s="903" t="s">
        <v>602</v>
      </c>
      <c r="C255" s="935">
        <v>110</v>
      </c>
      <c r="D255" s="935">
        <v>154</v>
      </c>
      <c r="E255" s="935">
        <v>176</v>
      </c>
      <c r="F255" s="935">
        <v>264</v>
      </c>
      <c r="G255" s="936">
        <v>440</v>
      </c>
      <c r="H255" s="564"/>
      <c r="I255" s="564"/>
    </row>
    <row r="256" spans="1:9" ht="5.25" customHeight="1" thickBot="1">
      <c r="A256" s="1025"/>
      <c r="B256" s="581"/>
      <c r="C256" s="1012"/>
      <c r="D256" s="1012"/>
      <c r="E256" s="1012"/>
      <c r="F256" s="1012"/>
      <c r="G256" s="1012"/>
      <c r="H256" s="564"/>
      <c r="I256" s="564"/>
    </row>
    <row r="257" spans="1:9" ht="12" customHeight="1">
      <c r="A257" s="1776">
        <v>43682</v>
      </c>
      <c r="B257" s="901" t="s">
        <v>611</v>
      </c>
      <c r="C257" s="931">
        <v>110</v>
      </c>
      <c r="D257" s="931">
        <v>154</v>
      </c>
      <c r="E257" s="931" t="s">
        <v>126</v>
      </c>
      <c r="F257" s="931" t="s">
        <v>126</v>
      </c>
      <c r="G257" s="932">
        <v>440</v>
      </c>
      <c r="H257" s="564"/>
      <c r="I257" s="564"/>
    </row>
    <row r="258" spans="1:9" ht="12" customHeight="1">
      <c r="A258" s="1777"/>
      <c r="B258" s="902" t="s">
        <v>612</v>
      </c>
      <c r="C258" s="933">
        <v>110</v>
      </c>
      <c r="D258" s="933">
        <v>154</v>
      </c>
      <c r="E258" s="933">
        <v>176</v>
      </c>
      <c r="F258" s="933">
        <v>264</v>
      </c>
      <c r="G258" s="934">
        <v>440</v>
      </c>
      <c r="H258" s="564"/>
      <c r="I258" s="564"/>
    </row>
    <row r="259" spans="1:9" ht="12" customHeight="1" thickBot="1">
      <c r="A259" s="1778"/>
      <c r="B259" s="903" t="s">
        <v>602</v>
      </c>
      <c r="C259" s="935">
        <v>110</v>
      </c>
      <c r="D259" s="935">
        <v>154</v>
      </c>
      <c r="E259" s="935">
        <v>176</v>
      </c>
      <c r="F259" s="935">
        <v>264</v>
      </c>
      <c r="G259" s="936">
        <v>440</v>
      </c>
      <c r="H259" s="564"/>
      <c r="I259" s="564"/>
    </row>
    <row r="260" spans="1:9" ht="5.25" customHeight="1" thickBot="1">
      <c r="A260" s="1025"/>
      <c r="B260" s="581"/>
      <c r="C260" s="1012"/>
      <c r="D260" s="1012"/>
      <c r="E260" s="1012"/>
      <c r="F260" s="1012"/>
      <c r="G260" s="1012"/>
      <c r="H260" s="564"/>
      <c r="I260" s="564"/>
    </row>
    <row r="261" spans="1:9" ht="12" customHeight="1">
      <c r="A261" s="1776">
        <v>43690</v>
      </c>
      <c r="B261" s="901" t="s">
        <v>611</v>
      </c>
      <c r="C261" s="931">
        <v>110</v>
      </c>
      <c r="D261" s="931">
        <v>154</v>
      </c>
      <c r="E261" s="931" t="s">
        <v>126</v>
      </c>
      <c r="F261" s="931" t="s">
        <v>126</v>
      </c>
      <c r="G261" s="932">
        <v>440</v>
      </c>
      <c r="H261" s="564"/>
      <c r="I261" s="564"/>
    </row>
    <row r="262" spans="1:9" ht="12" customHeight="1">
      <c r="A262" s="1777"/>
      <c r="B262" s="902" t="s">
        <v>612</v>
      </c>
      <c r="C262" s="933">
        <v>110</v>
      </c>
      <c r="D262" s="933">
        <v>154</v>
      </c>
      <c r="E262" s="933">
        <v>176</v>
      </c>
      <c r="F262" s="933">
        <v>264</v>
      </c>
      <c r="G262" s="934">
        <v>440</v>
      </c>
      <c r="H262" s="564"/>
      <c r="I262" s="564"/>
    </row>
    <row r="263" spans="1:9" ht="12" customHeight="1" thickBot="1">
      <c r="A263" s="1778"/>
      <c r="B263" s="903" t="s">
        <v>602</v>
      </c>
      <c r="C263" s="935">
        <v>110</v>
      </c>
      <c r="D263" s="935">
        <v>154</v>
      </c>
      <c r="E263" s="935">
        <v>176</v>
      </c>
      <c r="F263" s="935">
        <v>264</v>
      </c>
      <c r="G263" s="936">
        <v>440</v>
      </c>
      <c r="H263" s="564"/>
      <c r="I263" s="564"/>
    </row>
    <row r="264" spans="1:9" ht="6.75" customHeight="1" thickBot="1">
      <c r="A264" s="1025"/>
      <c r="B264" s="581"/>
      <c r="C264" s="1012"/>
      <c r="D264" s="1012"/>
      <c r="E264" s="1012"/>
      <c r="F264" s="1012"/>
      <c r="G264" s="1012"/>
      <c r="H264" s="564"/>
      <c r="I264" s="564"/>
    </row>
    <row r="265" spans="1:9" ht="12" customHeight="1">
      <c r="A265" s="1776">
        <v>43697</v>
      </c>
      <c r="B265" s="901" t="s">
        <v>611</v>
      </c>
      <c r="C265" s="931">
        <v>110</v>
      </c>
      <c r="D265" s="931">
        <v>154</v>
      </c>
      <c r="E265" s="931" t="s">
        <v>126</v>
      </c>
      <c r="F265" s="931" t="s">
        <v>126</v>
      </c>
      <c r="G265" s="932">
        <v>440</v>
      </c>
      <c r="H265" s="564"/>
      <c r="I265" s="564"/>
    </row>
    <row r="266" spans="1:9" ht="12" customHeight="1">
      <c r="A266" s="1777"/>
      <c r="B266" s="902" t="s">
        <v>612</v>
      </c>
      <c r="C266" s="933">
        <v>110</v>
      </c>
      <c r="D266" s="933">
        <v>154</v>
      </c>
      <c r="E266" s="933">
        <v>176</v>
      </c>
      <c r="F266" s="933">
        <v>264</v>
      </c>
      <c r="G266" s="934">
        <v>440</v>
      </c>
      <c r="H266" s="564"/>
      <c r="I266" s="564"/>
    </row>
    <row r="267" spans="1:9" ht="12" customHeight="1" thickBot="1">
      <c r="A267" s="1778"/>
      <c r="B267" s="903" t="s">
        <v>602</v>
      </c>
      <c r="C267" s="935">
        <v>110</v>
      </c>
      <c r="D267" s="935">
        <v>154</v>
      </c>
      <c r="E267" s="935">
        <v>176</v>
      </c>
      <c r="F267" s="935">
        <v>264</v>
      </c>
      <c r="G267" s="936">
        <v>440</v>
      </c>
      <c r="H267" s="564"/>
      <c r="I267" s="564"/>
    </row>
    <row r="268" spans="1:9" ht="6" customHeight="1" thickBot="1">
      <c r="A268" s="1025"/>
      <c r="B268" s="581"/>
      <c r="C268" s="1012"/>
      <c r="D268" s="1012"/>
      <c r="E268" s="1012"/>
      <c r="F268" s="1012"/>
      <c r="G268" s="1012"/>
      <c r="H268" s="564"/>
      <c r="I268" s="564"/>
    </row>
    <row r="269" spans="1:9" ht="12" customHeight="1">
      <c r="A269" s="1776">
        <v>43704</v>
      </c>
      <c r="B269" s="901" t="s">
        <v>611</v>
      </c>
      <c r="C269" s="931">
        <v>110</v>
      </c>
      <c r="D269" s="931">
        <v>154</v>
      </c>
      <c r="E269" s="931" t="s">
        <v>126</v>
      </c>
      <c r="F269" s="931" t="s">
        <v>126</v>
      </c>
      <c r="G269" s="932">
        <v>440</v>
      </c>
      <c r="H269" s="564"/>
      <c r="I269" s="564"/>
    </row>
    <row r="270" spans="1:9" ht="12" customHeight="1">
      <c r="A270" s="1777"/>
      <c r="B270" s="902" t="s">
        <v>612</v>
      </c>
      <c r="C270" s="933">
        <v>110</v>
      </c>
      <c r="D270" s="933">
        <v>154</v>
      </c>
      <c r="E270" s="933">
        <v>176</v>
      </c>
      <c r="F270" s="933">
        <v>264</v>
      </c>
      <c r="G270" s="934">
        <v>440</v>
      </c>
      <c r="H270" s="564"/>
      <c r="I270" s="564"/>
    </row>
    <row r="271" spans="1:9" ht="12" customHeight="1" thickBot="1">
      <c r="A271" s="1778"/>
      <c r="B271" s="903" t="s">
        <v>602</v>
      </c>
      <c r="C271" s="935">
        <v>110</v>
      </c>
      <c r="D271" s="935">
        <v>154</v>
      </c>
      <c r="E271" s="935">
        <v>176</v>
      </c>
      <c r="F271" s="935">
        <v>264</v>
      </c>
      <c r="G271" s="936">
        <v>440</v>
      </c>
      <c r="H271" s="564"/>
      <c r="I271" s="564"/>
    </row>
    <row r="272" spans="1:9" ht="3.75" customHeight="1" thickBot="1">
      <c r="A272" s="1025"/>
      <c r="B272" s="581"/>
      <c r="C272" s="1012"/>
      <c r="D272" s="1012"/>
      <c r="E272" s="1012"/>
      <c r="F272" s="1012"/>
      <c r="G272" s="1012"/>
      <c r="H272" s="564"/>
      <c r="I272" s="564"/>
    </row>
    <row r="273" spans="1:9" ht="12" customHeight="1">
      <c r="A273" s="1776">
        <v>43710</v>
      </c>
      <c r="B273" s="901" t="s">
        <v>611</v>
      </c>
      <c r="C273" s="931">
        <v>110</v>
      </c>
      <c r="D273" s="931">
        <v>154</v>
      </c>
      <c r="E273" s="931" t="s">
        <v>126</v>
      </c>
      <c r="F273" s="931" t="s">
        <v>126</v>
      </c>
      <c r="G273" s="932">
        <v>440</v>
      </c>
      <c r="H273" s="564"/>
      <c r="I273" s="564"/>
    </row>
    <row r="274" spans="1:9" ht="12" customHeight="1">
      <c r="A274" s="1777"/>
      <c r="B274" s="902" t="s">
        <v>612</v>
      </c>
      <c r="C274" s="933">
        <v>110</v>
      </c>
      <c r="D274" s="933">
        <v>154</v>
      </c>
      <c r="E274" s="933">
        <v>176</v>
      </c>
      <c r="F274" s="933">
        <v>264</v>
      </c>
      <c r="G274" s="934">
        <v>440</v>
      </c>
      <c r="H274" s="564"/>
      <c r="I274" s="564"/>
    </row>
    <row r="275" spans="1:9" ht="12" customHeight="1" thickBot="1">
      <c r="A275" s="1778"/>
      <c r="B275" s="903" t="s">
        <v>602</v>
      </c>
      <c r="C275" s="935">
        <v>110</v>
      </c>
      <c r="D275" s="935">
        <v>154</v>
      </c>
      <c r="E275" s="935">
        <v>176</v>
      </c>
      <c r="F275" s="935">
        <v>264</v>
      </c>
      <c r="G275" s="936">
        <v>440</v>
      </c>
      <c r="H275" s="564"/>
      <c r="I275" s="564"/>
    </row>
    <row r="276" spans="1:9" ht="6" customHeight="1" thickBot="1">
      <c r="A276" s="1025"/>
      <c r="B276" s="581"/>
      <c r="C276" s="1012"/>
      <c r="D276" s="1012"/>
      <c r="E276" s="1012"/>
      <c r="F276" s="1012"/>
      <c r="G276" s="1012"/>
      <c r="H276" s="564"/>
      <c r="I276" s="564"/>
    </row>
    <row r="277" spans="1:9" ht="12" customHeight="1">
      <c r="A277" s="1776">
        <v>43718</v>
      </c>
      <c r="B277" s="901" t="s">
        <v>611</v>
      </c>
      <c r="C277" s="931">
        <v>110</v>
      </c>
      <c r="D277" s="931">
        <v>154</v>
      </c>
      <c r="E277" s="931" t="s">
        <v>126</v>
      </c>
      <c r="F277" s="931" t="s">
        <v>126</v>
      </c>
      <c r="G277" s="932">
        <v>440</v>
      </c>
      <c r="H277" s="564"/>
      <c r="I277" s="564"/>
    </row>
    <row r="278" spans="1:9" ht="12" customHeight="1">
      <c r="A278" s="1777"/>
      <c r="B278" s="902" t="s">
        <v>612</v>
      </c>
      <c r="C278" s="933">
        <v>110</v>
      </c>
      <c r="D278" s="933">
        <v>154</v>
      </c>
      <c r="E278" s="933">
        <v>176</v>
      </c>
      <c r="F278" s="933">
        <v>264</v>
      </c>
      <c r="G278" s="934">
        <v>440</v>
      </c>
      <c r="H278" s="564"/>
      <c r="I278" s="564"/>
    </row>
    <row r="279" spans="1:9" ht="12" customHeight="1" thickBot="1">
      <c r="A279" s="1778"/>
      <c r="B279" s="903" t="s">
        <v>602</v>
      </c>
      <c r="C279" s="935">
        <v>110</v>
      </c>
      <c r="D279" s="935">
        <v>154</v>
      </c>
      <c r="E279" s="935">
        <v>176</v>
      </c>
      <c r="F279" s="935">
        <v>264</v>
      </c>
      <c r="G279" s="936">
        <v>440</v>
      </c>
      <c r="H279" s="564"/>
      <c r="I279" s="564"/>
    </row>
    <row r="280" spans="1:9" ht="3.75" customHeight="1" thickBot="1">
      <c r="A280" s="1025"/>
      <c r="B280" s="581"/>
      <c r="C280" s="1012"/>
      <c r="D280" s="1012"/>
      <c r="E280" s="1012"/>
      <c r="F280" s="1012"/>
      <c r="G280" s="1012"/>
      <c r="H280" s="564"/>
      <c r="I280" s="564"/>
    </row>
    <row r="281" spans="1:9" ht="12" customHeight="1">
      <c r="A281" s="1776">
        <v>43726</v>
      </c>
      <c r="B281" s="901" t="s">
        <v>611</v>
      </c>
      <c r="C281" s="931">
        <v>110</v>
      </c>
      <c r="D281" s="931">
        <v>154</v>
      </c>
      <c r="E281" s="931" t="s">
        <v>126</v>
      </c>
      <c r="F281" s="931" t="s">
        <v>126</v>
      </c>
      <c r="G281" s="932">
        <v>440</v>
      </c>
      <c r="H281" s="564"/>
      <c r="I281" s="564"/>
    </row>
    <row r="282" spans="1:9" ht="12" customHeight="1">
      <c r="A282" s="1777"/>
      <c r="B282" s="902" t="s">
        <v>612</v>
      </c>
      <c r="C282" s="933">
        <v>110</v>
      </c>
      <c r="D282" s="933">
        <v>154</v>
      </c>
      <c r="E282" s="933">
        <v>176</v>
      </c>
      <c r="F282" s="933">
        <v>264</v>
      </c>
      <c r="G282" s="934">
        <v>440</v>
      </c>
      <c r="H282" s="564"/>
      <c r="I282" s="564"/>
    </row>
    <row r="283" spans="1:9" ht="12" customHeight="1" thickBot="1">
      <c r="A283" s="1778"/>
      <c r="B283" s="903" t="s">
        <v>602</v>
      </c>
      <c r="C283" s="935">
        <v>110</v>
      </c>
      <c r="D283" s="935">
        <v>154</v>
      </c>
      <c r="E283" s="935">
        <v>176</v>
      </c>
      <c r="F283" s="935">
        <v>264</v>
      </c>
      <c r="G283" s="936">
        <v>440</v>
      </c>
      <c r="H283" s="564"/>
      <c r="I283" s="564"/>
    </row>
    <row r="284" spans="1:9" ht="6" customHeight="1" thickBot="1">
      <c r="A284" s="579"/>
      <c r="B284" s="589"/>
      <c r="C284" s="937"/>
      <c r="D284" s="937"/>
      <c r="E284" s="937"/>
      <c r="F284" s="937"/>
      <c r="G284" s="937"/>
      <c r="H284" s="564"/>
      <c r="I284" s="564"/>
    </row>
    <row r="285" spans="1:9" ht="12" customHeight="1">
      <c r="A285" s="1776">
        <v>43732</v>
      </c>
      <c r="B285" s="901" t="s">
        <v>611</v>
      </c>
      <c r="C285" s="931">
        <v>110</v>
      </c>
      <c r="D285" s="931">
        <v>154</v>
      </c>
      <c r="E285" s="931" t="s">
        <v>126</v>
      </c>
      <c r="F285" s="931" t="s">
        <v>126</v>
      </c>
      <c r="G285" s="932">
        <v>440</v>
      </c>
      <c r="H285" s="564"/>
      <c r="I285" s="564"/>
    </row>
    <row r="286" spans="1:9" ht="12" customHeight="1">
      <c r="A286" s="1777"/>
      <c r="B286" s="902" t="s">
        <v>612</v>
      </c>
      <c r="C286" s="933">
        <v>110</v>
      </c>
      <c r="D286" s="933">
        <v>154</v>
      </c>
      <c r="E286" s="933">
        <v>176</v>
      </c>
      <c r="F286" s="933">
        <v>264</v>
      </c>
      <c r="G286" s="934">
        <v>440</v>
      </c>
      <c r="H286" s="564"/>
      <c r="I286" s="564"/>
    </row>
    <row r="287" spans="1:9" ht="12" customHeight="1" thickBot="1">
      <c r="A287" s="1778"/>
      <c r="B287" s="903" t="s">
        <v>602</v>
      </c>
      <c r="C287" s="935">
        <v>110</v>
      </c>
      <c r="D287" s="935">
        <v>154</v>
      </c>
      <c r="E287" s="935">
        <v>176</v>
      </c>
      <c r="F287" s="935">
        <v>264</v>
      </c>
      <c r="G287" s="936">
        <v>440</v>
      </c>
      <c r="H287" s="564"/>
      <c r="I287" s="564"/>
    </row>
    <row r="288" spans="1:9" ht="5.25" customHeight="1" thickBot="1">
      <c r="A288" s="1025"/>
      <c r="B288" s="581"/>
      <c r="C288" s="1012"/>
      <c r="D288" s="1012"/>
      <c r="E288" s="1012"/>
      <c r="F288" s="1012"/>
      <c r="G288" s="1012"/>
      <c r="H288" s="564"/>
      <c r="I288" s="564"/>
    </row>
    <row r="289" spans="1:9" ht="12" customHeight="1">
      <c r="A289" s="1776">
        <v>43742</v>
      </c>
      <c r="B289" s="901" t="s">
        <v>611</v>
      </c>
      <c r="C289" s="931">
        <v>100</v>
      </c>
      <c r="D289" s="931">
        <v>140</v>
      </c>
      <c r="E289" s="931" t="s">
        <v>126</v>
      </c>
      <c r="F289" s="931" t="s">
        <v>126</v>
      </c>
      <c r="G289" s="932">
        <v>400</v>
      </c>
      <c r="H289" s="564"/>
      <c r="I289" s="564"/>
    </row>
    <row r="290" spans="1:9" ht="12" customHeight="1">
      <c r="A290" s="1777"/>
      <c r="B290" s="902" t="s">
        <v>612</v>
      </c>
      <c r="C290" s="933">
        <v>100</v>
      </c>
      <c r="D290" s="933">
        <v>140</v>
      </c>
      <c r="E290" s="933">
        <v>160</v>
      </c>
      <c r="F290" s="933">
        <v>240</v>
      </c>
      <c r="G290" s="934">
        <v>400</v>
      </c>
      <c r="H290" s="564"/>
      <c r="I290" s="564"/>
    </row>
    <row r="291" spans="1:9" ht="12" customHeight="1" thickBot="1">
      <c r="A291" s="1778"/>
      <c r="B291" s="903" t="s">
        <v>602</v>
      </c>
      <c r="C291" s="935">
        <v>100</v>
      </c>
      <c r="D291" s="935">
        <v>140</v>
      </c>
      <c r="E291" s="935">
        <v>160</v>
      </c>
      <c r="F291" s="935">
        <v>240</v>
      </c>
      <c r="G291" s="936">
        <v>400</v>
      </c>
      <c r="H291" s="564"/>
      <c r="I291" s="564"/>
    </row>
    <row r="292" spans="1:9" ht="4.5" customHeight="1" thickBot="1">
      <c r="A292" s="1025"/>
      <c r="B292" s="581"/>
      <c r="C292" s="1012"/>
      <c r="D292" s="1012"/>
      <c r="E292" s="1012"/>
      <c r="F292" s="1012"/>
      <c r="G292" s="1012"/>
      <c r="H292" s="564"/>
      <c r="I292" s="564"/>
    </row>
    <row r="293" spans="1:9" ht="12" customHeight="1">
      <c r="A293" s="1776">
        <v>43753</v>
      </c>
      <c r="B293" s="901" t="s">
        <v>611</v>
      </c>
      <c r="C293" s="931">
        <v>100</v>
      </c>
      <c r="D293" s="931">
        <v>140</v>
      </c>
      <c r="E293" s="931" t="s">
        <v>126</v>
      </c>
      <c r="F293" s="931" t="s">
        <v>126</v>
      </c>
      <c r="G293" s="932">
        <v>400</v>
      </c>
      <c r="H293" s="564"/>
      <c r="I293" s="564"/>
    </row>
    <row r="294" spans="1:9" ht="12" customHeight="1">
      <c r="A294" s="1777"/>
      <c r="B294" s="902" t="s">
        <v>612</v>
      </c>
      <c r="C294" s="933">
        <v>100</v>
      </c>
      <c r="D294" s="933">
        <v>140</v>
      </c>
      <c r="E294" s="933">
        <v>160</v>
      </c>
      <c r="F294" s="933">
        <v>240</v>
      </c>
      <c r="G294" s="934">
        <v>400</v>
      </c>
      <c r="H294" s="564"/>
      <c r="I294" s="564"/>
    </row>
    <row r="295" spans="1:9" ht="12" customHeight="1" thickBot="1">
      <c r="A295" s="1778"/>
      <c r="B295" s="903" t="s">
        <v>602</v>
      </c>
      <c r="C295" s="935">
        <v>100</v>
      </c>
      <c r="D295" s="935">
        <v>140</v>
      </c>
      <c r="E295" s="935">
        <v>160</v>
      </c>
      <c r="F295" s="935">
        <v>240</v>
      </c>
      <c r="G295" s="936">
        <v>400</v>
      </c>
      <c r="H295" s="564"/>
      <c r="I295" s="564"/>
    </row>
    <row r="296" spans="1:9" ht="6" customHeight="1" thickBot="1">
      <c r="A296" s="1025"/>
      <c r="B296" s="581"/>
      <c r="C296" s="1012"/>
      <c r="D296" s="1012"/>
      <c r="E296" s="1012"/>
      <c r="F296" s="1012"/>
      <c r="G296" s="1012"/>
      <c r="H296" s="564"/>
      <c r="I296" s="564"/>
    </row>
    <row r="297" spans="1:9" ht="12" customHeight="1">
      <c r="A297" s="1776">
        <v>43761</v>
      </c>
      <c r="B297" s="901" t="s">
        <v>611</v>
      </c>
      <c r="C297" s="931">
        <v>100</v>
      </c>
      <c r="D297" s="931">
        <v>140</v>
      </c>
      <c r="E297" s="931" t="s">
        <v>126</v>
      </c>
      <c r="F297" s="931" t="s">
        <v>126</v>
      </c>
      <c r="G297" s="932">
        <v>400</v>
      </c>
      <c r="H297" s="564"/>
      <c r="I297" s="564"/>
    </row>
    <row r="298" spans="1:9" ht="12" customHeight="1">
      <c r="A298" s="1777"/>
      <c r="B298" s="902" t="s">
        <v>612</v>
      </c>
      <c r="C298" s="933">
        <v>100</v>
      </c>
      <c r="D298" s="933">
        <v>140</v>
      </c>
      <c r="E298" s="933">
        <v>160</v>
      </c>
      <c r="F298" s="933">
        <v>240</v>
      </c>
      <c r="G298" s="934">
        <v>400</v>
      </c>
      <c r="H298" s="564"/>
      <c r="I298" s="564"/>
    </row>
    <row r="299" spans="1:9" ht="12" customHeight="1" thickBot="1">
      <c r="A299" s="1778"/>
      <c r="B299" s="903" t="s">
        <v>602</v>
      </c>
      <c r="C299" s="935">
        <v>100</v>
      </c>
      <c r="D299" s="935">
        <v>140</v>
      </c>
      <c r="E299" s="935">
        <v>160</v>
      </c>
      <c r="F299" s="935">
        <v>240</v>
      </c>
      <c r="G299" s="936">
        <v>400</v>
      </c>
      <c r="H299" s="564"/>
      <c r="I299" s="564"/>
    </row>
    <row r="300" spans="1:9" ht="6" customHeight="1" thickBot="1">
      <c r="A300" s="1025"/>
      <c r="B300" s="581"/>
      <c r="C300" s="1012"/>
      <c r="D300" s="1012"/>
      <c r="E300" s="1012"/>
      <c r="F300" s="1012"/>
      <c r="G300" s="1012"/>
      <c r="H300" s="564"/>
      <c r="I300" s="564"/>
    </row>
    <row r="301" spans="1:9" ht="12" customHeight="1">
      <c r="A301" s="1776">
        <v>43767</v>
      </c>
      <c r="B301" s="901" t="s">
        <v>611</v>
      </c>
      <c r="C301" s="931">
        <v>100</v>
      </c>
      <c r="D301" s="931">
        <v>140</v>
      </c>
      <c r="E301" s="931" t="s">
        <v>126</v>
      </c>
      <c r="F301" s="931" t="s">
        <v>126</v>
      </c>
      <c r="G301" s="932">
        <v>400</v>
      </c>
      <c r="H301" s="564"/>
      <c r="I301" s="564"/>
    </row>
    <row r="302" spans="1:9" ht="12" customHeight="1">
      <c r="A302" s="1777"/>
      <c r="B302" s="902" t="s">
        <v>612</v>
      </c>
      <c r="C302" s="933">
        <v>100</v>
      </c>
      <c r="D302" s="933">
        <v>140</v>
      </c>
      <c r="E302" s="933">
        <v>160</v>
      </c>
      <c r="F302" s="933">
        <v>240</v>
      </c>
      <c r="G302" s="934">
        <v>400</v>
      </c>
      <c r="H302" s="564"/>
      <c r="I302" s="564"/>
    </row>
    <row r="303" spans="1:9" ht="12" customHeight="1" thickBot="1">
      <c r="A303" s="1778"/>
      <c r="B303" s="903" t="s">
        <v>602</v>
      </c>
      <c r="C303" s="935">
        <v>100</v>
      </c>
      <c r="D303" s="935">
        <v>140</v>
      </c>
      <c r="E303" s="935">
        <v>160</v>
      </c>
      <c r="F303" s="935">
        <v>240</v>
      </c>
      <c r="G303" s="936">
        <v>400</v>
      </c>
      <c r="H303" s="564"/>
      <c r="I303" s="564"/>
    </row>
    <row r="304" spans="1:9" ht="3.75" customHeight="1" thickBot="1">
      <c r="A304" s="1025"/>
      <c r="B304" s="581"/>
      <c r="C304" s="1012"/>
      <c r="D304" s="1012"/>
      <c r="E304" s="1012"/>
      <c r="F304" s="1012"/>
      <c r="G304" s="1012"/>
      <c r="H304" s="564"/>
      <c r="I304" s="564"/>
    </row>
    <row r="305" spans="1:9" ht="12" customHeight="1">
      <c r="A305" s="1776">
        <v>43774</v>
      </c>
      <c r="B305" s="901" t="s">
        <v>611</v>
      </c>
      <c r="C305" s="931">
        <v>100</v>
      </c>
      <c r="D305" s="931">
        <v>140</v>
      </c>
      <c r="E305" s="931" t="s">
        <v>126</v>
      </c>
      <c r="F305" s="931" t="s">
        <v>126</v>
      </c>
      <c r="G305" s="932">
        <v>400</v>
      </c>
      <c r="H305" s="564"/>
      <c r="I305" s="564"/>
    </row>
    <row r="306" spans="1:9" ht="12" customHeight="1">
      <c r="A306" s="1777"/>
      <c r="B306" s="902" t="s">
        <v>612</v>
      </c>
      <c r="C306" s="933">
        <v>100</v>
      </c>
      <c r="D306" s="933">
        <v>140</v>
      </c>
      <c r="E306" s="933">
        <v>160</v>
      </c>
      <c r="F306" s="933">
        <v>240</v>
      </c>
      <c r="G306" s="934">
        <v>400</v>
      </c>
      <c r="H306" s="564"/>
      <c r="I306" s="564"/>
    </row>
    <row r="307" spans="1:9" ht="12" customHeight="1" thickBot="1">
      <c r="A307" s="1778"/>
      <c r="B307" s="903" t="s">
        <v>602</v>
      </c>
      <c r="C307" s="935">
        <v>100</v>
      </c>
      <c r="D307" s="935">
        <v>140</v>
      </c>
      <c r="E307" s="935">
        <v>160</v>
      </c>
      <c r="F307" s="935">
        <v>240</v>
      </c>
      <c r="G307" s="936">
        <v>400</v>
      </c>
      <c r="H307" s="564"/>
      <c r="I307" s="564"/>
    </row>
    <row r="308" spans="1:9" ht="5.25" customHeight="1" thickBot="1">
      <c r="A308" s="1025"/>
      <c r="B308" s="581"/>
      <c r="C308" s="1012"/>
      <c r="D308" s="1012"/>
      <c r="E308" s="1012"/>
      <c r="F308" s="1012"/>
      <c r="G308" s="1012"/>
      <c r="H308" s="564"/>
      <c r="I308" s="564"/>
    </row>
    <row r="309" spans="1:9" ht="12" customHeight="1">
      <c r="A309" s="1776">
        <v>43780</v>
      </c>
      <c r="B309" s="901" t="s">
        <v>611</v>
      </c>
      <c r="C309" s="931">
        <v>100</v>
      </c>
      <c r="D309" s="931">
        <v>140</v>
      </c>
      <c r="E309" s="931" t="s">
        <v>126</v>
      </c>
      <c r="F309" s="931" t="s">
        <v>126</v>
      </c>
      <c r="G309" s="932">
        <v>400</v>
      </c>
      <c r="H309" s="564"/>
      <c r="I309" s="564"/>
    </row>
    <row r="310" spans="1:9" ht="12" customHeight="1">
      <c r="A310" s="1777"/>
      <c r="B310" s="902" t="s">
        <v>612</v>
      </c>
      <c r="C310" s="933">
        <v>100</v>
      </c>
      <c r="D310" s="933">
        <v>140</v>
      </c>
      <c r="E310" s="933">
        <v>160</v>
      </c>
      <c r="F310" s="933">
        <v>240</v>
      </c>
      <c r="G310" s="934">
        <v>400</v>
      </c>
      <c r="H310" s="564"/>
      <c r="I310" s="564"/>
    </row>
    <row r="311" spans="1:9" ht="12" customHeight="1" thickBot="1">
      <c r="A311" s="1778"/>
      <c r="B311" s="903" t="s">
        <v>602</v>
      </c>
      <c r="C311" s="935">
        <v>100</v>
      </c>
      <c r="D311" s="935">
        <v>140</v>
      </c>
      <c r="E311" s="935">
        <v>160</v>
      </c>
      <c r="F311" s="935">
        <v>240</v>
      </c>
      <c r="G311" s="936">
        <v>400</v>
      </c>
      <c r="H311" s="564"/>
      <c r="I311" s="564"/>
    </row>
    <row r="312" spans="1:9" ht="4.5" customHeight="1" thickBot="1">
      <c r="A312" s="1025"/>
      <c r="B312" s="581"/>
      <c r="C312" s="1012"/>
      <c r="D312" s="1012"/>
      <c r="E312" s="1012"/>
      <c r="F312" s="1012"/>
      <c r="G312" s="1012"/>
      <c r="H312" s="564"/>
      <c r="I312" s="564"/>
    </row>
    <row r="313" spans="1:9" ht="12" customHeight="1">
      <c r="A313" s="1776">
        <v>43787</v>
      </c>
      <c r="B313" s="901" t="s">
        <v>611</v>
      </c>
      <c r="C313" s="931">
        <v>100</v>
      </c>
      <c r="D313" s="931">
        <v>140</v>
      </c>
      <c r="E313" s="931" t="s">
        <v>126</v>
      </c>
      <c r="F313" s="931" t="s">
        <v>126</v>
      </c>
      <c r="G313" s="932">
        <v>400</v>
      </c>
      <c r="H313" s="564"/>
      <c r="I313" s="564"/>
    </row>
    <row r="314" spans="1:9" ht="12" customHeight="1">
      <c r="A314" s="1777"/>
      <c r="B314" s="902" t="s">
        <v>612</v>
      </c>
      <c r="C314" s="933">
        <v>100</v>
      </c>
      <c r="D314" s="933">
        <v>140</v>
      </c>
      <c r="E314" s="933">
        <v>160</v>
      </c>
      <c r="F314" s="933">
        <v>240</v>
      </c>
      <c r="G314" s="934">
        <v>400</v>
      </c>
      <c r="H314" s="564"/>
      <c r="I314" s="564"/>
    </row>
    <row r="315" spans="1:9" ht="12" customHeight="1" thickBot="1">
      <c r="A315" s="1778"/>
      <c r="B315" s="903" t="s">
        <v>602</v>
      </c>
      <c r="C315" s="935">
        <v>100</v>
      </c>
      <c r="D315" s="935">
        <v>140</v>
      </c>
      <c r="E315" s="935">
        <v>160</v>
      </c>
      <c r="F315" s="935">
        <v>240</v>
      </c>
      <c r="G315" s="936">
        <v>400</v>
      </c>
      <c r="H315" s="564"/>
      <c r="I315" s="564"/>
    </row>
    <row r="316" spans="1:9" ht="7.5" customHeight="1" thickBot="1">
      <c r="A316" s="1025"/>
      <c r="B316" s="581"/>
      <c r="C316" s="1012"/>
      <c r="D316" s="1012"/>
      <c r="E316" s="1012"/>
      <c r="F316" s="1012"/>
      <c r="G316" s="1012"/>
      <c r="H316" s="564"/>
      <c r="I316" s="564"/>
    </row>
    <row r="317" spans="1:9" ht="12" customHeight="1">
      <c r="A317" s="1776">
        <v>43797</v>
      </c>
      <c r="B317" s="901" t="s">
        <v>611</v>
      </c>
      <c r="C317" s="931">
        <v>110</v>
      </c>
      <c r="D317" s="931">
        <v>154</v>
      </c>
      <c r="E317" s="931" t="s">
        <v>126</v>
      </c>
      <c r="F317" s="931" t="s">
        <v>126</v>
      </c>
      <c r="G317" s="932">
        <v>440</v>
      </c>
      <c r="H317" s="564"/>
      <c r="I317" s="564"/>
    </row>
    <row r="318" spans="1:9" ht="12" customHeight="1">
      <c r="A318" s="1777"/>
      <c r="B318" s="902" t="s">
        <v>612</v>
      </c>
      <c r="C318" s="933">
        <v>110</v>
      </c>
      <c r="D318" s="933">
        <v>154</v>
      </c>
      <c r="E318" s="933">
        <v>176</v>
      </c>
      <c r="F318" s="933">
        <v>264</v>
      </c>
      <c r="G318" s="934">
        <v>440</v>
      </c>
      <c r="H318" s="564"/>
      <c r="I318" s="564"/>
    </row>
    <row r="319" spans="1:9" ht="12" customHeight="1" thickBot="1">
      <c r="A319" s="1778"/>
      <c r="B319" s="903" t="s">
        <v>602</v>
      </c>
      <c r="C319" s="935">
        <v>110</v>
      </c>
      <c r="D319" s="935">
        <v>154</v>
      </c>
      <c r="E319" s="935">
        <v>176</v>
      </c>
      <c r="F319" s="935">
        <v>264</v>
      </c>
      <c r="G319" s="936">
        <v>440</v>
      </c>
      <c r="H319" s="564"/>
      <c r="I319" s="564"/>
    </row>
    <row r="320" spans="1:9" ht="5.25" customHeight="1" thickBot="1">
      <c r="A320" s="1025"/>
      <c r="B320" s="581"/>
      <c r="C320" s="1012"/>
      <c r="D320" s="1012"/>
      <c r="E320" s="1012"/>
      <c r="F320" s="1012"/>
      <c r="G320" s="1012"/>
      <c r="H320" s="564"/>
      <c r="I320" s="564"/>
    </row>
    <row r="321" spans="1:9" ht="12" customHeight="1">
      <c r="A321" s="1776">
        <v>43801</v>
      </c>
      <c r="B321" s="901" t="s">
        <v>611</v>
      </c>
      <c r="C321" s="933">
        <v>110</v>
      </c>
      <c r="D321" s="933">
        <v>154</v>
      </c>
      <c r="E321" s="931" t="s">
        <v>126</v>
      </c>
      <c r="F321" s="931" t="s">
        <v>126</v>
      </c>
      <c r="G321" s="934">
        <v>440</v>
      </c>
      <c r="H321" s="564"/>
      <c r="I321" s="564"/>
    </row>
    <row r="322" spans="1:9" ht="12" customHeight="1">
      <c r="A322" s="1777"/>
      <c r="B322" s="902" t="s">
        <v>612</v>
      </c>
      <c r="C322" s="933">
        <v>110</v>
      </c>
      <c r="D322" s="933">
        <v>154</v>
      </c>
      <c r="E322" s="933">
        <v>176</v>
      </c>
      <c r="F322" s="933">
        <v>264</v>
      </c>
      <c r="G322" s="934">
        <v>440</v>
      </c>
      <c r="H322" s="564"/>
      <c r="I322" s="564"/>
    </row>
    <row r="323" spans="1:9" ht="12" customHeight="1" thickBot="1">
      <c r="A323" s="1778"/>
      <c r="B323" s="903" t="s">
        <v>602</v>
      </c>
      <c r="C323" s="935">
        <v>110</v>
      </c>
      <c r="D323" s="935">
        <v>154</v>
      </c>
      <c r="E323" s="935">
        <v>176</v>
      </c>
      <c r="F323" s="935">
        <v>264</v>
      </c>
      <c r="G323" s="936">
        <v>440</v>
      </c>
      <c r="H323" s="564"/>
      <c r="I323" s="564"/>
    </row>
    <row r="324" spans="1:9" ht="6" customHeight="1" thickBot="1">
      <c r="A324" s="1025"/>
      <c r="B324" s="581"/>
      <c r="C324" s="1012"/>
      <c r="D324" s="1012"/>
      <c r="E324" s="1012"/>
      <c r="F324" s="1012"/>
      <c r="G324" s="1012"/>
      <c r="H324" s="564"/>
      <c r="I324" s="564"/>
    </row>
    <row r="325" spans="1:9" ht="12" customHeight="1">
      <c r="A325" s="1776">
        <v>43809</v>
      </c>
      <c r="B325" s="901" t="s">
        <v>611</v>
      </c>
      <c r="C325" s="933">
        <v>110</v>
      </c>
      <c r="D325" s="933">
        <v>154</v>
      </c>
      <c r="E325" s="931" t="s">
        <v>126</v>
      </c>
      <c r="F325" s="931" t="s">
        <v>126</v>
      </c>
      <c r="G325" s="934">
        <v>440</v>
      </c>
      <c r="H325" s="564"/>
      <c r="I325" s="564"/>
    </row>
    <row r="326" spans="1:9" ht="12" customHeight="1">
      <c r="A326" s="1777"/>
      <c r="B326" s="902" t="s">
        <v>612</v>
      </c>
      <c r="C326" s="933">
        <v>110</v>
      </c>
      <c r="D326" s="933">
        <v>154</v>
      </c>
      <c r="E326" s="933">
        <v>176</v>
      </c>
      <c r="F326" s="933">
        <v>264</v>
      </c>
      <c r="G326" s="934">
        <v>440</v>
      </c>
      <c r="H326" s="564"/>
      <c r="I326" s="564"/>
    </row>
    <row r="327" spans="1:9" ht="12" customHeight="1" thickBot="1">
      <c r="A327" s="1778"/>
      <c r="B327" s="903" t="s">
        <v>602</v>
      </c>
      <c r="C327" s="935">
        <v>110</v>
      </c>
      <c r="D327" s="935">
        <v>154</v>
      </c>
      <c r="E327" s="935">
        <v>176</v>
      </c>
      <c r="F327" s="935">
        <v>264</v>
      </c>
      <c r="G327" s="936">
        <v>440</v>
      </c>
      <c r="H327" s="564"/>
      <c r="I327" s="564"/>
    </row>
    <row r="328" spans="1:9" ht="6.75" customHeight="1" thickBot="1">
      <c r="A328" s="1025"/>
      <c r="B328" s="581"/>
      <c r="C328" s="1012"/>
      <c r="D328" s="1012"/>
      <c r="E328" s="1012"/>
      <c r="F328" s="1012"/>
      <c r="G328" s="1012"/>
      <c r="H328" s="564"/>
      <c r="I328" s="564"/>
    </row>
    <row r="329" spans="1:9" ht="12" customHeight="1">
      <c r="A329" s="1776">
        <v>43816</v>
      </c>
      <c r="B329" s="901" t="s">
        <v>611</v>
      </c>
      <c r="C329" s="933">
        <v>110</v>
      </c>
      <c r="D329" s="933">
        <v>154</v>
      </c>
      <c r="E329" s="931" t="s">
        <v>126</v>
      </c>
      <c r="F329" s="931" t="s">
        <v>126</v>
      </c>
      <c r="G329" s="934">
        <v>440</v>
      </c>
      <c r="H329" s="564"/>
      <c r="I329" s="564"/>
    </row>
    <row r="330" spans="1:9" ht="12" customHeight="1">
      <c r="A330" s="1777"/>
      <c r="B330" s="902" t="s">
        <v>612</v>
      </c>
      <c r="C330" s="933">
        <v>110</v>
      </c>
      <c r="D330" s="933">
        <v>154</v>
      </c>
      <c r="E330" s="933">
        <v>176</v>
      </c>
      <c r="F330" s="933">
        <v>264</v>
      </c>
      <c r="G330" s="934">
        <v>440</v>
      </c>
      <c r="H330" s="564"/>
      <c r="I330" s="564"/>
    </row>
    <row r="331" spans="1:9" ht="12" customHeight="1" thickBot="1">
      <c r="A331" s="1778"/>
      <c r="B331" s="903" t="s">
        <v>602</v>
      </c>
      <c r="C331" s="935">
        <v>110</v>
      </c>
      <c r="D331" s="935">
        <v>154</v>
      </c>
      <c r="E331" s="935">
        <v>176</v>
      </c>
      <c r="F331" s="935">
        <v>264</v>
      </c>
      <c r="G331" s="936">
        <v>440</v>
      </c>
      <c r="H331" s="564"/>
      <c r="I331" s="564"/>
    </row>
    <row r="332" spans="1:9" ht="5.25" customHeight="1" thickBot="1">
      <c r="A332" s="1025"/>
      <c r="B332" s="581"/>
      <c r="C332" s="1012"/>
      <c r="D332" s="1012"/>
      <c r="E332" s="1012"/>
      <c r="F332" s="1012"/>
      <c r="G332" s="1012"/>
      <c r="H332" s="564"/>
      <c r="I332" s="564"/>
    </row>
    <row r="333" spans="1:9" ht="12" customHeight="1">
      <c r="A333" s="1776">
        <v>43823</v>
      </c>
      <c r="B333" s="901" t="s">
        <v>611</v>
      </c>
      <c r="C333" s="933">
        <v>110</v>
      </c>
      <c r="D333" s="933">
        <v>154</v>
      </c>
      <c r="E333" s="931" t="s">
        <v>126</v>
      </c>
      <c r="F333" s="931" t="s">
        <v>126</v>
      </c>
      <c r="G333" s="934">
        <v>440</v>
      </c>
      <c r="H333" s="564"/>
      <c r="I333" s="564"/>
    </row>
    <row r="334" spans="1:9" ht="12" customHeight="1">
      <c r="A334" s="1777"/>
      <c r="B334" s="902" t="s">
        <v>612</v>
      </c>
      <c r="C334" s="933">
        <v>110</v>
      </c>
      <c r="D334" s="933">
        <v>154</v>
      </c>
      <c r="E334" s="933">
        <v>176</v>
      </c>
      <c r="F334" s="933">
        <v>264</v>
      </c>
      <c r="G334" s="934">
        <v>440</v>
      </c>
      <c r="H334" s="564"/>
      <c r="I334" s="564"/>
    </row>
    <row r="335" spans="1:9" ht="12" customHeight="1" thickBot="1">
      <c r="A335" s="1778"/>
      <c r="B335" s="903" t="s">
        <v>602</v>
      </c>
      <c r="C335" s="935">
        <v>110</v>
      </c>
      <c r="D335" s="935">
        <v>154</v>
      </c>
      <c r="E335" s="935">
        <v>176</v>
      </c>
      <c r="F335" s="935">
        <v>264</v>
      </c>
      <c r="G335" s="936">
        <v>440</v>
      </c>
      <c r="H335" s="564"/>
      <c r="I335" s="564"/>
    </row>
    <row r="336" spans="1:9" ht="6" customHeight="1" thickBot="1">
      <c r="A336" s="1025"/>
      <c r="B336" s="581"/>
      <c r="C336" s="1012"/>
      <c r="D336" s="1012"/>
      <c r="E336" s="1012"/>
      <c r="F336" s="1012"/>
      <c r="G336" s="1012"/>
      <c r="H336" s="564"/>
      <c r="I336" s="564"/>
    </row>
    <row r="337" spans="1:9" ht="12" customHeight="1">
      <c r="A337" s="1776">
        <v>43825</v>
      </c>
      <c r="B337" s="901" t="s">
        <v>611</v>
      </c>
      <c r="C337" s="933">
        <v>110</v>
      </c>
      <c r="D337" s="933">
        <v>154</v>
      </c>
      <c r="E337" s="931" t="s">
        <v>126</v>
      </c>
      <c r="F337" s="931" t="s">
        <v>126</v>
      </c>
      <c r="G337" s="934">
        <v>440</v>
      </c>
      <c r="H337" s="564"/>
      <c r="I337" s="564"/>
    </row>
    <row r="338" spans="1:9" ht="12" customHeight="1">
      <c r="A338" s="1777"/>
      <c r="B338" s="902" t="s">
        <v>612</v>
      </c>
      <c r="C338" s="933">
        <v>110</v>
      </c>
      <c r="D338" s="933">
        <v>154</v>
      </c>
      <c r="E338" s="933">
        <v>176</v>
      </c>
      <c r="F338" s="933">
        <v>264</v>
      </c>
      <c r="G338" s="934">
        <v>440</v>
      </c>
      <c r="H338" s="564"/>
      <c r="I338" s="564"/>
    </row>
    <row r="339" spans="1:9" ht="12" customHeight="1" thickBot="1">
      <c r="A339" s="1778"/>
      <c r="B339" s="903" t="s">
        <v>602</v>
      </c>
      <c r="C339" s="935">
        <v>110</v>
      </c>
      <c r="D339" s="935">
        <v>154</v>
      </c>
      <c r="E339" s="935">
        <v>176</v>
      </c>
      <c r="F339" s="935">
        <v>264</v>
      </c>
      <c r="G339" s="936">
        <v>440</v>
      </c>
      <c r="H339" s="564"/>
      <c r="I339" s="564"/>
    </row>
    <row r="340" spans="1:9" ht="6.75" customHeight="1" thickBot="1">
      <c r="A340" s="1025"/>
      <c r="B340" s="581"/>
      <c r="C340" s="1012"/>
      <c r="D340" s="1012"/>
      <c r="E340" s="1012"/>
      <c r="F340" s="1012"/>
      <c r="G340" s="1012"/>
      <c r="H340" s="564"/>
      <c r="I340" s="564"/>
    </row>
    <row r="341" spans="1:9" ht="12" customHeight="1">
      <c r="A341" s="1776">
        <v>43825</v>
      </c>
      <c r="B341" s="901" t="s">
        <v>611</v>
      </c>
      <c r="C341" s="933">
        <v>110</v>
      </c>
      <c r="D341" s="933">
        <v>154</v>
      </c>
      <c r="E341" s="931" t="s">
        <v>126</v>
      </c>
      <c r="F341" s="931" t="s">
        <v>126</v>
      </c>
      <c r="G341" s="934">
        <v>440</v>
      </c>
      <c r="H341" s="564"/>
      <c r="I341" s="564"/>
    </row>
    <row r="342" spans="1:9" ht="12" customHeight="1">
      <c r="A342" s="1777"/>
      <c r="B342" s="902" t="s">
        <v>612</v>
      </c>
      <c r="C342" s="933">
        <v>110</v>
      </c>
      <c r="D342" s="933">
        <v>154</v>
      </c>
      <c r="E342" s="933">
        <v>176</v>
      </c>
      <c r="F342" s="933">
        <v>264</v>
      </c>
      <c r="G342" s="934">
        <v>440</v>
      </c>
      <c r="H342" s="564"/>
      <c r="I342" s="564"/>
    </row>
    <row r="343" spans="1:9" ht="12" customHeight="1" thickBot="1">
      <c r="A343" s="1778"/>
      <c r="B343" s="903" t="s">
        <v>602</v>
      </c>
      <c r="C343" s="935">
        <v>110</v>
      </c>
      <c r="D343" s="935">
        <v>154</v>
      </c>
      <c r="E343" s="935">
        <v>176</v>
      </c>
      <c r="F343" s="935">
        <v>264</v>
      </c>
      <c r="G343" s="936">
        <v>440</v>
      </c>
      <c r="H343" s="564"/>
      <c r="I343" s="564"/>
    </row>
    <row r="344" spans="1:9" ht="5.25" customHeight="1" thickBot="1">
      <c r="A344" s="1025"/>
      <c r="B344" s="581"/>
      <c r="C344" s="1012"/>
      <c r="D344" s="1012"/>
      <c r="E344" s="1012"/>
      <c r="F344" s="1012"/>
      <c r="G344" s="1012"/>
      <c r="H344" s="564"/>
      <c r="I344" s="564"/>
    </row>
    <row r="345" spans="1:9" ht="12" customHeight="1">
      <c r="A345" s="1776">
        <v>43839</v>
      </c>
      <c r="B345" s="901" t="s">
        <v>611</v>
      </c>
      <c r="C345" s="933">
        <v>110</v>
      </c>
      <c r="D345" s="933">
        <v>154</v>
      </c>
      <c r="E345" s="931" t="s">
        <v>126</v>
      </c>
      <c r="F345" s="931" t="s">
        <v>126</v>
      </c>
      <c r="G345" s="934">
        <v>440</v>
      </c>
      <c r="H345" s="564"/>
      <c r="I345" s="564"/>
    </row>
    <row r="346" spans="1:9" ht="12" customHeight="1">
      <c r="A346" s="1777"/>
      <c r="B346" s="902" t="s">
        <v>612</v>
      </c>
      <c r="C346" s="933">
        <v>110</v>
      </c>
      <c r="D346" s="933">
        <v>154</v>
      </c>
      <c r="E346" s="933">
        <v>176</v>
      </c>
      <c r="F346" s="933">
        <v>264</v>
      </c>
      <c r="G346" s="934">
        <v>440</v>
      </c>
      <c r="H346" s="564"/>
      <c r="I346" s="564"/>
    </row>
    <row r="347" spans="1:9" ht="12" customHeight="1" thickBot="1">
      <c r="A347" s="1778"/>
      <c r="B347" s="903" t="s">
        <v>602</v>
      </c>
      <c r="C347" s="935">
        <v>110</v>
      </c>
      <c r="D347" s="935">
        <v>154</v>
      </c>
      <c r="E347" s="935">
        <v>176</v>
      </c>
      <c r="F347" s="935">
        <v>264</v>
      </c>
      <c r="G347" s="936">
        <v>440</v>
      </c>
      <c r="H347" s="564"/>
      <c r="I347" s="564"/>
    </row>
    <row r="348" spans="1:9" ht="4.5" customHeight="1" thickBot="1">
      <c r="A348" s="1025"/>
      <c r="B348" s="581"/>
      <c r="C348" s="1012"/>
      <c r="D348" s="1012"/>
      <c r="E348" s="1012"/>
      <c r="F348" s="1012"/>
      <c r="G348" s="1012"/>
      <c r="H348" s="564"/>
      <c r="I348" s="564"/>
    </row>
    <row r="349" spans="1:9" ht="12" customHeight="1">
      <c r="A349" s="1776">
        <v>43845</v>
      </c>
      <c r="B349" s="901" t="s">
        <v>611</v>
      </c>
      <c r="C349" s="933">
        <v>110</v>
      </c>
      <c r="D349" s="933">
        <v>154</v>
      </c>
      <c r="E349" s="931" t="s">
        <v>126</v>
      </c>
      <c r="F349" s="931" t="s">
        <v>126</v>
      </c>
      <c r="G349" s="934">
        <v>440</v>
      </c>
      <c r="H349" s="564"/>
      <c r="I349" s="564"/>
    </row>
    <row r="350" spans="1:9" ht="12" customHeight="1">
      <c r="A350" s="1777"/>
      <c r="B350" s="902" t="s">
        <v>612</v>
      </c>
      <c r="C350" s="933">
        <v>110</v>
      </c>
      <c r="D350" s="933">
        <v>154</v>
      </c>
      <c r="E350" s="933">
        <v>176</v>
      </c>
      <c r="F350" s="933">
        <v>264</v>
      </c>
      <c r="G350" s="934">
        <v>440</v>
      </c>
      <c r="H350" s="564"/>
      <c r="I350" s="564"/>
    </row>
    <row r="351" spans="1:9" ht="12" customHeight="1" thickBot="1">
      <c r="A351" s="1778"/>
      <c r="B351" s="903" t="s">
        <v>602</v>
      </c>
      <c r="C351" s="935">
        <v>110</v>
      </c>
      <c r="D351" s="935">
        <v>154</v>
      </c>
      <c r="E351" s="935">
        <v>176</v>
      </c>
      <c r="F351" s="935">
        <v>264</v>
      </c>
      <c r="G351" s="936">
        <v>440</v>
      </c>
      <c r="H351" s="564"/>
      <c r="I351" s="564"/>
    </row>
    <row r="352" spans="1:9" ht="3.75" customHeight="1" thickBot="1">
      <c r="A352" s="1025"/>
      <c r="B352" s="581"/>
      <c r="C352" s="1012"/>
      <c r="D352" s="1012"/>
      <c r="E352" s="1012"/>
      <c r="F352" s="1012"/>
      <c r="G352" s="1012"/>
      <c r="H352" s="564"/>
      <c r="I352" s="564"/>
    </row>
    <row r="353" spans="1:9" ht="12" customHeight="1">
      <c r="A353" s="1776">
        <v>43851</v>
      </c>
      <c r="B353" s="901" t="s">
        <v>611</v>
      </c>
      <c r="C353" s="933">
        <v>110</v>
      </c>
      <c r="D353" s="933">
        <v>154</v>
      </c>
      <c r="E353" s="931" t="s">
        <v>126</v>
      </c>
      <c r="F353" s="931" t="s">
        <v>126</v>
      </c>
      <c r="G353" s="934">
        <v>440</v>
      </c>
      <c r="H353" s="564"/>
      <c r="I353" s="564"/>
    </row>
    <row r="354" spans="1:9" ht="12" customHeight="1">
      <c r="A354" s="1777"/>
      <c r="B354" s="902" t="s">
        <v>612</v>
      </c>
      <c r="C354" s="933">
        <v>110</v>
      </c>
      <c r="D354" s="933">
        <v>154</v>
      </c>
      <c r="E354" s="933">
        <v>176</v>
      </c>
      <c r="F354" s="933">
        <v>264</v>
      </c>
      <c r="G354" s="934">
        <v>440</v>
      </c>
      <c r="H354" s="564"/>
      <c r="I354" s="564"/>
    </row>
    <row r="355" spans="1:9" ht="12" customHeight="1" thickBot="1">
      <c r="A355" s="1778"/>
      <c r="B355" s="903" t="s">
        <v>602</v>
      </c>
      <c r="C355" s="935">
        <v>110</v>
      </c>
      <c r="D355" s="935">
        <v>154</v>
      </c>
      <c r="E355" s="935">
        <v>176</v>
      </c>
      <c r="F355" s="935">
        <v>264</v>
      </c>
      <c r="G355" s="936">
        <v>440</v>
      </c>
      <c r="H355" s="564"/>
      <c r="I355" s="564"/>
    </row>
    <row r="356" spans="1:9" ht="6" customHeight="1" thickBot="1">
      <c r="A356" s="1025"/>
      <c r="B356" s="1025"/>
      <c r="C356" s="1025"/>
      <c r="D356" s="1025"/>
      <c r="E356" s="1025"/>
      <c r="F356" s="1025"/>
      <c r="G356" s="1025"/>
      <c r="H356" s="564"/>
      <c r="I356" s="564"/>
    </row>
    <row r="357" spans="1:9" ht="12" customHeight="1">
      <c r="A357" s="1776">
        <v>43858</v>
      </c>
      <c r="B357" s="901" t="s">
        <v>611</v>
      </c>
      <c r="C357" s="933">
        <v>110</v>
      </c>
      <c r="D357" s="933">
        <v>154</v>
      </c>
      <c r="E357" s="931" t="s">
        <v>126</v>
      </c>
      <c r="F357" s="931" t="s">
        <v>126</v>
      </c>
      <c r="G357" s="934">
        <v>440</v>
      </c>
      <c r="H357" s="564"/>
      <c r="I357" s="564"/>
    </row>
    <row r="358" spans="1:9" ht="12" customHeight="1">
      <c r="A358" s="1777"/>
      <c r="B358" s="902" t="s">
        <v>612</v>
      </c>
      <c r="C358" s="933">
        <v>110</v>
      </c>
      <c r="D358" s="933">
        <v>154</v>
      </c>
      <c r="E358" s="933">
        <v>176</v>
      </c>
      <c r="F358" s="933">
        <v>264</v>
      </c>
      <c r="G358" s="934">
        <v>440</v>
      </c>
      <c r="H358" s="564"/>
      <c r="I358" s="564"/>
    </row>
    <row r="359" spans="1:9" ht="12" customHeight="1" thickBot="1">
      <c r="A359" s="1778"/>
      <c r="B359" s="903" t="s">
        <v>602</v>
      </c>
      <c r="C359" s="935">
        <v>110</v>
      </c>
      <c r="D359" s="935">
        <v>154</v>
      </c>
      <c r="E359" s="935">
        <v>176</v>
      </c>
      <c r="F359" s="935">
        <v>264</v>
      </c>
      <c r="G359" s="936">
        <v>440</v>
      </c>
      <c r="H359" s="564"/>
      <c r="I359" s="564"/>
    </row>
    <row r="360" spans="1:9" ht="6" customHeight="1" thickBot="1">
      <c r="A360" s="1025"/>
      <c r="B360" s="581"/>
      <c r="C360" s="1012"/>
      <c r="D360" s="1012"/>
      <c r="E360" s="1012"/>
      <c r="F360" s="1012"/>
      <c r="G360" s="1012"/>
      <c r="H360" s="564"/>
      <c r="I360" s="564"/>
    </row>
    <row r="361" spans="1:9" ht="12" customHeight="1">
      <c r="A361" s="1776">
        <v>43865</v>
      </c>
      <c r="B361" s="901" t="s">
        <v>611</v>
      </c>
      <c r="C361" s="933">
        <v>110</v>
      </c>
      <c r="D361" s="933">
        <v>154</v>
      </c>
      <c r="E361" s="931" t="s">
        <v>126</v>
      </c>
      <c r="F361" s="931" t="s">
        <v>126</v>
      </c>
      <c r="G361" s="934">
        <v>440</v>
      </c>
      <c r="H361" s="564"/>
      <c r="I361" s="564"/>
    </row>
    <row r="362" spans="1:9" ht="12" customHeight="1">
      <c r="A362" s="1777"/>
      <c r="B362" s="902" t="s">
        <v>612</v>
      </c>
      <c r="C362" s="933">
        <v>110</v>
      </c>
      <c r="D362" s="933">
        <v>154</v>
      </c>
      <c r="E362" s="933">
        <v>176</v>
      </c>
      <c r="F362" s="933">
        <v>264</v>
      </c>
      <c r="G362" s="934">
        <v>440</v>
      </c>
      <c r="H362" s="564"/>
      <c r="I362" s="564"/>
    </row>
    <row r="363" spans="1:9" ht="12" customHeight="1" thickBot="1">
      <c r="A363" s="1778"/>
      <c r="B363" s="903" t="s">
        <v>602</v>
      </c>
      <c r="C363" s="935">
        <v>110</v>
      </c>
      <c r="D363" s="935">
        <v>154</v>
      </c>
      <c r="E363" s="935">
        <v>176</v>
      </c>
      <c r="F363" s="935">
        <v>264</v>
      </c>
      <c r="G363" s="936">
        <v>440</v>
      </c>
      <c r="H363" s="564"/>
      <c r="I363" s="564"/>
    </row>
    <row r="364" spans="1:9" ht="4.5" customHeight="1" thickBot="1">
      <c r="A364" s="1025"/>
      <c r="B364" s="581"/>
      <c r="C364" s="1012"/>
      <c r="D364" s="1012"/>
      <c r="E364" s="1012"/>
      <c r="F364" s="1012"/>
      <c r="G364" s="1012"/>
      <c r="H364" s="564"/>
      <c r="I364" s="564"/>
    </row>
    <row r="365" spans="1:9" ht="12" customHeight="1">
      <c r="A365" s="1776">
        <v>43872</v>
      </c>
      <c r="B365" s="901" t="s">
        <v>611</v>
      </c>
      <c r="C365" s="933">
        <v>110</v>
      </c>
      <c r="D365" s="933">
        <v>154</v>
      </c>
      <c r="E365" s="931" t="s">
        <v>126</v>
      </c>
      <c r="F365" s="931" t="s">
        <v>126</v>
      </c>
      <c r="G365" s="934">
        <v>440</v>
      </c>
      <c r="H365" s="564"/>
      <c r="I365" s="564"/>
    </row>
    <row r="366" spans="1:9" ht="12" customHeight="1">
      <c r="A366" s="1777"/>
      <c r="B366" s="902" t="s">
        <v>612</v>
      </c>
      <c r="C366" s="933">
        <v>110</v>
      </c>
      <c r="D366" s="933">
        <v>154</v>
      </c>
      <c r="E366" s="933">
        <v>176</v>
      </c>
      <c r="F366" s="933">
        <v>264</v>
      </c>
      <c r="G366" s="934">
        <v>440</v>
      </c>
      <c r="H366" s="564"/>
      <c r="I366" s="564"/>
    </row>
    <row r="367" spans="1:9" ht="12" customHeight="1" thickBot="1">
      <c r="A367" s="1778"/>
      <c r="B367" s="903" t="s">
        <v>602</v>
      </c>
      <c r="C367" s="935">
        <v>110</v>
      </c>
      <c r="D367" s="935">
        <v>154</v>
      </c>
      <c r="E367" s="935">
        <v>176</v>
      </c>
      <c r="F367" s="935">
        <v>264</v>
      </c>
      <c r="G367" s="936">
        <v>440</v>
      </c>
      <c r="H367" s="564"/>
      <c r="I367" s="564"/>
    </row>
    <row r="368" spans="1:9" ht="5.25" customHeight="1" thickBot="1">
      <c r="A368" s="1025"/>
      <c r="B368" s="581"/>
      <c r="C368" s="1012"/>
      <c r="D368" s="1012"/>
      <c r="E368" s="1012"/>
      <c r="F368" s="1012"/>
      <c r="G368" s="1012"/>
      <c r="H368" s="564"/>
      <c r="I368" s="564"/>
    </row>
    <row r="369" spans="1:9" ht="12" customHeight="1">
      <c r="A369" s="1776">
        <v>43879</v>
      </c>
      <c r="B369" s="901" t="s">
        <v>611</v>
      </c>
      <c r="C369" s="933">
        <v>110</v>
      </c>
      <c r="D369" s="933">
        <v>154</v>
      </c>
      <c r="E369" s="931" t="s">
        <v>126</v>
      </c>
      <c r="F369" s="931" t="s">
        <v>126</v>
      </c>
      <c r="G369" s="934">
        <v>440</v>
      </c>
      <c r="H369" s="564"/>
      <c r="I369" s="564"/>
    </row>
    <row r="370" spans="1:9" ht="12" customHeight="1">
      <c r="A370" s="1777"/>
      <c r="B370" s="902" t="s">
        <v>612</v>
      </c>
      <c r="C370" s="933">
        <v>110</v>
      </c>
      <c r="D370" s="933">
        <v>154</v>
      </c>
      <c r="E370" s="933">
        <v>176</v>
      </c>
      <c r="F370" s="933">
        <v>264</v>
      </c>
      <c r="G370" s="934">
        <v>440</v>
      </c>
      <c r="H370" s="564"/>
      <c r="I370" s="564"/>
    </row>
    <row r="371" spans="1:9" ht="12" customHeight="1" thickBot="1">
      <c r="A371" s="1778"/>
      <c r="B371" s="903" t="s">
        <v>602</v>
      </c>
      <c r="C371" s="935">
        <v>110</v>
      </c>
      <c r="D371" s="935">
        <v>154</v>
      </c>
      <c r="E371" s="935">
        <v>176</v>
      </c>
      <c r="F371" s="935">
        <v>264</v>
      </c>
      <c r="G371" s="936">
        <v>440</v>
      </c>
      <c r="H371" s="564"/>
      <c r="I371" s="564"/>
    </row>
    <row r="372" spans="1:9" ht="6.75" customHeight="1" thickBot="1">
      <c r="A372" s="1025"/>
      <c r="B372" s="581"/>
      <c r="C372" s="1012"/>
      <c r="D372" s="1012"/>
      <c r="E372" s="1012"/>
      <c r="F372" s="1012"/>
      <c r="G372" s="1012"/>
      <c r="H372" s="564"/>
      <c r="I372" s="564"/>
    </row>
    <row r="373" spans="1:9" ht="12" customHeight="1">
      <c r="A373" s="1776">
        <v>43883</v>
      </c>
      <c r="B373" s="901" t="s">
        <v>611</v>
      </c>
      <c r="C373" s="933">
        <v>105</v>
      </c>
      <c r="D373" s="933">
        <v>147</v>
      </c>
      <c r="E373" s="931" t="s">
        <v>126</v>
      </c>
      <c r="F373" s="931" t="s">
        <v>126</v>
      </c>
      <c r="G373" s="934">
        <v>420</v>
      </c>
      <c r="H373" s="564"/>
      <c r="I373" s="564"/>
    </row>
    <row r="374" spans="1:9" ht="12" customHeight="1">
      <c r="A374" s="1777"/>
      <c r="B374" s="902" t="s">
        <v>612</v>
      </c>
      <c r="C374" s="933">
        <v>105</v>
      </c>
      <c r="D374" s="933">
        <v>147</v>
      </c>
      <c r="E374" s="933">
        <v>168</v>
      </c>
      <c r="F374" s="933">
        <v>252</v>
      </c>
      <c r="G374" s="934">
        <v>420</v>
      </c>
      <c r="H374" s="564"/>
      <c r="I374" s="564"/>
    </row>
    <row r="375" spans="1:9" ht="12" customHeight="1" thickBot="1">
      <c r="A375" s="1778"/>
      <c r="B375" s="903" t="s">
        <v>602</v>
      </c>
      <c r="C375" s="935">
        <v>105</v>
      </c>
      <c r="D375" s="935">
        <v>147</v>
      </c>
      <c r="E375" s="935">
        <v>168</v>
      </c>
      <c r="F375" s="935">
        <v>252</v>
      </c>
      <c r="G375" s="936">
        <v>420</v>
      </c>
      <c r="H375" s="564"/>
      <c r="I375" s="564"/>
    </row>
    <row r="376" spans="1:9" ht="4.5" customHeight="1" thickBot="1">
      <c r="A376" s="1025"/>
      <c r="B376" s="581"/>
      <c r="C376" s="1012"/>
      <c r="D376" s="1012"/>
      <c r="E376" s="1012"/>
      <c r="F376" s="1012"/>
      <c r="G376" s="1012"/>
      <c r="H376" s="564"/>
      <c r="I376" s="564"/>
    </row>
    <row r="377" spans="1:9" ht="12" customHeight="1">
      <c r="A377" s="1776">
        <v>43892</v>
      </c>
      <c r="B377" s="901" t="s">
        <v>611</v>
      </c>
      <c r="C377" s="933">
        <v>105</v>
      </c>
      <c r="D377" s="933">
        <v>147</v>
      </c>
      <c r="E377" s="931" t="s">
        <v>126</v>
      </c>
      <c r="F377" s="931" t="s">
        <v>126</v>
      </c>
      <c r="G377" s="934">
        <v>420</v>
      </c>
      <c r="H377" s="564"/>
      <c r="I377" s="564"/>
    </row>
    <row r="378" spans="1:9" ht="12" customHeight="1">
      <c r="A378" s="1777"/>
      <c r="B378" s="902" t="s">
        <v>612</v>
      </c>
      <c r="C378" s="933">
        <v>105</v>
      </c>
      <c r="D378" s="933">
        <v>147</v>
      </c>
      <c r="E378" s="933">
        <v>168</v>
      </c>
      <c r="F378" s="933">
        <v>252</v>
      </c>
      <c r="G378" s="934">
        <v>420</v>
      </c>
      <c r="H378" s="564"/>
      <c r="I378" s="564"/>
    </row>
    <row r="379" spans="1:9" ht="12" customHeight="1" thickBot="1">
      <c r="A379" s="1778"/>
      <c r="B379" s="903" t="s">
        <v>602</v>
      </c>
      <c r="C379" s="935">
        <v>105</v>
      </c>
      <c r="D379" s="935">
        <v>147</v>
      </c>
      <c r="E379" s="935">
        <v>168</v>
      </c>
      <c r="F379" s="935">
        <v>252</v>
      </c>
      <c r="G379" s="936">
        <v>420</v>
      </c>
      <c r="H379" s="564"/>
      <c r="I379" s="564"/>
    </row>
    <row r="380" spans="1:9" ht="4.5" customHeight="1" thickBot="1">
      <c r="A380" s="1025"/>
      <c r="B380" s="581"/>
      <c r="C380" s="1012"/>
      <c r="D380" s="1012"/>
      <c r="E380" s="1012"/>
      <c r="F380" s="1012"/>
      <c r="G380" s="1012"/>
      <c r="H380" s="564"/>
      <c r="I380" s="564"/>
    </row>
    <row r="381" spans="1:9" ht="12" customHeight="1">
      <c r="A381" s="1776">
        <v>43899</v>
      </c>
      <c r="B381" s="901" t="s">
        <v>611</v>
      </c>
      <c r="C381" s="933">
        <v>105</v>
      </c>
      <c r="D381" s="933">
        <v>147</v>
      </c>
      <c r="E381" s="931" t="s">
        <v>126</v>
      </c>
      <c r="F381" s="931" t="s">
        <v>126</v>
      </c>
      <c r="G381" s="934">
        <v>420</v>
      </c>
      <c r="H381" s="564"/>
      <c r="I381" s="564"/>
    </row>
    <row r="382" spans="1:9" ht="12" customHeight="1">
      <c r="A382" s="1777"/>
      <c r="B382" s="902" t="s">
        <v>612</v>
      </c>
      <c r="C382" s="933">
        <v>105</v>
      </c>
      <c r="D382" s="933">
        <v>147</v>
      </c>
      <c r="E382" s="933">
        <v>168</v>
      </c>
      <c r="F382" s="933">
        <v>252</v>
      </c>
      <c r="G382" s="934">
        <v>420</v>
      </c>
      <c r="H382" s="564"/>
      <c r="I382" s="564"/>
    </row>
    <row r="383" spans="1:9" ht="12" customHeight="1" thickBot="1">
      <c r="A383" s="1778"/>
      <c r="B383" s="903" t="s">
        <v>602</v>
      </c>
      <c r="C383" s="935">
        <v>105</v>
      </c>
      <c r="D383" s="935">
        <v>147</v>
      </c>
      <c r="E383" s="935">
        <v>168</v>
      </c>
      <c r="F383" s="935">
        <v>252</v>
      </c>
      <c r="G383" s="936">
        <v>420</v>
      </c>
      <c r="H383" s="564"/>
      <c r="I383" s="564"/>
    </row>
    <row r="384" spans="1:9" ht="3" customHeight="1" thickBot="1">
      <c r="A384" s="1025"/>
      <c r="B384" s="581"/>
      <c r="C384" s="1012"/>
      <c r="D384" s="1012"/>
      <c r="E384" s="1012"/>
      <c r="F384" s="1012"/>
      <c r="G384" s="1012"/>
      <c r="H384" s="564"/>
      <c r="I384" s="564"/>
    </row>
    <row r="385" spans="1:9" ht="12" customHeight="1">
      <c r="A385" s="1776">
        <v>43906</v>
      </c>
      <c r="B385" s="901" t="s">
        <v>611</v>
      </c>
      <c r="C385" s="933">
        <v>105</v>
      </c>
      <c r="D385" s="933">
        <v>147</v>
      </c>
      <c r="E385" s="931" t="s">
        <v>126</v>
      </c>
      <c r="F385" s="931" t="s">
        <v>126</v>
      </c>
      <c r="G385" s="934">
        <v>420</v>
      </c>
      <c r="H385" s="564"/>
      <c r="I385" s="564"/>
    </row>
    <row r="386" spans="1:9" ht="12" customHeight="1">
      <c r="A386" s="1777"/>
      <c r="B386" s="902" t="s">
        <v>612</v>
      </c>
      <c r="C386" s="933">
        <v>105</v>
      </c>
      <c r="D386" s="933">
        <v>147</v>
      </c>
      <c r="E386" s="933">
        <v>168</v>
      </c>
      <c r="F386" s="933">
        <v>252</v>
      </c>
      <c r="G386" s="934">
        <v>420</v>
      </c>
      <c r="H386" s="564"/>
      <c r="I386" s="564"/>
    </row>
    <row r="387" spans="1:9" ht="12" customHeight="1" thickBot="1">
      <c r="A387" s="1778"/>
      <c r="B387" s="903" t="s">
        <v>602</v>
      </c>
      <c r="C387" s="935">
        <v>105</v>
      </c>
      <c r="D387" s="935">
        <v>147</v>
      </c>
      <c r="E387" s="935">
        <v>168</v>
      </c>
      <c r="F387" s="935">
        <v>252</v>
      </c>
      <c r="G387" s="936">
        <v>420</v>
      </c>
      <c r="H387" s="564"/>
      <c r="I387" s="564"/>
    </row>
    <row r="388" spans="1:9" ht="3.75" customHeight="1" thickBot="1">
      <c r="A388" s="1025"/>
      <c r="B388" s="581"/>
      <c r="C388" s="1012"/>
      <c r="D388" s="1012"/>
      <c r="E388" s="1012"/>
      <c r="F388" s="1012"/>
      <c r="G388" s="1012"/>
      <c r="H388" s="564"/>
      <c r="I388" s="564"/>
    </row>
    <row r="389" spans="1:9" ht="12" customHeight="1">
      <c r="A389" s="1776">
        <v>43913</v>
      </c>
      <c r="B389" s="901" t="s">
        <v>611</v>
      </c>
      <c r="C389" s="933">
        <v>105</v>
      </c>
      <c r="D389" s="933">
        <v>147</v>
      </c>
      <c r="E389" s="931" t="s">
        <v>126</v>
      </c>
      <c r="F389" s="931" t="s">
        <v>126</v>
      </c>
      <c r="G389" s="934">
        <v>420</v>
      </c>
      <c r="H389" s="564"/>
      <c r="I389" s="564"/>
    </row>
    <row r="390" spans="1:9" ht="12" customHeight="1">
      <c r="A390" s="1777"/>
      <c r="B390" s="902" t="s">
        <v>612</v>
      </c>
      <c r="C390" s="933">
        <v>105</v>
      </c>
      <c r="D390" s="933">
        <v>147</v>
      </c>
      <c r="E390" s="933">
        <v>168</v>
      </c>
      <c r="F390" s="933">
        <v>252</v>
      </c>
      <c r="G390" s="934">
        <v>420</v>
      </c>
      <c r="H390" s="564"/>
      <c r="I390" s="564"/>
    </row>
    <row r="391" spans="1:9" ht="12" customHeight="1" thickBot="1">
      <c r="A391" s="1778"/>
      <c r="B391" s="903" t="s">
        <v>602</v>
      </c>
      <c r="C391" s="935">
        <v>105</v>
      </c>
      <c r="D391" s="935">
        <v>147</v>
      </c>
      <c r="E391" s="935">
        <v>168</v>
      </c>
      <c r="F391" s="935">
        <v>252</v>
      </c>
      <c r="G391" s="936">
        <v>420</v>
      </c>
      <c r="H391" s="564"/>
      <c r="I391" s="564"/>
    </row>
    <row r="392" spans="1:9" ht="3" customHeight="1" thickBot="1">
      <c r="A392" s="1025"/>
      <c r="B392" s="581"/>
      <c r="C392" s="1012"/>
      <c r="D392" s="1012"/>
      <c r="E392" s="1012"/>
      <c r="F392" s="1012"/>
      <c r="G392" s="1012"/>
      <c r="H392" s="564"/>
      <c r="I392" s="564"/>
    </row>
    <row r="393" spans="1:9" ht="12" customHeight="1">
      <c r="A393" s="1776">
        <v>43920</v>
      </c>
      <c r="B393" s="901" t="s">
        <v>611</v>
      </c>
      <c r="C393" s="933">
        <v>105</v>
      </c>
      <c r="D393" s="933">
        <v>147</v>
      </c>
      <c r="E393" s="931" t="s">
        <v>126</v>
      </c>
      <c r="F393" s="931" t="s">
        <v>126</v>
      </c>
      <c r="G393" s="934">
        <v>420</v>
      </c>
      <c r="H393" s="564"/>
      <c r="I393" s="564"/>
    </row>
    <row r="394" spans="1:9" ht="12" customHeight="1">
      <c r="A394" s="1777"/>
      <c r="B394" s="902" t="s">
        <v>612</v>
      </c>
      <c r="C394" s="933">
        <v>105</v>
      </c>
      <c r="D394" s="933">
        <v>147</v>
      </c>
      <c r="E394" s="933">
        <v>168</v>
      </c>
      <c r="F394" s="933">
        <v>252</v>
      </c>
      <c r="G394" s="934">
        <v>420</v>
      </c>
      <c r="H394" s="564"/>
      <c r="I394" s="564"/>
    </row>
    <row r="395" spans="1:9" ht="12" customHeight="1" thickBot="1">
      <c r="A395" s="1778"/>
      <c r="B395" s="903" t="s">
        <v>602</v>
      </c>
      <c r="C395" s="935">
        <v>105</v>
      </c>
      <c r="D395" s="935">
        <v>147</v>
      </c>
      <c r="E395" s="935">
        <v>168</v>
      </c>
      <c r="F395" s="935">
        <v>252</v>
      </c>
      <c r="G395" s="936">
        <v>420</v>
      </c>
      <c r="H395" s="564"/>
      <c r="I395" s="564"/>
    </row>
    <row r="396" spans="1:9" ht="3.75" customHeight="1" thickBot="1">
      <c r="A396" s="1025"/>
      <c r="B396" s="581"/>
      <c r="C396" s="1012"/>
      <c r="D396" s="1012"/>
      <c r="E396" s="1012"/>
      <c r="F396" s="1012"/>
      <c r="G396" s="1012"/>
      <c r="H396" s="564"/>
      <c r="I396" s="564"/>
    </row>
    <row r="397" spans="1:9" ht="12.75" customHeight="1">
      <c r="A397" s="1776">
        <v>43928</v>
      </c>
      <c r="B397" s="901" t="s">
        <v>611</v>
      </c>
      <c r="C397" s="933">
        <v>105</v>
      </c>
      <c r="D397" s="933">
        <v>147</v>
      </c>
      <c r="E397" s="931" t="s">
        <v>126</v>
      </c>
      <c r="F397" s="931" t="s">
        <v>126</v>
      </c>
      <c r="G397" s="934">
        <v>420</v>
      </c>
      <c r="H397" s="564"/>
      <c r="I397" s="564"/>
    </row>
    <row r="398" spans="1:9" ht="13.5" customHeight="1">
      <c r="A398" s="1777"/>
      <c r="B398" s="902" t="s">
        <v>612</v>
      </c>
      <c r="C398" s="933">
        <v>99</v>
      </c>
      <c r="D398" s="933">
        <v>138.6</v>
      </c>
      <c r="E398" s="933">
        <v>158.4</v>
      </c>
      <c r="F398" s="933">
        <v>237.6</v>
      </c>
      <c r="G398" s="934">
        <v>396</v>
      </c>
      <c r="H398" s="564"/>
      <c r="I398" s="564"/>
    </row>
    <row r="399" spans="1:9" ht="12" customHeight="1" thickBot="1">
      <c r="A399" s="1778"/>
      <c r="B399" s="903" t="s">
        <v>602</v>
      </c>
      <c r="C399" s="935">
        <v>99</v>
      </c>
      <c r="D399" s="935">
        <v>138.6</v>
      </c>
      <c r="E399" s="935">
        <v>158.4</v>
      </c>
      <c r="F399" s="935">
        <v>237.6</v>
      </c>
      <c r="G399" s="936">
        <v>396</v>
      </c>
      <c r="H399" s="564"/>
      <c r="I399" s="564"/>
    </row>
    <row r="400" spans="1:9" ht="21.75" customHeight="1" thickBot="1">
      <c r="A400" s="559"/>
      <c r="B400" s="559"/>
      <c r="C400" s="1053" t="s">
        <v>118</v>
      </c>
      <c r="D400" s="1054" t="s">
        <v>119</v>
      </c>
      <c r="E400" s="1053" t="s">
        <v>120</v>
      </c>
      <c r="F400" s="1054" t="s">
        <v>121</v>
      </c>
      <c r="G400" s="1053" t="s">
        <v>122</v>
      </c>
      <c r="H400" s="564"/>
      <c r="I400" s="564"/>
    </row>
    <row r="401" spans="1:12" ht="6" customHeight="1">
      <c r="A401" s="559"/>
      <c r="B401" s="559"/>
      <c r="C401" s="559"/>
      <c r="D401" s="559"/>
      <c r="E401" s="559"/>
      <c r="F401" s="559"/>
      <c r="G401" s="559"/>
      <c r="H401" s="564"/>
      <c r="I401" s="564"/>
    </row>
    <row r="402" spans="1:12">
      <c r="A402" s="564"/>
      <c r="B402" s="564"/>
      <c r="C402" s="564"/>
      <c r="D402" s="564"/>
      <c r="E402" s="564"/>
      <c r="F402" s="564"/>
      <c r="G402" s="564"/>
      <c r="H402" s="564"/>
      <c r="I402" s="564"/>
    </row>
    <row r="403" spans="1:12">
      <c r="A403" s="564"/>
      <c r="B403" s="564"/>
      <c r="C403" s="727"/>
      <c r="D403" s="1779"/>
      <c r="E403" s="1779"/>
      <c r="F403" s="1779"/>
      <c r="G403" s="727"/>
      <c r="H403" s="564">
        <v>99</v>
      </c>
      <c r="I403" s="564"/>
      <c r="L403">
        <f>(K401*K400)</f>
        <v>0</v>
      </c>
    </row>
    <row r="404" spans="1:12">
      <c r="A404" s="564" t="s">
        <v>148</v>
      </c>
      <c r="B404" s="564">
        <v>492</v>
      </c>
      <c r="C404" s="727">
        <v>1</v>
      </c>
      <c r="D404" s="1779"/>
      <c r="E404" s="1779"/>
      <c r="F404" s="1779"/>
      <c r="G404" s="727"/>
      <c r="H404">
        <v>25</v>
      </c>
    </row>
    <row r="405" spans="1:12">
      <c r="A405" s="564"/>
      <c r="B405" s="564">
        <v>492</v>
      </c>
      <c r="C405" s="727">
        <f>(1+C404)</f>
        <v>2</v>
      </c>
      <c r="D405" s="1779"/>
      <c r="E405" s="1779"/>
      <c r="F405" s="1779"/>
      <c r="G405" s="727"/>
      <c r="H405">
        <f>(H403/H404)</f>
        <v>3.96</v>
      </c>
      <c r="I405">
        <v>35</v>
      </c>
      <c r="J405">
        <f>(I405*H405)</f>
        <v>138.6</v>
      </c>
    </row>
    <row r="406" spans="1:12">
      <c r="A406" s="564"/>
      <c r="B406" s="564">
        <v>492</v>
      </c>
      <c r="C406" s="727">
        <f t="shared" ref="C406:C434" si="0">(1+C405)</f>
        <v>3</v>
      </c>
      <c r="D406" s="1779"/>
      <c r="E406" s="1779"/>
      <c r="F406" s="1779"/>
      <c r="G406" s="727"/>
      <c r="I406">
        <v>40</v>
      </c>
      <c r="J406">
        <f>(I406*H405)</f>
        <v>158.4</v>
      </c>
    </row>
    <row r="407" spans="1:12">
      <c r="A407" s="564"/>
      <c r="B407" s="564">
        <v>492</v>
      </c>
      <c r="C407" s="727">
        <f t="shared" si="0"/>
        <v>4</v>
      </c>
      <c r="D407" s="1779"/>
      <c r="E407" s="1779"/>
      <c r="F407" s="1779"/>
      <c r="G407" s="727"/>
      <c r="I407">
        <v>60</v>
      </c>
      <c r="J407">
        <f>(I407*H405)</f>
        <v>237.6</v>
      </c>
    </row>
    <row r="408" spans="1:12">
      <c r="A408" s="564"/>
      <c r="B408" s="564">
        <v>492</v>
      </c>
      <c r="C408" s="727">
        <f t="shared" si="0"/>
        <v>5</v>
      </c>
      <c r="D408" s="564"/>
      <c r="E408" s="564"/>
      <c r="F408" s="564"/>
      <c r="G408" s="564"/>
      <c r="H408">
        <v>60</v>
      </c>
      <c r="I408">
        <f>(H408*D410)</f>
        <v>4217.1428571428578</v>
      </c>
    </row>
    <row r="409" spans="1:12">
      <c r="A409" s="564"/>
      <c r="B409" s="564">
        <v>492</v>
      </c>
      <c r="C409" s="727">
        <f t="shared" si="0"/>
        <v>6</v>
      </c>
      <c r="D409" s="564"/>
      <c r="E409" s="564"/>
      <c r="F409" s="564"/>
      <c r="G409" s="564"/>
      <c r="H409">
        <v>100</v>
      </c>
      <c r="I409">
        <f>(H409*D410)</f>
        <v>7028.5714285714294</v>
      </c>
    </row>
    <row r="410" spans="1:12">
      <c r="A410" s="564"/>
      <c r="B410" s="564">
        <v>492</v>
      </c>
      <c r="C410" s="727">
        <f t="shared" si="0"/>
        <v>7</v>
      </c>
      <c r="D410" s="564">
        <f>(B410/C410)</f>
        <v>70.285714285714292</v>
      </c>
      <c r="E410" s="564"/>
      <c r="F410" s="564"/>
      <c r="G410" s="564"/>
    </row>
    <row r="411" spans="1:12">
      <c r="B411" s="564">
        <v>492</v>
      </c>
      <c r="C411" s="727">
        <f t="shared" si="0"/>
        <v>8</v>
      </c>
    </row>
    <row r="412" spans="1:12">
      <c r="B412" s="564">
        <v>492</v>
      </c>
      <c r="C412" s="727">
        <f t="shared" si="0"/>
        <v>9</v>
      </c>
    </row>
    <row r="413" spans="1:12">
      <c r="B413" s="564">
        <v>492</v>
      </c>
      <c r="C413" s="727">
        <f t="shared" si="0"/>
        <v>10</v>
      </c>
    </row>
    <row r="414" spans="1:12">
      <c r="B414" s="564">
        <v>492</v>
      </c>
      <c r="C414" s="727">
        <f t="shared" si="0"/>
        <v>11</v>
      </c>
    </row>
    <row r="415" spans="1:12">
      <c r="B415" s="564">
        <v>492</v>
      </c>
      <c r="C415" s="727">
        <f t="shared" si="0"/>
        <v>12</v>
      </c>
    </row>
    <row r="416" spans="1:12">
      <c r="B416" s="564">
        <v>492</v>
      </c>
      <c r="C416" s="727">
        <f t="shared" si="0"/>
        <v>13</v>
      </c>
    </row>
    <row r="417" spans="2:3">
      <c r="B417" s="564">
        <v>492</v>
      </c>
      <c r="C417" s="727">
        <f t="shared" si="0"/>
        <v>14</v>
      </c>
    </row>
    <row r="418" spans="2:3">
      <c r="B418" s="564">
        <v>460</v>
      </c>
      <c r="C418" s="727">
        <f t="shared" si="0"/>
        <v>15</v>
      </c>
    </row>
    <row r="419" spans="2:3">
      <c r="B419" s="564">
        <v>460</v>
      </c>
      <c r="C419" s="727">
        <f t="shared" si="0"/>
        <v>16</v>
      </c>
    </row>
    <row r="420" spans="2:3">
      <c r="B420" s="564">
        <v>460</v>
      </c>
      <c r="C420" s="727">
        <f t="shared" si="0"/>
        <v>17</v>
      </c>
    </row>
    <row r="421" spans="2:3">
      <c r="B421" s="564">
        <v>460</v>
      </c>
      <c r="C421" s="727">
        <f t="shared" si="0"/>
        <v>18</v>
      </c>
    </row>
    <row r="422" spans="2:3">
      <c r="B422" s="564">
        <v>460</v>
      </c>
      <c r="C422" s="727">
        <f t="shared" si="0"/>
        <v>19</v>
      </c>
    </row>
    <row r="423" spans="2:3">
      <c r="B423" s="564">
        <v>460</v>
      </c>
      <c r="C423" s="727">
        <f t="shared" si="0"/>
        <v>20</v>
      </c>
    </row>
    <row r="424" spans="2:3">
      <c r="B424" s="564">
        <v>460</v>
      </c>
      <c r="C424" s="727">
        <f t="shared" si="0"/>
        <v>21</v>
      </c>
    </row>
    <row r="425" spans="2:3">
      <c r="B425" s="564">
        <v>460</v>
      </c>
      <c r="C425" s="727">
        <f t="shared" si="0"/>
        <v>22</v>
      </c>
    </row>
    <row r="426" spans="2:3">
      <c r="B426" s="564">
        <v>460</v>
      </c>
      <c r="C426" s="727">
        <f t="shared" si="0"/>
        <v>23</v>
      </c>
    </row>
    <row r="427" spans="2:3">
      <c r="B427" s="564">
        <v>460</v>
      </c>
      <c r="C427" s="727">
        <f t="shared" si="0"/>
        <v>24</v>
      </c>
    </row>
    <row r="428" spans="2:3">
      <c r="B428" s="564">
        <v>460</v>
      </c>
      <c r="C428" s="727">
        <f t="shared" si="0"/>
        <v>25</v>
      </c>
    </row>
    <row r="429" spans="2:3">
      <c r="B429" s="564">
        <v>460</v>
      </c>
      <c r="C429" s="727">
        <f t="shared" si="0"/>
        <v>26</v>
      </c>
    </row>
    <row r="430" spans="2:3">
      <c r="B430" s="564">
        <v>460</v>
      </c>
      <c r="C430" s="727">
        <f t="shared" si="0"/>
        <v>27</v>
      </c>
    </row>
    <row r="431" spans="2:3">
      <c r="B431" s="564">
        <v>460</v>
      </c>
      <c r="C431" s="727">
        <f t="shared" si="0"/>
        <v>28</v>
      </c>
    </row>
    <row r="432" spans="2:3">
      <c r="B432" s="564">
        <v>460</v>
      </c>
      <c r="C432" s="727">
        <f t="shared" si="0"/>
        <v>29</v>
      </c>
    </row>
    <row r="433" spans="2:3">
      <c r="B433" s="564">
        <v>460</v>
      </c>
      <c r="C433" s="727">
        <f t="shared" si="0"/>
        <v>30</v>
      </c>
    </row>
    <row r="434" spans="2:3">
      <c r="B434" s="564">
        <v>460</v>
      </c>
      <c r="C434" s="727">
        <f t="shared" si="0"/>
        <v>31</v>
      </c>
    </row>
    <row r="435" spans="2:3">
      <c r="B435">
        <f>AVERAGE(B404:B434)</f>
        <v>474.45161290322579</v>
      </c>
    </row>
  </sheetData>
  <mergeCells count="103">
    <mergeCell ref="A241:A243"/>
    <mergeCell ref="A245:A247"/>
    <mergeCell ref="A277:A279"/>
    <mergeCell ref="A273:A275"/>
    <mergeCell ref="A297:A299"/>
    <mergeCell ref="A301:A303"/>
    <mergeCell ref="A293:A295"/>
    <mergeCell ref="A309:A311"/>
    <mergeCell ref="A313:A315"/>
    <mergeCell ref="A305:A307"/>
    <mergeCell ref="A29:A31"/>
    <mergeCell ref="A73:A75"/>
    <mergeCell ref="A77:A79"/>
    <mergeCell ref="A81:A83"/>
    <mergeCell ref="A85:A87"/>
    <mergeCell ref="A89:A91"/>
    <mergeCell ref="A53:A55"/>
    <mergeCell ref="A57:A59"/>
    <mergeCell ref="A61:A63"/>
    <mergeCell ref="A65:A67"/>
    <mergeCell ref="A69:A71"/>
    <mergeCell ref="A33:A35"/>
    <mergeCell ref="A37:A39"/>
    <mergeCell ref="A41:A43"/>
    <mergeCell ref="A45:A47"/>
    <mergeCell ref="A49:A51"/>
    <mergeCell ref="A4:G4"/>
    <mergeCell ref="A5:G5"/>
    <mergeCell ref="A6:G6"/>
    <mergeCell ref="A8:G8"/>
    <mergeCell ref="A10:G10"/>
    <mergeCell ref="A13:A15"/>
    <mergeCell ref="A17:A19"/>
    <mergeCell ref="A21:A23"/>
    <mergeCell ref="A25:A27"/>
    <mergeCell ref="A93:A95"/>
    <mergeCell ref="A97:A99"/>
    <mergeCell ref="A101:A103"/>
    <mergeCell ref="A105:A107"/>
    <mergeCell ref="A133:A135"/>
    <mergeCell ref="A129:A131"/>
    <mergeCell ref="A141:A143"/>
    <mergeCell ref="A109:A111"/>
    <mergeCell ref="A113:A115"/>
    <mergeCell ref="A117:A119"/>
    <mergeCell ref="A121:A123"/>
    <mergeCell ref="A125:A127"/>
    <mergeCell ref="A137:A139"/>
    <mergeCell ref="A145:A147"/>
    <mergeCell ref="A149:A151"/>
    <mergeCell ref="A153:A155"/>
    <mergeCell ref="A157:A159"/>
    <mergeCell ref="A177:A179"/>
    <mergeCell ref="A169:A171"/>
    <mergeCell ref="A173:A175"/>
    <mergeCell ref="A161:A163"/>
    <mergeCell ref="A165:A167"/>
    <mergeCell ref="A181:A183"/>
    <mergeCell ref="A185:A187"/>
    <mergeCell ref="A189:A191"/>
    <mergeCell ref="A289:A291"/>
    <mergeCell ref="A193:A195"/>
    <mergeCell ref="A197:A199"/>
    <mergeCell ref="A201:A203"/>
    <mergeCell ref="A205:A207"/>
    <mergeCell ref="A285:A287"/>
    <mergeCell ref="A213:A215"/>
    <mergeCell ref="A209:A211"/>
    <mergeCell ref="A281:A283"/>
    <mergeCell ref="A249:A251"/>
    <mergeCell ref="A225:A227"/>
    <mergeCell ref="A229:A231"/>
    <mergeCell ref="A217:A219"/>
    <mergeCell ref="A269:A271"/>
    <mergeCell ref="A253:A255"/>
    <mergeCell ref="A261:A263"/>
    <mergeCell ref="A257:A259"/>
    <mergeCell ref="A265:A267"/>
    <mergeCell ref="A221:A223"/>
    <mergeCell ref="A233:A235"/>
    <mergeCell ref="A237:A239"/>
    <mergeCell ref="A381:A383"/>
    <mergeCell ref="A385:A387"/>
    <mergeCell ref="A389:A391"/>
    <mergeCell ref="A393:A395"/>
    <mergeCell ref="D403:F407"/>
    <mergeCell ref="A397:A399"/>
    <mergeCell ref="A317:A319"/>
    <mergeCell ref="A321:A323"/>
    <mergeCell ref="A325:A327"/>
    <mergeCell ref="A329:A331"/>
    <mergeCell ref="A333:A335"/>
    <mergeCell ref="A337:A339"/>
    <mergeCell ref="A341:A343"/>
    <mergeCell ref="A345:A347"/>
    <mergeCell ref="A349:A351"/>
    <mergeCell ref="A353:A355"/>
    <mergeCell ref="A357:A359"/>
    <mergeCell ref="A361:A363"/>
    <mergeCell ref="A365:A367"/>
    <mergeCell ref="A369:A371"/>
    <mergeCell ref="A373:A375"/>
    <mergeCell ref="A377:A379"/>
  </mergeCells>
  <printOptions horizontalCentered="1" gridLines="1"/>
  <pageMargins left="1.1811023622047245" right="0.98425196850393704" top="1.1023622047244095" bottom="0.39370078740157483" header="0" footer="0"/>
  <pageSetup scale="85" fitToHeight="2" orientation="landscape" r:id="rId1"/>
  <headerFooter alignWithMargins="0"/>
  <rowBreaks count="20" manualBreakCount="20">
    <brk id="28" max="16383" man="1"/>
    <brk id="47" max="16383" man="1"/>
    <brk id="64" max="6" man="1"/>
    <brk id="83" max="6" man="1"/>
    <brk id="95" max="6" man="1"/>
    <brk id="111" max="6" man="1"/>
    <brk id="127" max="6" man="1"/>
    <brk id="147" max="6" man="1"/>
    <brk id="164" max="6" man="1"/>
    <brk id="180" max="6" man="1"/>
    <brk id="199" max="6" man="1"/>
    <brk id="215" max="6" man="1"/>
    <brk id="236" max="6" man="1"/>
    <brk id="255" max="6" man="1"/>
    <brk id="272" max="6" man="1"/>
    <brk id="288" max="6" man="1"/>
    <brk id="303" max="6" man="1"/>
    <brk id="319" max="6" man="1"/>
    <brk id="343" max="6" man="1"/>
    <brk id="375" max="6" man="1"/>
  </rowBreaks>
  <colBreaks count="1" manualBreakCount="1">
    <brk id="7" max="1048575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Z84"/>
  <sheetViews>
    <sheetView showGridLines="0" topLeftCell="H1" zoomScale="85" zoomScaleNormal="85" workbookViewId="0">
      <selection activeCell="H12" sqref="H12"/>
    </sheetView>
  </sheetViews>
  <sheetFormatPr baseColWidth="10" defaultColWidth="11.42578125" defaultRowHeight="13.5"/>
  <cols>
    <col min="1" max="1" width="17.42578125" style="775" customWidth="1"/>
    <col min="2" max="21" width="12.140625" style="775" customWidth="1"/>
    <col min="22" max="22" width="10" style="775" customWidth="1"/>
    <col min="23" max="16384" width="11.42578125" style="775"/>
  </cols>
  <sheetData>
    <row r="1" spans="1:23">
      <c r="A1" s="775" t="s">
        <v>53</v>
      </c>
    </row>
    <row r="2" spans="1:23">
      <c r="A2" s="775" t="s">
        <v>54</v>
      </c>
    </row>
    <row r="3" spans="1:23">
      <c r="A3" s="776" t="s">
        <v>55</v>
      </c>
    </row>
    <row r="5" spans="1:23" ht="17.25">
      <c r="A5" s="777"/>
      <c r="B5" s="778"/>
      <c r="D5" s="778"/>
      <c r="E5" s="778"/>
      <c r="F5" s="778"/>
      <c r="G5" s="778"/>
      <c r="H5" s="778"/>
      <c r="I5" s="778"/>
      <c r="J5" s="778"/>
      <c r="K5" s="778"/>
      <c r="L5" s="778"/>
      <c r="M5" s="778"/>
      <c r="N5" s="778"/>
      <c r="O5" s="778"/>
      <c r="P5" s="778"/>
      <c r="Q5" s="778"/>
      <c r="R5" s="779"/>
      <c r="S5" s="779"/>
      <c r="T5" s="779"/>
      <c r="U5" s="779"/>
      <c r="V5" s="779"/>
    </row>
    <row r="6" spans="1:23" ht="17.25">
      <c r="A6" s="777"/>
      <c r="B6" s="778"/>
      <c r="D6" s="778"/>
      <c r="E6" s="778"/>
      <c r="F6" s="778"/>
      <c r="G6" s="778"/>
      <c r="H6" s="778"/>
      <c r="I6" s="778"/>
      <c r="J6" s="778"/>
      <c r="K6" s="778"/>
      <c r="L6" s="778"/>
      <c r="M6" s="778"/>
      <c r="N6" s="778"/>
      <c r="O6" s="778"/>
      <c r="P6" s="778"/>
      <c r="Q6" s="778"/>
      <c r="R6" s="779"/>
      <c r="S6" s="779"/>
      <c r="T6" s="779"/>
      <c r="U6" s="779"/>
      <c r="V6" s="779"/>
    </row>
    <row r="7" spans="1:23" ht="18" thickBot="1">
      <c r="A7" s="779"/>
      <c r="B7" s="778"/>
      <c r="D7" s="778"/>
      <c r="E7" s="778"/>
      <c r="F7" s="778"/>
      <c r="G7" s="778"/>
      <c r="H7" s="778"/>
      <c r="I7" s="778"/>
      <c r="J7" s="778"/>
      <c r="K7" s="778"/>
      <c r="L7" s="778"/>
      <c r="M7" s="778"/>
      <c r="N7" s="778"/>
      <c r="O7" s="778"/>
      <c r="P7" s="778"/>
      <c r="Q7" s="778"/>
      <c r="R7" s="779"/>
      <c r="S7" s="779"/>
      <c r="T7" s="779"/>
      <c r="U7" s="779"/>
      <c r="V7" s="779"/>
    </row>
    <row r="8" spans="1:23" s="780" customFormat="1" ht="21" thickBot="1">
      <c r="A8" s="1782" t="s">
        <v>554</v>
      </c>
      <c r="B8" s="1783"/>
      <c r="C8" s="1783"/>
      <c r="D8" s="1783"/>
      <c r="E8" s="1783"/>
      <c r="F8" s="1783"/>
      <c r="G8" s="1783"/>
      <c r="H8" s="1783"/>
      <c r="I8" s="1783"/>
      <c r="J8" s="1783"/>
      <c r="K8" s="1783"/>
      <c r="L8" s="1783"/>
      <c r="M8" s="1783"/>
      <c r="N8" s="1783"/>
      <c r="O8" s="1783"/>
      <c r="P8" s="1783"/>
      <c r="Q8" s="1783"/>
      <c r="R8" s="1783"/>
      <c r="S8" s="1783"/>
      <c r="T8" s="1783"/>
      <c r="U8" s="1784"/>
    </row>
    <row r="9" spans="1:23" s="780" customFormat="1" ht="19.5">
      <c r="A9" s="781"/>
    </row>
    <row r="10" spans="1:23" s="776" customFormat="1" ht="20.25">
      <c r="A10" s="1785" t="s">
        <v>555</v>
      </c>
      <c r="B10" s="1785"/>
      <c r="C10" s="1785"/>
      <c r="D10" s="1785"/>
      <c r="E10" s="1785"/>
      <c r="F10" s="1785"/>
      <c r="G10" s="1785"/>
      <c r="H10" s="1785"/>
      <c r="I10" s="1785"/>
      <c r="J10" s="1785"/>
      <c r="K10" s="1785"/>
      <c r="L10" s="1785"/>
      <c r="M10" s="1785"/>
      <c r="N10" s="1785"/>
      <c r="O10" s="1785"/>
      <c r="P10" s="1785"/>
      <c r="Q10" s="1785"/>
      <c r="R10" s="1785"/>
      <c r="S10" s="1785"/>
      <c r="T10" s="1785"/>
      <c r="U10" s="1785"/>
    </row>
    <row r="11" spans="1:23" s="776" customFormat="1" ht="15" customHeight="1" thickBot="1">
      <c r="A11" s="782"/>
      <c r="B11" s="783"/>
      <c r="C11" s="783"/>
      <c r="D11" s="783"/>
      <c r="E11" s="783"/>
      <c r="F11" s="783"/>
      <c r="G11" s="783"/>
      <c r="H11" s="783"/>
      <c r="I11" s="783"/>
      <c r="J11" s="783"/>
      <c r="K11" s="783"/>
      <c r="L11" s="783"/>
      <c r="M11" s="783"/>
      <c r="N11" s="783"/>
      <c r="O11" s="783"/>
      <c r="P11" s="783"/>
      <c r="Q11" s="783"/>
      <c r="R11" s="783"/>
      <c r="S11" s="783"/>
      <c r="T11" s="783"/>
      <c r="U11" s="783"/>
      <c r="V11" s="784"/>
    </row>
    <row r="12" spans="1:23" ht="15">
      <c r="A12" s="785" t="s">
        <v>556</v>
      </c>
      <c r="B12" s="786">
        <v>1997</v>
      </c>
      <c r="C12" s="786">
        <v>1998</v>
      </c>
      <c r="D12" s="786">
        <v>1999</v>
      </c>
      <c r="E12" s="786">
        <v>2000</v>
      </c>
      <c r="F12" s="786">
        <v>2001</v>
      </c>
      <c r="G12" s="786">
        <v>2002</v>
      </c>
      <c r="H12" s="786">
        <v>2003</v>
      </c>
      <c r="I12" s="786">
        <v>2004</v>
      </c>
      <c r="J12" s="786">
        <v>2005</v>
      </c>
      <c r="K12" s="786">
        <v>2006</v>
      </c>
      <c r="L12" s="786">
        <v>2007</v>
      </c>
      <c r="M12" s="786">
        <v>2008</v>
      </c>
      <c r="N12" s="786">
        <v>2009</v>
      </c>
      <c r="O12" s="786">
        <v>2010</v>
      </c>
      <c r="P12" s="786">
        <v>2011</v>
      </c>
      <c r="Q12" s="786">
        <v>2012</v>
      </c>
      <c r="R12" s="786">
        <v>2013</v>
      </c>
      <c r="S12" s="786">
        <v>2014</v>
      </c>
      <c r="T12" s="786">
        <v>2015</v>
      </c>
      <c r="U12" s="786">
        <v>2016</v>
      </c>
      <c r="V12" s="787"/>
    </row>
    <row r="13" spans="1:23" ht="15" thickBot="1">
      <c r="A13" s="788" t="s">
        <v>557</v>
      </c>
      <c r="B13" s="789" t="s">
        <v>558</v>
      </c>
      <c r="C13" s="789" t="s">
        <v>558</v>
      </c>
      <c r="D13" s="789" t="s">
        <v>558</v>
      </c>
      <c r="E13" s="789" t="s">
        <v>558</v>
      </c>
      <c r="F13" s="789" t="s">
        <v>558</v>
      </c>
      <c r="G13" s="789" t="s">
        <v>558</v>
      </c>
      <c r="H13" s="789" t="s">
        <v>558</v>
      </c>
      <c r="I13" s="789" t="s">
        <v>558</v>
      </c>
      <c r="J13" s="789" t="s">
        <v>558</v>
      </c>
      <c r="K13" s="789" t="s">
        <v>558</v>
      </c>
      <c r="L13" s="789" t="s">
        <v>558</v>
      </c>
      <c r="M13" s="789" t="s">
        <v>558</v>
      </c>
      <c r="N13" s="789" t="s">
        <v>558</v>
      </c>
      <c r="O13" s="789" t="s">
        <v>558</v>
      </c>
      <c r="P13" s="789" t="s">
        <v>558</v>
      </c>
      <c r="Q13" s="789" t="s">
        <v>558</v>
      </c>
      <c r="R13" s="789" t="s">
        <v>558</v>
      </c>
      <c r="S13" s="789" t="s">
        <v>558</v>
      </c>
      <c r="T13" s="789" t="s">
        <v>558</v>
      </c>
      <c r="U13" s="789" t="s">
        <v>558</v>
      </c>
      <c r="V13" s="790"/>
      <c r="W13" s="709"/>
    </row>
    <row r="14" spans="1:23">
      <c r="A14" s="791" t="s">
        <v>41</v>
      </c>
      <c r="B14" s="792">
        <v>10.87</v>
      </c>
      <c r="C14" s="792">
        <v>11.01</v>
      </c>
      <c r="D14" s="792">
        <v>10.42</v>
      </c>
      <c r="E14" s="793">
        <v>14.07</v>
      </c>
      <c r="F14" s="792">
        <v>14.125999999999999</v>
      </c>
      <c r="G14" s="792">
        <v>12.55</v>
      </c>
      <c r="H14" s="792">
        <v>15.34</v>
      </c>
      <c r="I14" s="792">
        <v>15.9025</v>
      </c>
      <c r="J14" s="792">
        <v>18.797999999999998</v>
      </c>
      <c r="K14" s="792">
        <v>22.326000000000001</v>
      </c>
      <c r="L14" s="794">
        <v>22.67</v>
      </c>
      <c r="M14" s="794">
        <v>28.524999999999999</v>
      </c>
      <c r="N14" s="794">
        <v>21.1675</v>
      </c>
      <c r="O14" s="794">
        <v>27.9175</v>
      </c>
      <c r="P14" s="794">
        <v>30.462499999999999</v>
      </c>
      <c r="Q14" s="794">
        <v>32.822000000000003</v>
      </c>
      <c r="R14" s="794">
        <v>33.084000000000003</v>
      </c>
      <c r="S14" s="794">
        <v>34.0625</v>
      </c>
      <c r="T14" s="794">
        <v>20.9025</v>
      </c>
      <c r="U14" s="794">
        <v>19.5425</v>
      </c>
      <c r="V14" s="795"/>
      <c r="W14" s="553"/>
    </row>
    <row r="15" spans="1:23">
      <c r="A15" s="796" t="s">
        <v>42</v>
      </c>
      <c r="B15" s="797">
        <v>10.95</v>
      </c>
      <c r="C15" s="797">
        <v>10.86</v>
      </c>
      <c r="D15" s="797">
        <v>10.39</v>
      </c>
      <c r="E15" s="798">
        <v>14.42</v>
      </c>
      <c r="F15" s="797">
        <v>14.324999999999999</v>
      </c>
      <c r="G15" s="797">
        <v>12.2875</v>
      </c>
      <c r="H15" s="797">
        <v>16.22</v>
      </c>
      <c r="I15" s="797">
        <v>17.227499999999999</v>
      </c>
      <c r="J15" s="797">
        <v>18.282499999999999</v>
      </c>
      <c r="K15" s="797">
        <v>22.0275</v>
      </c>
      <c r="L15" s="797">
        <v>21.657499999999999</v>
      </c>
      <c r="M15" s="797">
        <v>28.344999999999999</v>
      </c>
      <c r="N15" s="797">
        <v>20.895</v>
      </c>
      <c r="O15" s="797">
        <v>27.454999999999998</v>
      </c>
      <c r="P15" s="797">
        <v>31.497499999999999</v>
      </c>
      <c r="Q15" s="797">
        <v>34.839999999999996</v>
      </c>
      <c r="R15" s="797">
        <v>34.772499999999994</v>
      </c>
      <c r="S15" s="797">
        <v>33.1325</v>
      </c>
      <c r="T15" s="797">
        <v>22.4375</v>
      </c>
      <c r="U15" s="797">
        <v>18.564</v>
      </c>
      <c r="V15" s="799"/>
      <c r="W15" s="553"/>
    </row>
    <row r="16" spans="1:23">
      <c r="A16" s="796" t="s">
        <v>43</v>
      </c>
      <c r="B16" s="797">
        <v>10.61</v>
      </c>
      <c r="C16" s="797">
        <v>10.77</v>
      </c>
      <c r="D16" s="797">
        <v>10.54</v>
      </c>
      <c r="E16" s="798">
        <v>14.82</v>
      </c>
      <c r="F16" s="797">
        <v>14.1275</v>
      </c>
      <c r="G16" s="797">
        <v>12.577500000000001</v>
      </c>
      <c r="H16" s="797">
        <v>17.405999999999999</v>
      </c>
      <c r="I16" s="797">
        <v>17.847999999999999</v>
      </c>
      <c r="J16" s="797">
        <v>19.462499999999999</v>
      </c>
      <c r="K16" s="797">
        <v>21.842500000000001</v>
      </c>
      <c r="L16" s="797">
        <v>22.8675</v>
      </c>
      <c r="M16" s="797">
        <v>29.732000000000006</v>
      </c>
      <c r="N16" s="797">
        <v>20.52</v>
      </c>
      <c r="O16" s="797">
        <v>29.054000000000002</v>
      </c>
      <c r="P16" s="797">
        <v>34.18</v>
      </c>
      <c r="Q16" s="797">
        <v>36.49</v>
      </c>
      <c r="R16" s="797">
        <v>34.672499999999999</v>
      </c>
      <c r="S16" s="797">
        <v>33.524999999999999</v>
      </c>
      <c r="T16" s="797">
        <v>24.192</v>
      </c>
      <c r="U16" s="797">
        <v>20.234999999999999</v>
      </c>
      <c r="V16" s="799"/>
      <c r="W16" s="553"/>
    </row>
    <row r="17" spans="1:23">
      <c r="A17" s="796" t="s">
        <v>44</v>
      </c>
      <c r="B17" s="797">
        <v>10.61</v>
      </c>
      <c r="C17" s="797">
        <v>10.64</v>
      </c>
      <c r="D17" s="797">
        <v>11.41</v>
      </c>
      <c r="E17" s="798">
        <v>14.56</v>
      </c>
      <c r="F17" s="797">
        <v>14.0375</v>
      </c>
      <c r="G17" s="797">
        <v>14.11</v>
      </c>
      <c r="H17" s="797">
        <v>16.487500000000001</v>
      </c>
      <c r="I17" s="797">
        <v>18.29</v>
      </c>
      <c r="J17" s="797">
        <v>21.702500000000001</v>
      </c>
      <c r="K17" s="797">
        <v>24.147500000000001</v>
      </c>
      <c r="L17" s="797">
        <v>25.28</v>
      </c>
      <c r="M17" s="797">
        <v>31.41</v>
      </c>
      <c r="N17" s="797">
        <v>21.16</v>
      </c>
      <c r="O17" s="797">
        <v>30.142499999999998</v>
      </c>
      <c r="P17" s="797">
        <v>35.08</v>
      </c>
      <c r="Q17" s="797">
        <v>37.114000000000004</v>
      </c>
      <c r="R17" s="797">
        <v>33.766000000000005</v>
      </c>
      <c r="S17" s="797">
        <v>34.315000000000005</v>
      </c>
      <c r="T17" s="797">
        <v>24.75</v>
      </c>
      <c r="U17" s="797">
        <v>21.467499999999998</v>
      </c>
      <c r="V17" s="799"/>
      <c r="W17" s="553"/>
    </row>
    <row r="18" spans="1:23">
      <c r="A18" s="796" t="s">
        <v>45</v>
      </c>
      <c r="B18" s="797">
        <v>10.65</v>
      </c>
      <c r="C18" s="797">
        <v>10.9</v>
      </c>
      <c r="D18" s="797">
        <v>11.91</v>
      </c>
      <c r="E18" s="798">
        <v>14.97</v>
      </c>
      <c r="F18" s="797">
        <v>15.34</v>
      </c>
      <c r="G18" s="797">
        <v>14.154999999999999</v>
      </c>
      <c r="H18" s="797">
        <v>15.4375</v>
      </c>
      <c r="I18" s="797">
        <v>18.592000000000002</v>
      </c>
      <c r="J18" s="797">
        <v>22.23</v>
      </c>
      <c r="K18" s="797">
        <v>26.616000000000003</v>
      </c>
      <c r="L18" s="797">
        <v>27.294</v>
      </c>
      <c r="M18" s="797">
        <v>32.770000000000003</v>
      </c>
      <c r="N18" s="797">
        <v>22.442499999999999</v>
      </c>
      <c r="O18" s="797">
        <v>29.338000000000001</v>
      </c>
      <c r="P18" s="797">
        <v>35.090000000000003</v>
      </c>
      <c r="Q18" s="797">
        <v>35.260000000000005</v>
      </c>
      <c r="R18" s="797">
        <v>33.887500000000003</v>
      </c>
      <c r="S18" s="797">
        <v>33.914999999999999</v>
      </c>
      <c r="T18" s="797">
        <v>26.057500000000001</v>
      </c>
      <c r="U18" s="797">
        <v>22.321999999999999</v>
      </c>
      <c r="V18" s="799"/>
      <c r="W18" s="553"/>
    </row>
    <row r="19" spans="1:23">
      <c r="A19" s="796" t="s">
        <v>46</v>
      </c>
      <c r="B19" s="797">
        <v>10.71</v>
      </c>
      <c r="C19" s="797">
        <v>11.01</v>
      </c>
      <c r="D19" s="797">
        <v>11.91</v>
      </c>
      <c r="E19" s="798">
        <v>15.61</v>
      </c>
      <c r="F19" s="797">
        <v>15.315</v>
      </c>
      <c r="G19" s="797">
        <v>13.9625</v>
      </c>
      <c r="H19" s="797">
        <v>14.5725</v>
      </c>
      <c r="I19" s="797">
        <v>18.9025</v>
      </c>
      <c r="J19" s="797">
        <v>21.96</v>
      </c>
      <c r="K19" s="797">
        <v>26.447500000000002</v>
      </c>
      <c r="L19" s="797">
        <v>28.407499999999999</v>
      </c>
      <c r="M19" s="797">
        <v>35.167499999999997</v>
      </c>
      <c r="N19" s="797">
        <v>25.172499999999999</v>
      </c>
      <c r="O19" s="797">
        <v>27.512499999999999</v>
      </c>
      <c r="P19" s="797">
        <v>34.270000000000003</v>
      </c>
      <c r="Q19" s="797">
        <v>33.14</v>
      </c>
      <c r="R19" s="797">
        <v>33.5</v>
      </c>
      <c r="S19" s="797">
        <v>34.766000000000005</v>
      </c>
      <c r="T19" s="797">
        <v>26.297499999999999</v>
      </c>
      <c r="U19" s="797">
        <v>22.857500000000002</v>
      </c>
      <c r="V19" s="799"/>
      <c r="W19" s="553"/>
    </row>
    <row r="20" spans="1:23">
      <c r="A20" s="796" t="s">
        <v>47</v>
      </c>
      <c r="B20" s="797">
        <v>10.57</v>
      </c>
      <c r="C20" s="797">
        <v>10.9</v>
      </c>
      <c r="D20" s="798">
        <v>12.15</v>
      </c>
      <c r="E20" s="797">
        <v>15.8</v>
      </c>
      <c r="F20" s="797">
        <v>14.67</v>
      </c>
      <c r="G20" s="797">
        <v>14.425999999999998</v>
      </c>
      <c r="H20" s="797">
        <v>14.62</v>
      </c>
      <c r="I20" s="797">
        <v>18.87</v>
      </c>
      <c r="J20" s="797">
        <v>21.93</v>
      </c>
      <c r="K20" s="797">
        <v>26.302</v>
      </c>
      <c r="L20" s="797">
        <v>28.085000000000001</v>
      </c>
      <c r="M20" s="797">
        <v>36.061999999999998</v>
      </c>
      <c r="N20" s="797">
        <v>26.056000000000001</v>
      </c>
      <c r="O20" s="797">
        <v>27.397500000000001</v>
      </c>
      <c r="P20" s="797">
        <v>34.56</v>
      </c>
      <c r="Q20" s="797">
        <v>34.225999999999999</v>
      </c>
      <c r="R20" s="797">
        <v>35.148000000000003</v>
      </c>
      <c r="S20" s="797">
        <v>34.67</v>
      </c>
      <c r="T20" s="797">
        <v>26.380000000000003</v>
      </c>
      <c r="U20" s="797">
        <v>21.715</v>
      </c>
      <c r="V20" s="799"/>
      <c r="W20" s="553"/>
    </row>
    <row r="21" spans="1:23">
      <c r="A21" s="796" t="s">
        <v>48</v>
      </c>
      <c r="B21" s="797">
        <v>10.69</v>
      </c>
      <c r="C21" s="797">
        <v>10.8</v>
      </c>
      <c r="D21" s="797">
        <v>12.7</v>
      </c>
      <c r="E21" s="798">
        <v>14.77</v>
      </c>
      <c r="F21" s="797">
        <v>13.886000000000001</v>
      </c>
      <c r="G21" s="797">
        <v>15.2875</v>
      </c>
      <c r="H21" s="797">
        <v>15.1425</v>
      </c>
      <c r="I21" s="797">
        <v>18.71</v>
      </c>
      <c r="J21" s="797">
        <v>22.61</v>
      </c>
      <c r="K21" s="797">
        <v>27.86</v>
      </c>
      <c r="L21" s="797">
        <v>27.524000000000001</v>
      </c>
      <c r="M21" s="797">
        <v>35.405000000000001</v>
      </c>
      <c r="N21" s="797">
        <v>26.156000000000006</v>
      </c>
      <c r="O21" s="797">
        <v>27.685999999999996</v>
      </c>
      <c r="P21" s="797">
        <v>34.630000000000003</v>
      </c>
      <c r="Q21" s="797">
        <v>34.924999999999997</v>
      </c>
      <c r="R21" s="797">
        <v>35.712499999999999</v>
      </c>
      <c r="S21" s="797">
        <v>33.212500000000006</v>
      </c>
      <c r="T21" s="797">
        <v>24.365999999999996</v>
      </c>
      <c r="U21" s="797">
        <v>21.541999999999998</v>
      </c>
      <c r="V21" s="799"/>
      <c r="W21" s="553"/>
    </row>
    <row r="22" spans="1:23">
      <c r="A22" s="796" t="s">
        <v>49</v>
      </c>
      <c r="B22" s="797">
        <v>11.02</v>
      </c>
      <c r="C22" s="798">
        <v>10.76</v>
      </c>
      <c r="D22" s="798">
        <v>12.98</v>
      </c>
      <c r="E22" s="798">
        <v>14.96</v>
      </c>
      <c r="F22" s="797">
        <v>14.0025</v>
      </c>
      <c r="G22" s="797">
        <v>15.25</v>
      </c>
      <c r="H22" s="797">
        <v>16.548000000000002</v>
      </c>
      <c r="I22" s="797">
        <v>18.5975</v>
      </c>
      <c r="J22" s="797">
        <v>25.204999999999998</v>
      </c>
      <c r="K22" s="797">
        <v>26.97</v>
      </c>
      <c r="L22" s="797">
        <v>26.774999999999999</v>
      </c>
      <c r="M22" s="797">
        <v>34.447999999999993</v>
      </c>
      <c r="N22" s="797">
        <v>26.28</v>
      </c>
      <c r="O22" s="797">
        <v>26.925000000000001</v>
      </c>
      <c r="P22" s="797">
        <v>34.24</v>
      </c>
      <c r="Q22" s="797">
        <v>37.087499999999999</v>
      </c>
      <c r="R22" s="797">
        <v>35.267999999999994</v>
      </c>
      <c r="S22" s="797">
        <v>32.314</v>
      </c>
      <c r="T22" s="797">
        <v>22.419999999999998</v>
      </c>
      <c r="U22" s="797">
        <v>22.164999999999999</v>
      </c>
      <c r="V22" s="799"/>
    </row>
    <row r="23" spans="1:23">
      <c r="A23" s="796" t="s">
        <v>50</v>
      </c>
      <c r="B23" s="797">
        <v>10.77</v>
      </c>
      <c r="C23" s="798">
        <v>10.87</v>
      </c>
      <c r="D23" s="797">
        <v>13.6</v>
      </c>
      <c r="E23" s="797">
        <v>15.398</v>
      </c>
      <c r="F23" s="797">
        <v>13.951999999999998</v>
      </c>
      <c r="G23" s="797">
        <v>15.6275</v>
      </c>
      <c r="H23" s="797">
        <v>16.267499999999998</v>
      </c>
      <c r="I23" s="797">
        <v>19.197500000000002</v>
      </c>
      <c r="J23" s="797">
        <v>26.851999999999997</v>
      </c>
      <c r="K23" s="797">
        <v>24.451999999999998</v>
      </c>
      <c r="L23" s="797">
        <v>27.018000000000001</v>
      </c>
      <c r="M23" s="797">
        <v>30.765000000000001</v>
      </c>
      <c r="N23" s="797">
        <v>25.572500000000002</v>
      </c>
      <c r="O23" s="797">
        <v>28.5</v>
      </c>
      <c r="P23" s="797">
        <v>33.65</v>
      </c>
      <c r="Q23" s="797">
        <v>36.042000000000002</v>
      </c>
      <c r="R23" s="797">
        <v>33.35</v>
      </c>
      <c r="S23" s="797">
        <v>30.490000000000002</v>
      </c>
      <c r="T23" s="797">
        <v>21.997499999999999</v>
      </c>
      <c r="U23" s="797"/>
      <c r="V23" s="799"/>
    </row>
    <row r="24" spans="1:23">
      <c r="A24" s="796" t="s">
        <v>51</v>
      </c>
      <c r="B24" s="797">
        <v>10.58</v>
      </c>
      <c r="C24" s="797">
        <v>10.9</v>
      </c>
      <c r="D24" s="797">
        <v>13.51</v>
      </c>
      <c r="E24" s="797">
        <v>15.2125</v>
      </c>
      <c r="F24" s="797">
        <v>13.5275</v>
      </c>
      <c r="G24" s="797">
        <v>15.76</v>
      </c>
      <c r="H24" s="797">
        <v>16.003333333333334</v>
      </c>
      <c r="I24" s="797">
        <v>20.04</v>
      </c>
      <c r="J24" s="797">
        <v>25.497499999999999</v>
      </c>
      <c r="K24" s="797">
        <v>22.9025</v>
      </c>
      <c r="L24" s="797">
        <v>27.987500000000001</v>
      </c>
      <c r="M24" s="797">
        <v>25.76</v>
      </c>
      <c r="N24" s="797">
        <v>27.332000000000001</v>
      </c>
      <c r="O24" s="797">
        <v>28.466000000000001</v>
      </c>
      <c r="P24" s="797">
        <v>34.104999999999997</v>
      </c>
      <c r="Q24" s="797">
        <v>33.197500000000005</v>
      </c>
      <c r="R24" s="797">
        <v>32.18</v>
      </c>
      <c r="S24" s="797">
        <v>28.732499999999998</v>
      </c>
      <c r="T24" s="797">
        <v>21.108000000000001</v>
      </c>
      <c r="U24" s="797"/>
      <c r="V24" s="799"/>
    </row>
    <row r="25" spans="1:23" ht="14.25" thickBot="1">
      <c r="A25" s="796" t="s">
        <v>52</v>
      </c>
      <c r="B25" s="797">
        <v>10.56</v>
      </c>
      <c r="C25" s="797">
        <v>10.62</v>
      </c>
      <c r="D25" s="797">
        <v>14.13</v>
      </c>
      <c r="E25" s="797">
        <v>15.0375</v>
      </c>
      <c r="F25" s="797">
        <v>12.785</v>
      </c>
      <c r="G25" s="797">
        <v>15.49</v>
      </c>
      <c r="H25" s="797">
        <v>15.49</v>
      </c>
      <c r="I25" s="800">
        <v>19.7</v>
      </c>
      <c r="J25" s="800">
        <v>22.927499999999998</v>
      </c>
      <c r="K25" s="800">
        <v>22.8825</v>
      </c>
      <c r="L25" s="800">
        <v>28.727499999999999</v>
      </c>
      <c r="M25" s="800">
        <v>22.065999999999995</v>
      </c>
      <c r="N25" s="800">
        <v>26.927499999999998</v>
      </c>
      <c r="O25" s="800">
        <v>29.432500000000001</v>
      </c>
      <c r="P25" s="797">
        <v>32.8825</v>
      </c>
      <c r="Q25" s="797">
        <v>33.207500000000003</v>
      </c>
      <c r="R25" s="797">
        <v>34.164999999999999</v>
      </c>
      <c r="S25" s="797">
        <v>25.042000000000002</v>
      </c>
      <c r="T25" s="797">
        <v>20.176379870129864</v>
      </c>
      <c r="U25" s="797"/>
      <c r="V25" s="799"/>
    </row>
    <row r="26" spans="1:23" ht="14.25" thickBot="1">
      <c r="A26" s="801" t="s">
        <v>559</v>
      </c>
      <c r="B26" s="802">
        <f t="shared" ref="B26:G26" si="0">+AVERAGE(B14:B25)</f>
        <v>10.715833333333331</v>
      </c>
      <c r="C26" s="802">
        <f t="shared" si="0"/>
        <v>10.836666666666668</v>
      </c>
      <c r="D26" s="802">
        <f t="shared" si="0"/>
        <v>12.137500000000001</v>
      </c>
      <c r="E26" s="802">
        <f t="shared" si="0"/>
        <v>14.968999999999999</v>
      </c>
      <c r="F26" s="802">
        <f t="shared" si="0"/>
        <v>14.1745</v>
      </c>
      <c r="G26" s="802">
        <f t="shared" si="0"/>
        <v>14.290291666666667</v>
      </c>
      <c r="H26" s="802">
        <v>15.8</v>
      </c>
      <c r="I26" s="802">
        <f t="shared" ref="I26:U26" si="1">+AVERAGE(I14:I25)</f>
        <v>18.489791666666665</v>
      </c>
      <c r="J26" s="803">
        <f t="shared" si="1"/>
        <v>22.288124999999997</v>
      </c>
      <c r="K26" s="803">
        <f t="shared" si="1"/>
        <v>24.564666666666668</v>
      </c>
      <c r="L26" s="803">
        <f t="shared" si="1"/>
        <v>26.191125</v>
      </c>
      <c r="M26" s="803">
        <f t="shared" si="1"/>
        <v>30.871291666666664</v>
      </c>
      <c r="N26" s="803">
        <f t="shared" si="1"/>
        <v>24.140125000000001</v>
      </c>
      <c r="O26" s="803">
        <f t="shared" si="1"/>
        <v>28.318875000000002</v>
      </c>
      <c r="P26" s="803">
        <f t="shared" si="1"/>
        <v>33.720624999999998</v>
      </c>
      <c r="Q26" s="803">
        <f t="shared" si="1"/>
        <v>34.862625000000001</v>
      </c>
      <c r="R26" s="803">
        <f t="shared" si="1"/>
        <v>34.125500000000002</v>
      </c>
      <c r="S26" s="803">
        <f t="shared" si="1"/>
        <v>32.348083333333342</v>
      </c>
      <c r="T26" s="803">
        <f t="shared" si="1"/>
        <v>23.423739989177488</v>
      </c>
      <c r="U26" s="803">
        <f t="shared" si="1"/>
        <v>21.156722222222221</v>
      </c>
      <c r="V26" s="804"/>
    </row>
    <row r="27" spans="1:23">
      <c r="A27" s="805"/>
      <c r="B27" s="806" t="s">
        <v>148</v>
      </c>
      <c r="C27" s="806"/>
      <c r="D27" s="806"/>
      <c r="E27" s="806"/>
      <c r="F27" s="806"/>
    </row>
    <row r="28" spans="1:23">
      <c r="A28" s="807"/>
      <c r="B28" s="806"/>
      <c r="C28" s="806"/>
      <c r="D28" s="806"/>
      <c r="E28" s="806"/>
      <c r="F28" s="806"/>
    </row>
    <row r="29" spans="1:23" ht="20.25">
      <c r="A29" s="1786" t="s">
        <v>560</v>
      </c>
      <c r="B29" s="1786"/>
      <c r="C29" s="1786"/>
      <c r="D29" s="1786"/>
      <c r="E29" s="1786"/>
      <c r="F29" s="1786"/>
      <c r="G29" s="1786"/>
      <c r="H29" s="1786"/>
      <c r="I29" s="1786"/>
      <c r="J29" s="1786"/>
      <c r="K29" s="1786"/>
      <c r="L29" s="1786"/>
      <c r="M29" s="1786"/>
      <c r="N29" s="1786"/>
      <c r="O29" s="1786"/>
      <c r="P29" s="1786"/>
      <c r="Q29" s="1786"/>
      <c r="R29" s="1786"/>
      <c r="S29" s="1786"/>
      <c r="T29" s="1786"/>
      <c r="U29" s="1786"/>
    </row>
    <row r="30" spans="1:23" s="776" customFormat="1" ht="14.25" thickBot="1">
      <c r="A30" s="808"/>
      <c r="B30" s="808"/>
      <c r="C30" s="808"/>
      <c r="D30" s="808"/>
      <c r="E30" s="808"/>
      <c r="F30" s="808"/>
      <c r="G30" s="808"/>
      <c r="H30" s="808"/>
      <c r="I30" s="808"/>
      <c r="J30" s="808"/>
      <c r="K30" s="808"/>
      <c r="L30" s="808"/>
      <c r="M30" s="808"/>
      <c r="N30" s="808"/>
      <c r="O30" s="808"/>
      <c r="P30" s="808"/>
      <c r="Q30" s="808"/>
      <c r="R30" s="808"/>
      <c r="S30" s="808"/>
      <c r="T30" s="808"/>
      <c r="U30" s="808"/>
      <c r="V30" s="787"/>
    </row>
    <row r="31" spans="1:23" ht="15">
      <c r="A31" s="785" t="s">
        <v>556</v>
      </c>
      <c r="B31" s="809">
        <v>1997</v>
      </c>
      <c r="C31" s="809">
        <v>1998</v>
      </c>
      <c r="D31" s="809">
        <v>1999</v>
      </c>
      <c r="E31" s="809">
        <v>2000</v>
      </c>
      <c r="F31" s="809">
        <v>2001</v>
      </c>
      <c r="G31" s="809">
        <v>2002</v>
      </c>
      <c r="H31" s="809">
        <v>2003</v>
      </c>
      <c r="I31" s="809">
        <v>2004</v>
      </c>
      <c r="J31" s="810">
        <v>2005</v>
      </c>
      <c r="K31" s="810">
        <v>2006</v>
      </c>
      <c r="L31" s="810">
        <v>2007</v>
      </c>
      <c r="M31" s="810">
        <v>2008</v>
      </c>
      <c r="N31" s="810">
        <v>2009</v>
      </c>
      <c r="O31" s="810">
        <v>2010</v>
      </c>
      <c r="P31" s="810">
        <v>2011</v>
      </c>
      <c r="Q31" s="810">
        <v>2012</v>
      </c>
      <c r="R31" s="810">
        <v>2013</v>
      </c>
      <c r="S31" s="810">
        <v>2014</v>
      </c>
      <c r="T31" s="810">
        <v>2015</v>
      </c>
      <c r="U31" s="810">
        <v>2016</v>
      </c>
      <c r="V31" s="787"/>
    </row>
    <row r="32" spans="1:23" ht="15" thickBot="1">
      <c r="A32" s="788" t="s">
        <v>557</v>
      </c>
      <c r="B32" s="811" t="s">
        <v>558</v>
      </c>
      <c r="C32" s="811" t="s">
        <v>558</v>
      </c>
      <c r="D32" s="811" t="s">
        <v>558</v>
      </c>
      <c r="E32" s="811" t="s">
        <v>558</v>
      </c>
      <c r="F32" s="811" t="s">
        <v>558</v>
      </c>
      <c r="G32" s="811" t="s">
        <v>558</v>
      </c>
      <c r="H32" s="811" t="s">
        <v>558</v>
      </c>
      <c r="I32" s="811" t="s">
        <v>558</v>
      </c>
      <c r="J32" s="812" t="s">
        <v>558</v>
      </c>
      <c r="K32" s="812" t="s">
        <v>558</v>
      </c>
      <c r="L32" s="812" t="s">
        <v>558</v>
      </c>
      <c r="M32" s="812" t="s">
        <v>558</v>
      </c>
      <c r="N32" s="812" t="s">
        <v>558</v>
      </c>
      <c r="O32" s="812" t="s">
        <v>558</v>
      </c>
      <c r="P32" s="812" t="s">
        <v>558</v>
      </c>
      <c r="Q32" s="812" t="s">
        <v>558</v>
      </c>
      <c r="R32" s="812" t="s">
        <v>558</v>
      </c>
      <c r="S32" s="812" t="s">
        <v>558</v>
      </c>
      <c r="T32" s="812" t="s">
        <v>558</v>
      </c>
      <c r="U32" s="812" t="s">
        <v>558</v>
      </c>
      <c r="V32" s="790"/>
    </row>
    <row r="33" spans="1:22">
      <c r="A33" s="791" t="s">
        <v>41</v>
      </c>
      <c r="B33" s="792">
        <v>10.4</v>
      </c>
      <c r="C33" s="792">
        <v>10.68</v>
      </c>
      <c r="D33" s="793">
        <v>10.029999999999999</v>
      </c>
      <c r="E33" s="792">
        <v>13.52</v>
      </c>
      <c r="F33" s="792">
        <v>13.848000000000003</v>
      </c>
      <c r="G33" s="792">
        <v>12.187999999999999</v>
      </c>
      <c r="H33" s="792">
        <v>14.922499999999999</v>
      </c>
      <c r="I33" s="792">
        <v>15.477499999999999</v>
      </c>
      <c r="J33" s="792">
        <v>18.234000000000002</v>
      </c>
      <c r="K33" s="794">
        <v>21.832000000000001</v>
      </c>
      <c r="L33" s="794">
        <v>22.158000000000001</v>
      </c>
      <c r="M33" s="794">
        <v>27.96</v>
      </c>
      <c r="N33" s="794">
        <v>20.2</v>
      </c>
      <c r="O33" s="794">
        <v>26.984999999999999</v>
      </c>
      <c r="P33" s="794">
        <v>29.46</v>
      </c>
      <c r="Q33" s="794">
        <v>32.214000000000006</v>
      </c>
      <c r="R33" s="794">
        <v>32.101999999999997</v>
      </c>
      <c r="S33" s="794">
        <v>32.582499999999996</v>
      </c>
      <c r="T33" s="794">
        <v>19.427499999999998</v>
      </c>
      <c r="U33" s="794">
        <v>18.07</v>
      </c>
      <c r="V33" s="795"/>
    </row>
    <row r="34" spans="1:22">
      <c r="A34" s="796" t="s">
        <v>42</v>
      </c>
      <c r="B34" s="797">
        <v>10.5</v>
      </c>
      <c r="C34" s="797">
        <v>10.53</v>
      </c>
      <c r="D34" s="798">
        <v>10.02</v>
      </c>
      <c r="E34" s="797">
        <v>13.88</v>
      </c>
      <c r="F34" s="797">
        <v>13.9575</v>
      </c>
      <c r="G34" s="797">
        <v>11.9</v>
      </c>
      <c r="H34" s="797">
        <v>15.76</v>
      </c>
      <c r="I34" s="797">
        <v>16.817499999999999</v>
      </c>
      <c r="J34" s="797">
        <v>17.774999999999999</v>
      </c>
      <c r="K34" s="797">
        <v>21.537500000000001</v>
      </c>
      <c r="L34" s="797">
        <v>21.147500000000001</v>
      </c>
      <c r="M34" s="797">
        <v>27.824999999999999</v>
      </c>
      <c r="N34" s="797">
        <v>19.927499999999998</v>
      </c>
      <c r="O34" s="797">
        <v>26.635000000000002</v>
      </c>
      <c r="P34" s="797">
        <v>30.504999999999999</v>
      </c>
      <c r="Q34" s="797">
        <v>34.182499999999997</v>
      </c>
      <c r="R34" s="797">
        <v>33.327500000000001</v>
      </c>
      <c r="S34" s="797">
        <v>31.63</v>
      </c>
      <c r="T34" s="797">
        <v>20.939999999999998</v>
      </c>
      <c r="U34" s="797">
        <v>17.084</v>
      </c>
      <c r="V34" s="799"/>
    </row>
    <row r="35" spans="1:22">
      <c r="A35" s="796" t="s">
        <v>43</v>
      </c>
      <c r="B35" s="797">
        <v>10.29</v>
      </c>
      <c r="C35" s="797">
        <v>10.46</v>
      </c>
      <c r="D35" s="798">
        <v>10.18</v>
      </c>
      <c r="E35" s="797">
        <v>14.39</v>
      </c>
      <c r="F35" s="797">
        <v>13.795</v>
      </c>
      <c r="G35" s="797">
        <v>12.17</v>
      </c>
      <c r="H35" s="797">
        <v>16.809999999999999</v>
      </c>
      <c r="I35" s="797">
        <v>17.454000000000001</v>
      </c>
      <c r="J35" s="797">
        <v>18.954999999999998</v>
      </c>
      <c r="K35" s="797">
        <v>21.35</v>
      </c>
      <c r="L35" s="797">
        <v>22.352499999999999</v>
      </c>
      <c r="M35" s="797">
        <v>29.242000000000001</v>
      </c>
      <c r="N35" s="797">
        <v>19.645999999999997</v>
      </c>
      <c r="O35" s="797">
        <v>27.956</v>
      </c>
      <c r="P35" s="797">
        <v>33.520000000000003</v>
      </c>
      <c r="Q35" s="797">
        <v>35.89</v>
      </c>
      <c r="R35" s="797">
        <v>33.207499999999996</v>
      </c>
      <c r="S35" s="797">
        <v>32.034999999999997</v>
      </c>
      <c r="T35" s="797">
        <v>22.692</v>
      </c>
      <c r="U35" s="797">
        <v>18.767499999999998</v>
      </c>
      <c r="V35" s="799"/>
    </row>
    <row r="36" spans="1:22">
      <c r="A36" s="796" t="s">
        <v>44</v>
      </c>
      <c r="B36" s="797">
        <v>10.29</v>
      </c>
      <c r="C36" s="797">
        <v>10.37</v>
      </c>
      <c r="D36" s="798">
        <v>11.03</v>
      </c>
      <c r="E36" s="797">
        <v>14.09</v>
      </c>
      <c r="F36" s="797">
        <v>13.71</v>
      </c>
      <c r="G36" s="797">
        <v>13.712</v>
      </c>
      <c r="H36" s="797">
        <v>15.96</v>
      </c>
      <c r="I36" s="797">
        <v>17.872499999999999</v>
      </c>
      <c r="J36" s="797">
        <v>21.18</v>
      </c>
      <c r="K36" s="797">
        <v>23.647500000000001</v>
      </c>
      <c r="L36" s="797">
        <v>24.7575</v>
      </c>
      <c r="M36" s="797">
        <v>30.67</v>
      </c>
      <c r="N36" s="797">
        <v>20.237500000000001</v>
      </c>
      <c r="O36" s="797">
        <v>28.907499999999999</v>
      </c>
      <c r="P36" s="797">
        <v>34.53</v>
      </c>
      <c r="Q36" s="797">
        <v>36.576000000000001</v>
      </c>
      <c r="R36" s="797">
        <v>32.307999999999993</v>
      </c>
      <c r="S36" s="797">
        <v>32.802499999999995</v>
      </c>
      <c r="T36" s="797">
        <v>23.267500000000002</v>
      </c>
      <c r="U36" s="797">
        <v>19.989999999999998</v>
      </c>
      <c r="V36" s="799"/>
    </row>
    <row r="37" spans="1:22" ht="12.75" customHeight="1">
      <c r="A37" s="796" t="s">
        <v>45</v>
      </c>
      <c r="B37" s="797">
        <v>10.33</v>
      </c>
      <c r="C37" s="797">
        <v>10.57</v>
      </c>
      <c r="D37" s="798">
        <v>11.54</v>
      </c>
      <c r="E37" s="797">
        <v>14.38</v>
      </c>
      <c r="F37" s="797">
        <v>14.796666666666665</v>
      </c>
      <c r="G37" s="797">
        <v>13.79</v>
      </c>
      <c r="H37" s="797">
        <v>14.942500000000001</v>
      </c>
      <c r="I37" s="797">
        <v>18.131999999999998</v>
      </c>
      <c r="J37" s="797">
        <v>21.73</v>
      </c>
      <c r="K37" s="797">
        <v>26.118000000000002</v>
      </c>
      <c r="L37" s="797">
        <v>26.673999999999999</v>
      </c>
      <c r="M37" s="797">
        <v>32.04</v>
      </c>
      <c r="N37" s="797">
        <v>21.47</v>
      </c>
      <c r="O37" s="797">
        <v>28.31</v>
      </c>
      <c r="P37" s="797">
        <v>34.56</v>
      </c>
      <c r="Q37" s="797">
        <v>34.664999999999999</v>
      </c>
      <c r="R37" s="797">
        <v>32.412500000000001</v>
      </c>
      <c r="S37" s="797">
        <v>32.415000000000006</v>
      </c>
      <c r="T37" s="797">
        <v>24.585000000000001</v>
      </c>
      <c r="U37" s="797">
        <v>20.832000000000001</v>
      </c>
      <c r="V37" s="799"/>
    </row>
    <row r="38" spans="1:22" ht="13.5" customHeight="1">
      <c r="A38" s="796" t="s">
        <v>46</v>
      </c>
      <c r="B38" s="797">
        <v>10.4</v>
      </c>
      <c r="C38" s="797">
        <v>10.65</v>
      </c>
      <c r="D38" s="798">
        <v>11.53</v>
      </c>
      <c r="E38" s="797">
        <v>15.09</v>
      </c>
      <c r="F38" s="797">
        <v>14.9025</v>
      </c>
      <c r="G38" s="797">
        <v>13.615</v>
      </c>
      <c r="H38" s="797">
        <v>14.154999999999999</v>
      </c>
      <c r="I38" s="797">
        <v>18.414999999999999</v>
      </c>
      <c r="J38" s="797">
        <v>21.47</v>
      </c>
      <c r="K38" s="797">
        <v>25.945</v>
      </c>
      <c r="L38" s="797">
        <v>27.717500000000001</v>
      </c>
      <c r="M38" s="797">
        <v>34.484999999999999</v>
      </c>
      <c r="N38" s="797">
        <v>24.195</v>
      </c>
      <c r="O38" s="797">
        <v>26.52</v>
      </c>
      <c r="P38" s="797">
        <v>33.67</v>
      </c>
      <c r="Q38" s="797">
        <v>32.51</v>
      </c>
      <c r="R38" s="797">
        <v>32.015000000000001</v>
      </c>
      <c r="S38" s="797">
        <v>33.262</v>
      </c>
      <c r="T38" s="797">
        <v>24.802499999999998</v>
      </c>
      <c r="U38" s="797">
        <v>21.3825</v>
      </c>
      <c r="V38" s="799"/>
    </row>
    <row r="39" spans="1:22">
      <c r="A39" s="796" t="s">
        <v>47</v>
      </c>
      <c r="B39" s="797">
        <v>10.26</v>
      </c>
      <c r="C39" s="798">
        <v>10.56</v>
      </c>
      <c r="D39" s="797">
        <v>11.71</v>
      </c>
      <c r="E39" s="797">
        <v>15.11</v>
      </c>
      <c r="F39" s="797">
        <v>14.288</v>
      </c>
      <c r="G39" s="797">
        <v>14.08</v>
      </c>
      <c r="H39" s="797">
        <v>14.083999999999998</v>
      </c>
      <c r="I39" s="797">
        <v>18.399999999999999</v>
      </c>
      <c r="J39" s="797">
        <v>21.43</v>
      </c>
      <c r="K39" s="797">
        <v>25.788</v>
      </c>
      <c r="L39" s="797">
        <v>27.442499999999999</v>
      </c>
      <c r="M39" s="797">
        <v>35.386000000000003</v>
      </c>
      <c r="N39" s="797">
        <v>25.065999999999999</v>
      </c>
      <c r="O39" s="797">
        <v>26.377500000000001</v>
      </c>
      <c r="P39" s="797">
        <v>33.9</v>
      </c>
      <c r="Q39" s="797">
        <v>33.494</v>
      </c>
      <c r="R39" s="797">
        <v>33.67</v>
      </c>
      <c r="S39" s="797">
        <v>33.19</v>
      </c>
      <c r="T39" s="797">
        <v>24.895</v>
      </c>
      <c r="U39" s="797">
        <v>20.2225</v>
      </c>
      <c r="V39" s="799"/>
    </row>
    <row r="40" spans="1:22">
      <c r="A40" s="796" t="s">
        <v>48</v>
      </c>
      <c r="B40" s="797">
        <v>10.36</v>
      </c>
      <c r="C40" s="797">
        <v>10.45</v>
      </c>
      <c r="D40" s="798">
        <v>12.19</v>
      </c>
      <c r="E40" s="797">
        <v>14.09</v>
      </c>
      <c r="F40" s="797">
        <v>13.492000000000001</v>
      </c>
      <c r="G40" s="797">
        <v>14.8775</v>
      </c>
      <c r="H40" s="797">
        <v>14.592499999999999</v>
      </c>
      <c r="I40" s="797">
        <v>18.22</v>
      </c>
      <c r="J40" s="797">
        <v>22.09</v>
      </c>
      <c r="K40" s="797">
        <v>27.352499999999999</v>
      </c>
      <c r="L40" s="797">
        <v>26.824000000000002</v>
      </c>
      <c r="M40" s="797">
        <v>34.734999999999999</v>
      </c>
      <c r="N40" s="797">
        <v>25.17</v>
      </c>
      <c r="O40" s="797">
        <v>26.661999999999999</v>
      </c>
      <c r="P40" s="797">
        <v>34.04</v>
      </c>
      <c r="Q40" s="797">
        <v>34.129999999999995</v>
      </c>
      <c r="R40" s="797">
        <v>34.092500000000001</v>
      </c>
      <c r="S40" s="797">
        <v>31.725000000000001</v>
      </c>
      <c r="T40" s="797">
        <v>22.881999999999998</v>
      </c>
      <c r="U40" s="797">
        <v>20.053999999999998</v>
      </c>
      <c r="V40" s="799"/>
    </row>
    <row r="41" spans="1:22">
      <c r="A41" s="796" t="s">
        <v>49</v>
      </c>
      <c r="B41" s="798">
        <v>10.63</v>
      </c>
      <c r="C41" s="798">
        <v>10.35</v>
      </c>
      <c r="D41" s="798">
        <v>12.42</v>
      </c>
      <c r="E41" s="797">
        <v>14.36</v>
      </c>
      <c r="F41" s="797">
        <v>13.59</v>
      </c>
      <c r="G41" s="797">
        <v>14.83</v>
      </c>
      <c r="H41" s="797">
        <v>16.052</v>
      </c>
      <c r="I41" s="797">
        <v>18.087499999999999</v>
      </c>
      <c r="J41" s="797">
        <v>24.662500000000001</v>
      </c>
      <c r="K41" s="797">
        <v>26.4575</v>
      </c>
      <c r="L41" s="797">
        <v>25.802499999999998</v>
      </c>
      <c r="M41" s="797">
        <v>33.784000000000006</v>
      </c>
      <c r="N41" s="797">
        <v>25.297499999999999</v>
      </c>
      <c r="O41" s="797">
        <v>25.912500000000001</v>
      </c>
      <c r="P41" s="797">
        <v>33.64</v>
      </c>
      <c r="Q41" s="797">
        <v>36.297499999999999</v>
      </c>
      <c r="R41" s="797">
        <v>33.761999999999993</v>
      </c>
      <c r="S41" s="797">
        <v>30.812000000000001</v>
      </c>
      <c r="T41" s="797">
        <v>20.942499999999999</v>
      </c>
      <c r="U41" s="797">
        <v>20.664999999999999</v>
      </c>
      <c r="V41" s="799"/>
    </row>
    <row r="42" spans="1:22">
      <c r="A42" s="796" t="s">
        <v>50</v>
      </c>
      <c r="B42" s="798">
        <v>10.41</v>
      </c>
      <c r="C42" s="797">
        <v>10.43</v>
      </c>
      <c r="D42" s="797">
        <v>12.87</v>
      </c>
      <c r="E42" s="797">
        <v>14.85</v>
      </c>
      <c r="F42" s="797">
        <v>13.546000000000001</v>
      </c>
      <c r="G42" s="797">
        <v>15.22</v>
      </c>
      <c r="H42" s="797">
        <v>15.8025</v>
      </c>
      <c r="I42" s="797">
        <v>18.75</v>
      </c>
      <c r="J42" s="797">
        <v>26.334000000000003</v>
      </c>
      <c r="K42" s="797">
        <v>23.954000000000001</v>
      </c>
      <c r="L42" s="797">
        <v>26.046000000000003</v>
      </c>
      <c r="M42" s="797">
        <v>30.142499999999998</v>
      </c>
      <c r="N42" s="797">
        <v>24.6175</v>
      </c>
      <c r="O42" s="797">
        <v>27.494</v>
      </c>
      <c r="P42" s="797">
        <v>33.03</v>
      </c>
      <c r="Q42" s="797">
        <v>35.225999999999999</v>
      </c>
      <c r="R42" s="797">
        <v>31.8475</v>
      </c>
      <c r="S42" s="797">
        <v>28.984999999999999</v>
      </c>
      <c r="T42" s="797">
        <v>20.512500000000003</v>
      </c>
      <c r="U42" s="797"/>
      <c r="V42" s="799"/>
    </row>
    <row r="43" spans="1:22">
      <c r="A43" s="796" t="s">
        <v>51</v>
      </c>
      <c r="B43" s="797">
        <v>10.27</v>
      </c>
      <c r="C43" s="797">
        <v>10.46</v>
      </c>
      <c r="D43" s="797">
        <v>12.89</v>
      </c>
      <c r="E43" s="797">
        <v>14.755000000000001</v>
      </c>
      <c r="F43" s="797">
        <v>13.1225</v>
      </c>
      <c r="G43" s="797">
        <v>15.335000000000001</v>
      </c>
      <c r="H43" s="797">
        <v>15.516666666666666</v>
      </c>
      <c r="I43" s="797">
        <v>19.55</v>
      </c>
      <c r="J43" s="797">
        <v>24.99</v>
      </c>
      <c r="K43" s="797">
        <v>22.427499999999998</v>
      </c>
      <c r="L43" s="797">
        <v>27.02</v>
      </c>
      <c r="M43" s="797">
        <v>24.787500000000001</v>
      </c>
      <c r="N43" s="797">
        <v>26.342000000000002</v>
      </c>
      <c r="O43" s="797">
        <v>27.475999999999999</v>
      </c>
      <c r="P43" s="797">
        <v>33.494999999999997</v>
      </c>
      <c r="Q43" s="797">
        <v>32.252499999999998</v>
      </c>
      <c r="R43" s="797">
        <v>30.71</v>
      </c>
      <c r="S43" s="797">
        <v>27.22</v>
      </c>
      <c r="T43" s="797">
        <v>19.627999999999997</v>
      </c>
      <c r="U43" s="797"/>
      <c r="V43" s="799"/>
    </row>
    <row r="44" spans="1:22" ht="14.25" thickBot="1">
      <c r="A44" s="796" t="s">
        <v>52</v>
      </c>
      <c r="B44" s="797">
        <v>10.27</v>
      </c>
      <c r="C44" s="797">
        <v>10.210000000000001</v>
      </c>
      <c r="D44" s="797">
        <v>13.53</v>
      </c>
      <c r="E44" s="797">
        <v>14.7475</v>
      </c>
      <c r="F44" s="797">
        <v>12.4275</v>
      </c>
      <c r="G44" s="797">
        <v>15.063999999999998</v>
      </c>
      <c r="H44" s="800">
        <v>15.062000000000001</v>
      </c>
      <c r="I44" s="800">
        <v>19.2</v>
      </c>
      <c r="J44" s="800">
        <v>22.42</v>
      </c>
      <c r="K44" s="800">
        <v>22.395</v>
      </c>
      <c r="L44" s="800">
        <v>27.9725</v>
      </c>
      <c r="M44" s="800">
        <v>21.3</v>
      </c>
      <c r="N44" s="800">
        <v>25.934999999999999</v>
      </c>
      <c r="O44" s="797">
        <v>28.427499999999998</v>
      </c>
      <c r="P44" s="797">
        <v>32.265000000000001</v>
      </c>
      <c r="Q44" s="797">
        <v>32.25</v>
      </c>
      <c r="R44" s="797">
        <v>32.682499999999997</v>
      </c>
      <c r="S44" s="797">
        <v>23.602</v>
      </c>
      <c r="T44" s="797">
        <v>18.695551948051943</v>
      </c>
      <c r="U44" s="797"/>
      <c r="V44" s="799"/>
    </row>
    <row r="45" spans="1:22" ht="14.25" thickBot="1">
      <c r="A45" s="813" t="s">
        <v>559</v>
      </c>
      <c r="B45" s="802">
        <f t="shared" ref="B45:R45" si="2">+AVERAGE(B33:B44)</f>
        <v>10.367499999999998</v>
      </c>
      <c r="C45" s="802">
        <f t="shared" si="2"/>
        <v>10.476666666666667</v>
      </c>
      <c r="D45" s="802">
        <f t="shared" si="2"/>
        <v>11.661666666666667</v>
      </c>
      <c r="E45" s="802">
        <f t="shared" si="2"/>
        <v>14.438541666666666</v>
      </c>
      <c r="F45" s="802">
        <f t="shared" si="2"/>
        <v>13.78963888888889</v>
      </c>
      <c r="G45" s="802">
        <f t="shared" si="2"/>
        <v>13.898458333333332</v>
      </c>
      <c r="H45" s="802">
        <f t="shared" si="2"/>
        <v>15.304972222222224</v>
      </c>
      <c r="I45" s="803">
        <f t="shared" si="2"/>
        <v>18.031333333333333</v>
      </c>
      <c r="J45" s="803">
        <f t="shared" si="2"/>
        <v>21.772541666666669</v>
      </c>
      <c r="K45" s="803">
        <f t="shared" si="2"/>
        <v>24.067041666666668</v>
      </c>
      <c r="L45" s="803">
        <f t="shared" si="2"/>
        <v>25.492875000000002</v>
      </c>
      <c r="M45" s="803">
        <f t="shared" si="2"/>
        <v>30.196416666666664</v>
      </c>
      <c r="N45" s="803">
        <f t="shared" si="2"/>
        <v>23.175333333333331</v>
      </c>
      <c r="O45" s="803">
        <f t="shared" si="2"/>
        <v>27.305250000000001</v>
      </c>
      <c r="P45" s="803">
        <f t="shared" si="2"/>
        <v>33.051250000000003</v>
      </c>
      <c r="Q45" s="803">
        <f t="shared" si="2"/>
        <v>34.140625</v>
      </c>
      <c r="R45" s="803">
        <f t="shared" si="2"/>
        <v>32.678083333333333</v>
      </c>
      <c r="S45" s="803">
        <f>AVERAGE(S33:S44)</f>
        <v>30.855083333333329</v>
      </c>
      <c r="T45" s="803">
        <f>AVERAGE(T33:T44)</f>
        <v>21.939170995670995</v>
      </c>
      <c r="U45" s="803">
        <f>AVERAGE(U33:U44)</f>
        <v>19.674166666666665</v>
      </c>
      <c r="V45" s="804"/>
    </row>
    <row r="46" spans="1:22">
      <c r="A46" s="807"/>
      <c r="B46" s="806"/>
      <c r="C46" s="806"/>
      <c r="D46" s="806"/>
      <c r="E46" s="806"/>
      <c r="F46" s="806"/>
    </row>
    <row r="47" spans="1:22">
      <c r="A47" s="807"/>
      <c r="B47" s="806"/>
      <c r="C47" s="806"/>
      <c r="D47" s="806"/>
      <c r="E47" s="806"/>
      <c r="F47" s="806"/>
    </row>
    <row r="48" spans="1:22" ht="20.25">
      <c r="A48" s="1787" t="s">
        <v>561</v>
      </c>
      <c r="B48" s="1787"/>
      <c r="C48" s="1787"/>
      <c r="D48" s="1787"/>
      <c r="E48" s="1787"/>
      <c r="F48" s="1787"/>
      <c r="G48" s="1787"/>
      <c r="H48" s="1787"/>
      <c r="I48" s="1787"/>
      <c r="J48" s="1787"/>
      <c r="K48" s="1787"/>
      <c r="L48" s="1787"/>
      <c r="M48" s="1787"/>
      <c r="N48" s="1787"/>
      <c r="O48" s="1787"/>
      <c r="P48" s="1787"/>
      <c r="Q48" s="1787"/>
      <c r="R48" s="1787"/>
      <c r="S48" s="1787"/>
      <c r="T48" s="1787"/>
      <c r="U48" s="1787"/>
    </row>
    <row r="49" spans="1:22" s="776" customFormat="1" ht="14.25" thickBot="1">
      <c r="A49" s="782"/>
      <c r="B49" s="783"/>
      <c r="C49" s="783"/>
      <c r="D49" s="783"/>
      <c r="E49" s="783"/>
      <c r="F49" s="783"/>
      <c r="G49" s="783"/>
      <c r="H49" s="783"/>
      <c r="I49" s="783"/>
      <c r="J49" s="783"/>
      <c r="K49" s="783"/>
      <c r="L49" s="783"/>
      <c r="M49" s="783"/>
      <c r="N49" s="783"/>
      <c r="O49" s="783"/>
      <c r="P49" s="783"/>
      <c r="Q49" s="783"/>
      <c r="R49" s="783"/>
      <c r="S49" s="783"/>
      <c r="T49" s="783"/>
      <c r="U49" s="783"/>
      <c r="V49" s="784"/>
    </row>
    <row r="50" spans="1:22" ht="15">
      <c r="A50" s="844" t="s">
        <v>556</v>
      </c>
      <c r="B50" s="840">
        <v>1997</v>
      </c>
      <c r="C50" s="840">
        <v>1998</v>
      </c>
      <c r="D50" s="840">
        <v>1999</v>
      </c>
      <c r="E50" s="840">
        <v>2000</v>
      </c>
      <c r="F50" s="840">
        <v>2001</v>
      </c>
      <c r="G50" s="840">
        <v>2002</v>
      </c>
      <c r="H50" s="840">
        <v>2003</v>
      </c>
      <c r="I50" s="840">
        <v>2004</v>
      </c>
      <c r="J50" s="840">
        <v>2005</v>
      </c>
      <c r="K50" s="842">
        <v>2006</v>
      </c>
      <c r="L50" s="842">
        <v>2007</v>
      </c>
      <c r="M50" s="842">
        <v>2008</v>
      </c>
      <c r="N50" s="842">
        <v>2009</v>
      </c>
      <c r="O50" s="842">
        <v>2010</v>
      </c>
      <c r="P50" s="842">
        <v>2011</v>
      </c>
      <c r="Q50" s="842">
        <f>+Q31</f>
        <v>2012</v>
      </c>
      <c r="R50" s="842">
        <v>2013</v>
      </c>
      <c r="S50" s="842">
        <v>2014</v>
      </c>
      <c r="T50" s="842">
        <v>2015</v>
      </c>
      <c r="U50" s="842">
        <v>2016</v>
      </c>
      <c r="V50" s="787"/>
    </row>
    <row r="51" spans="1:22" ht="15" thickBot="1">
      <c r="A51" s="845" t="s">
        <v>557</v>
      </c>
      <c r="B51" s="841" t="s">
        <v>558</v>
      </c>
      <c r="C51" s="841" t="s">
        <v>558</v>
      </c>
      <c r="D51" s="841" t="s">
        <v>558</v>
      </c>
      <c r="E51" s="841" t="s">
        <v>558</v>
      </c>
      <c r="F51" s="841" t="s">
        <v>558</v>
      </c>
      <c r="G51" s="841" t="s">
        <v>558</v>
      </c>
      <c r="H51" s="841" t="s">
        <v>558</v>
      </c>
      <c r="I51" s="841" t="s">
        <v>558</v>
      </c>
      <c r="J51" s="841" t="s">
        <v>558</v>
      </c>
      <c r="K51" s="843" t="s">
        <v>558</v>
      </c>
      <c r="L51" s="843" t="s">
        <v>558</v>
      </c>
      <c r="M51" s="843" t="s">
        <v>558</v>
      </c>
      <c r="N51" s="843" t="s">
        <v>558</v>
      </c>
      <c r="O51" s="843" t="s">
        <v>558</v>
      </c>
      <c r="P51" s="843" t="s">
        <v>558</v>
      </c>
      <c r="Q51" s="843" t="s">
        <v>558</v>
      </c>
      <c r="R51" s="843" t="s">
        <v>558</v>
      </c>
      <c r="S51" s="843" t="s">
        <v>558</v>
      </c>
      <c r="T51" s="843" t="s">
        <v>558</v>
      </c>
      <c r="U51" s="843" t="s">
        <v>558</v>
      </c>
      <c r="V51" s="790"/>
    </row>
    <row r="52" spans="1:22">
      <c r="A52" s="791" t="s">
        <v>41</v>
      </c>
      <c r="B52" s="792">
        <v>9.09</v>
      </c>
      <c r="C52" s="792">
        <v>8.2799999999999994</v>
      </c>
      <c r="D52" s="792">
        <v>7.14</v>
      </c>
      <c r="E52" s="793">
        <v>10.28</v>
      </c>
      <c r="F52" s="792">
        <v>11.332000000000001</v>
      </c>
      <c r="G52" s="792">
        <v>8.952</v>
      </c>
      <c r="H52" s="792">
        <v>10.4575</v>
      </c>
      <c r="I52" s="792">
        <v>11.407500000000001</v>
      </c>
      <c r="J52" s="792">
        <v>15.684000000000001</v>
      </c>
      <c r="K52" s="792">
        <v>19.59</v>
      </c>
      <c r="L52" s="794">
        <v>18.678000000000001</v>
      </c>
      <c r="M52" s="794">
        <v>26.015000000000001</v>
      </c>
      <c r="N52" s="794">
        <v>19.112500000000001</v>
      </c>
      <c r="O52" s="794">
        <v>24.1325</v>
      </c>
      <c r="P52" s="794">
        <v>27.502500000000001</v>
      </c>
      <c r="Q52" s="794">
        <v>30.786000000000001</v>
      </c>
      <c r="R52" s="794">
        <v>31.744</v>
      </c>
      <c r="S52" s="794">
        <v>31.295000000000002</v>
      </c>
      <c r="T52" s="794">
        <v>18.855</v>
      </c>
      <c r="U52" s="794">
        <v>13.647500000000001</v>
      </c>
      <c r="V52" s="795"/>
    </row>
    <row r="53" spans="1:22">
      <c r="A53" s="796" t="s">
        <v>42</v>
      </c>
      <c r="B53" s="797">
        <v>9.15</v>
      </c>
      <c r="C53" s="797">
        <v>7.88</v>
      </c>
      <c r="D53" s="797">
        <v>7.14</v>
      </c>
      <c r="E53" s="798">
        <v>10.66</v>
      </c>
      <c r="F53" s="797">
        <v>11.092499999999999</v>
      </c>
      <c r="G53" s="797">
        <v>8.6549999999999994</v>
      </c>
      <c r="H53" s="797">
        <v>11.4975</v>
      </c>
      <c r="I53" s="797">
        <v>12.37</v>
      </c>
      <c r="J53" s="797">
        <v>15.102499999999999</v>
      </c>
      <c r="K53" s="797">
        <v>19.16</v>
      </c>
      <c r="L53" s="797">
        <v>17.642499999999998</v>
      </c>
      <c r="M53" s="797">
        <v>26.09</v>
      </c>
      <c r="N53" s="797">
        <v>17.9725</v>
      </c>
      <c r="O53" s="797">
        <v>23.592500000000001</v>
      </c>
      <c r="P53" s="797">
        <v>28.35</v>
      </c>
      <c r="Q53" s="797">
        <v>32.130000000000003</v>
      </c>
      <c r="R53" s="797">
        <v>32.340000000000003</v>
      </c>
      <c r="S53" s="797">
        <v>30.484999999999999</v>
      </c>
      <c r="T53" s="797">
        <v>19.807500000000001</v>
      </c>
      <c r="U53" s="797">
        <v>13.02</v>
      </c>
      <c r="V53" s="799"/>
    </row>
    <row r="54" spans="1:22">
      <c r="A54" s="796" t="s">
        <v>43</v>
      </c>
      <c r="B54" s="797">
        <v>8.81</v>
      </c>
      <c r="C54" s="797">
        <v>7.84</v>
      </c>
      <c r="D54" s="797">
        <v>7.26</v>
      </c>
      <c r="E54" s="798">
        <v>10.8</v>
      </c>
      <c r="F54" s="797">
        <v>10.762499999999999</v>
      </c>
      <c r="G54" s="797">
        <v>8.6850000000000005</v>
      </c>
      <c r="H54" s="797">
        <v>12.83</v>
      </c>
      <c r="I54" s="797">
        <v>12.693999999999999</v>
      </c>
      <c r="J54" s="797">
        <v>16.004999999999999</v>
      </c>
      <c r="K54" s="797">
        <v>18.512499999999999</v>
      </c>
      <c r="L54" s="797">
        <v>18.8</v>
      </c>
      <c r="M54" s="797">
        <v>27.838000000000001</v>
      </c>
      <c r="N54" s="797">
        <v>16.73</v>
      </c>
      <c r="O54" s="797">
        <v>23.961999999999996</v>
      </c>
      <c r="P54" s="797">
        <v>31.4</v>
      </c>
      <c r="Q54" s="797">
        <v>32.83</v>
      </c>
      <c r="R54" s="797">
        <v>31.442499999999999</v>
      </c>
      <c r="S54" s="797">
        <v>30.284999999999997</v>
      </c>
      <c r="T54" s="797">
        <v>20.178000000000001</v>
      </c>
      <c r="U54" s="797">
        <v>14.8</v>
      </c>
      <c r="V54" s="799"/>
    </row>
    <row r="55" spans="1:22">
      <c r="A55" s="796" t="s">
        <v>44</v>
      </c>
      <c r="B55" s="797">
        <v>8.66</v>
      </c>
      <c r="C55" s="797">
        <v>7.81</v>
      </c>
      <c r="D55" s="797">
        <v>7.9</v>
      </c>
      <c r="E55" s="798">
        <v>10.43</v>
      </c>
      <c r="F55" s="797">
        <v>10.505000000000001</v>
      </c>
      <c r="G55" s="797">
        <v>9.3780000000000001</v>
      </c>
      <c r="H55" s="797">
        <v>12.2225</v>
      </c>
      <c r="I55" s="797">
        <v>12.24</v>
      </c>
      <c r="J55" s="797">
        <v>17.89</v>
      </c>
      <c r="K55" s="797">
        <v>19.352499999999999</v>
      </c>
      <c r="L55" s="797">
        <v>20.335000000000001</v>
      </c>
      <c r="M55" s="797">
        <v>30.4725</v>
      </c>
      <c r="N55" s="797">
        <v>16.594999999999999</v>
      </c>
      <c r="O55" s="797">
        <v>24.56</v>
      </c>
      <c r="P55" s="797">
        <v>32.159999999999997</v>
      </c>
      <c r="Q55" s="797">
        <v>32.522000000000006</v>
      </c>
      <c r="R55" s="797">
        <v>29.434000000000005</v>
      </c>
      <c r="S55" s="797">
        <v>30.43</v>
      </c>
      <c r="T55" s="797">
        <v>20.047499999999999</v>
      </c>
      <c r="U55" s="797">
        <v>15.12</v>
      </c>
      <c r="V55" s="799"/>
    </row>
    <row r="56" spans="1:22">
      <c r="A56" s="796" t="s">
        <v>45</v>
      </c>
      <c r="B56" s="797">
        <v>8.43</v>
      </c>
      <c r="C56" s="797">
        <v>7.85</v>
      </c>
      <c r="D56" s="797">
        <v>8.1300000000000008</v>
      </c>
      <c r="E56" s="798">
        <v>10.27</v>
      </c>
      <c r="F56" s="797">
        <v>10.598333333333334</v>
      </c>
      <c r="G56" s="797">
        <v>9.4425000000000008</v>
      </c>
      <c r="H56" s="797">
        <v>10.6325</v>
      </c>
      <c r="I56" s="797">
        <v>12.442</v>
      </c>
      <c r="J56" s="797">
        <v>18.309999999999999</v>
      </c>
      <c r="K56" s="797">
        <v>20.377999999999997</v>
      </c>
      <c r="L56" s="797">
        <v>20.905999999999999</v>
      </c>
      <c r="M56" s="797">
        <v>32.31</v>
      </c>
      <c r="N56" s="797">
        <v>17.329999999999998</v>
      </c>
      <c r="O56" s="797">
        <v>24.415999999999997</v>
      </c>
      <c r="P56" s="797">
        <v>31.95</v>
      </c>
      <c r="Q56" s="797">
        <v>31.114999999999998</v>
      </c>
      <c r="R56" s="797">
        <v>28.677499999999998</v>
      </c>
      <c r="S56" s="797">
        <v>30.375</v>
      </c>
      <c r="T56" s="797">
        <v>21.322500000000002</v>
      </c>
      <c r="U56" s="797">
        <v>16.257999999999999</v>
      </c>
      <c r="V56" s="799"/>
    </row>
    <row r="57" spans="1:22">
      <c r="A57" s="796" t="s">
        <v>46</v>
      </c>
      <c r="B57" s="797">
        <v>8.4499999999999993</v>
      </c>
      <c r="C57" s="797">
        <v>7.78</v>
      </c>
      <c r="D57" s="797">
        <v>8.1199999999999992</v>
      </c>
      <c r="E57" s="798">
        <v>10.27</v>
      </c>
      <c r="F57" s="797">
        <v>10.385</v>
      </c>
      <c r="G57" s="797">
        <v>9.3149999999999995</v>
      </c>
      <c r="H57" s="797">
        <v>9.4625000000000004</v>
      </c>
      <c r="I57" s="797">
        <v>12.265000000000001</v>
      </c>
      <c r="J57" s="797">
        <v>16.989999999999998</v>
      </c>
      <c r="K57" s="797">
        <v>20.482500000000002</v>
      </c>
      <c r="L57" s="797">
        <v>21.387499999999999</v>
      </c>
      <c r="M57" s="797">
        <v>36.155000000000001</v>
      </c>
      <c r="N57" s="797">
        <v>19.512499999999999</v>
      </c>
      <c r="O57" s="797">
        <v>22.68</v>
      </c>
      <c r="P57" s="797">
        <v>30.96</v>
      </c>
      <c r="Q57" s="797">
        <v>28.7575</v>
      </c>
      <c r="R57" s="797">
        <v>28.020000000000003</v>
      </c>
      <c r="S57" s="797">
        <v>30.353999999999996</v>
      </c>
      <c r="T57" s="797">
        <v>20.7775</v>
      </c>
      <c r="U57" s="797">
        <v>17.204999999999998</v>
      </c>
      <c r="V57" s="799"/>
    </row>
    <row r="58" spans="1:22">
      <c r="A58" s="796" t="s">
        <v>47</v>
      </c>
      <c r="B58" s="797">
        <v>8.2799999999999994</v>
      </c>
      <c r="C58" s="797">
        <v>7.58</v>
      </c>
      <c r="D58" s="798">
        <v>8.2799999999999994</v>
      </c>
      <c r="E58" s="797">
        <v>10.46</v>
      </c>
      <c r="F58" s="797">
        <v>10.166</v>
      </c>
      <c r="G58" s="797">
        <v>9.4659999999999993</v>
      </c>
      <c r="H58" s="797">
        <v>9.5740000000000016</v>
      </c>
      <c r="I58" s="797">
        <v>12.33</v>
      </c>
      <c r="J58" s="797">
        <v>17.03</v>
      </c>
      <c r="K58" s="797">
        <v>20.571999999999999</v>
      </c>
      <c r="L58" s="797">
        <v>21.477499999999999</v>
      </c>
      <c r="M58" s="797">
        <v>36.951999999999998</v>
      </c>
      <c r="N58" s="797">
        <v>20.256</v>
      </c>
      <c r="O58" s="797">
        <v>22.912500000000001</v>
      </c>
      <c r="P58" s="797">
        <v>31.1</v>
      </c>
      <c r="Q58" s="797">
        <v>29.3</v>
      </c>
      <c r="R58" s="797">
        <v>30.544</v>
      </c>
      <c r="S58" s="797">
        <v>30.017500000000002</v>
      </c>
      <c r="T58" s="797">
        <v>19.3675</v>
      </c>
      <c r="U58" s="797">
        <v>16.362499999999997</v>
      </c>
      <c r="V58" s="799"/>
    </row>
    <row r="59" spans="1:22">
      <c r="A59" s="796" t="s">
        <v>48</v>
      </c>
      <c r="B59" s="797">
        <v>8.2200000000000006</v>
      </c>
      <c r="C59" s="797">
        <v>7.45</v>
      </c>
      <c r="D59" s="797">
        <v>8.6</v>
      </c>
      <c r="E59" s="798">
        <v>10.43</v>
      </c>
      <c r="F59" s="797">
        <v>10.022</v>
      </c>
      <c r="G59" s="797">
        <v>9.8450000000000006</v>
      </c>
      <c r="H59" s="797">
        <v>10.244999999999999</v>
      </c>
      <c r="I59" s="797">
        <v>12.79</v>
      </c>
      <c r="J59" s="797">
        <v>17.63</v>
      </c>
      <c r="K59" s="797">
        <v>21.425000000000001</v>
      </c>
      <c r="L59" s="797">
        <v>21.61</v>
      </c>
      <c r="M59" s="797">
        <v>34.979999999999997</v>
      </c>
      <c r="N59" s="797">
        <v>21.41</v>
      </c>
      <c r="O59" s="797">
        <v>23.165999999999997</v>
      </c>
      <c r="P59" s="797">
        <v>31.15</v>
      </c>
      <c r="Q59" s="797">
        <v>30.8825</v>
      </c>
      <c r="R59" s="797">
        <v>31.695</v>
      </c>
      <c r="S59" s="797">
        <v>29.612499999999997</v>
      </c>
      <c r="T59" s="797">
        <v>17.398</v>
      </c>
      <c r="U59" s="797">
        <v>16.218</v>
      </c>
      <c r="V59" s="799"/>
    </row>
    <row r="60" spans="1:22">
      <c r="A60" s="796" t="s">
        <v>49</v>
      </c>
      <c r="B60" s="797">
        <v>8.31</v>
      </c>
      <c r="C60" s="798">
        <v>7.35</v>
      </c>
      <c r="D60" s="798">
        <v>8.99</v>
      </c>
      <c r="E60" s="798">
        <v>11.04</v>
      </c>
      <c r="F60" s="797">
        <v>10.1425</v>
      </c>
      <c r="G60" s="797">
        <v>9.81</v>
      </c>
      <c r="H60" s="797">
        <v>10.916</v>
      </c>
      <c r="I60" s="797">
        <v>13.647500000000001</v>
      </c>
      <c r="J60" s="797">
        <v>19.012499999999999</v>
      </c>
      <c r="K60" s="797">
        <v>20.984999999999999</v>
      </c>
      <c r="L60" s="797">
        <v>21.24</v>
      </c>
      <c r="M60" s="797">
        <v>32.465999999999994</v>
      </c>
      <c r="N60" s="797">
        <v>21.4575</v>
      </c>
      <c r="O60" s="797">
        <v>22.594999999999999</v>
      </c>
      <c r="P60" s="797">
        <v>30.74</v>
      </c>
      <c r="Q60" s="797">
        <v>32.997500000000002</v>
      </c>
      <c r="R60" s="797">
        <v>31.768000000000001</v>
      </c>
      <c r="S60" s="797">
        <v>28.695999999999998</v>
      </c>
      <c r="T60" s="797">
        <v>17.625</v>
      </c>
      <c r="U60" s="797">
        <v>16.8825</v>
      </c>
      <c r="V60" s="799"/>
    </row>
    <row r="61" spans="1:22">
      <c r="A61" s="796" t="s">
        <v>50</v>
      </c>
      <c r="B61" s="797">
        <v>8.31</v>
      </c>
      <c r="C61" s="798">
        <v>7.48</v>
      </c>
      <c r="D61" s="797">
        <v>9.36</v>
      </c>
      <c r="E61" s="797">
        <v>11.956</v>
      </c>
      <c r="F61" s="797">
        <v>10.133999999999999</v>
      </c>
      <c r="G61" s="797">
        <v>10.065</v>
      </c>
      <c r="H61" s="797">
        <v>10.5625</v>
      </c>
      <c r="I61" s="797">
        <v>15.68</v>
      </c>
      <c r="J61" s="797">
        <v>20.271999999999998</v>
      </c>
      <c r="K61" s="797">
        <v>19.728000000000002</v>
      </c>
      <c r="L61" s="797">
        <v>22.768000000000001</v>
      </c>
      <c r="M61" s="797">
        <v>28.875</v>
      </c>
      <c r="N61" s="797">
        <v>20.967500000000001</v>
      </c>
      <c r="O61" s="797">
        <v>24.55</v>
      </c>
      <c r="P61" s="797">
        <v>30.48</v>
      </c>
      <c r="Q61" s="797">
        <v>32.47</v>
      </c>
      <c r="R61" s="797">
        <v>30.567499999999999</v>
      </c>
      <c r="S61" s="797">
        <v>26.8475</v>
      </c>
      <c r="T61" s="797">
        <v>17.650000000000002</v>
      </c>
      <c r="U61" s="797"/>
      <c r="V61" s="799"/>
    </row>
    <row r="62" spans="1:22">
      <c r="A62" s="796" t="s">
        <v>51</v>
      </c>
      <c r="B62" s="797">
        <v>8.36</v>
      </c>
      <c r="C62" s="797">
        <v>7.56</v>
      </c>
      <c r="D62" s="797">
        <v>9.44</v>
      </c>
      <c r="E62" s="797">
        <v>12.13</v>
      </c>
      <c r="F62" s="797">
        <v>9.93</v>
      </c>
      <c r="G62" s="797">
        <v>10.1425</v>
      </c>
      <c r="H62" s="797">
        <v>10.72</v>
      </c>
      <c r="I62" s="797">
        <v>16.95</v>
      </c>
      <c r="J62" s="797">
        <v>20.8475</v>
      </c>
      <c r="K62" s="797">
        <v>18.7575</v>
      </c>
      <c r="L62" s="797">
        <v>25.002500000000001</v>
      </c>
      <c r="M62" s="797">
        <v>24.715</v>
      </c>
      <c r="N62" s="797">
        <v>23.128000000000004</v>
      </c>
      <c r="O62" s="797">
        <v>25.166000000000004</v>
      </c>
      <c r="P62" s="797">
        <v>31.8675</v>
      </c>
      <c r="Q62" s="797">
        <v>30.884999999999998</v>
      </c>
      <c r="R62" s="797">
        <v>30.477499999999999</v>
      </c>
      <c r="S62" s="797">
        <v>25.3</v>
      </c>
      <c r="T62" s="797">
        <v>17.205999999999996</v>
      </c>
      <c r="U62" s="797"/>
      <c r="V62" s="799"/>
    </row>
    <row r="63" spans="1:22" ht="14.25" thickBot="1">
      <c r="A63" s="796" t="s">
        <v>52</v>
      </c>
      <c r="B63" s="797">
        <v>8.58</v>
      </c>
      <c r="C63" s="797">
        <v>7.35</v>
      </c>
      <c r="D63" s="797">
        <v>10.1</v>
      </c>
      <c r="E63" s="797">
        <v>12.205</v>
      </c>
      <c r="F63" s="797">
        <v>9.3949999999999996</v>
      </c>
      <c r="G63" s="797">
        <v>10.064</v>
      </c>
      <c r="H63" s="797">
        <v>11</v>
      </c>
      <c r="I63" s="800">
        <v>16.62</v>
      </c>
      <c r="J63" s="800">
        <v>20.434999999999999</v>
      </c>
      <c r="K63" s="800">
        <v>18.63</v>
      </c>
      <c r="L63" s="800">
        <v>25.927499999999998</v>
      </c>
      <c r="M63" s="800">
        <v>20.706</v>
      </c>
      <c r="N63" s="800">
        <v>23.052499999999998</v>
      </c>
      <c r="O63" s="800">
        <v>26.65</v>
      </c>
      <c r="P63" s="797">
        <v>30.642499999999998</v>
      </c>
      <c r="Q63" s="797">
        <v>32.167499999999997</v>
      </c>
      <c r="R63" s="797">
        <v>31.577500000000001</v>
      </c>
      <c r="S63" s="797">
        <v>22.27</v>
      </c>
      <c r="T63" s="797">
        <v>15.404266666666665</v>
      </c>
      <c r="U63" s="797"/>
      <c r="V63" s="799"/>
    </row>
    <row r="64" spans="1:22" ht="14.25" thickBot="1">
      <c r="A64" s="813" t="s">
        <v>559</v>
      </c>
      <c r="B64" s="802">
        <f t="shared" ref="B64:O64" si="3">+AVERAGE(B52:B63)</f>
        <v>8.5541666666666671</v>
      </c>
      <c r="C64" s="802">
        <f t="shared" si="3"/>
        <v>7.6841666666666661</v>
      </c>
      <c r="D64" s="802">
        <f t="shared" si="3"/>
        <v>8.3716666666666661</v>
      </c>
      <c r="E64" s="802">
        <f t="shared" si="3"/>
        <v>10.910916666666665</v>
      </c>
      <c r="F64" s="802">
        <f t="shared" si="3"/>
        <v>10.372069444444445</v>
      </c>
      <c r="G64" s="802">
        <f t="shared" si="3"/>
        <v>9.4849999999999994</v>
      </c>
      <c r="H64" s="802">
        <f t="shared" si="3"/>
        <v>10.843333333333334</v>
      </c>
      <c r="I64" s="803">
        <f t="shared" si="3"/>
        <v>13.453000000000001</v>
      </c>
      <c r="J64" s="803">
        <f t="shared" si="3"/>
        <v>17.934041666666666</v>
      </c>
      <c r="K64" s="803">
        <f t="shared" si="3"/>
        <v>19.797750000000004</v>
      </c>
      <c r="L64" s="803">
        <f t="shared" si="3"/>
        <v>21.314541666666667</v>
      </c>
      <c r="M64" s="803">
        <f t="shared" si="3"/>
        <v>29.797875000000001</v>
      </c>
      <c r="N64" s="803">
        <f t="shared" si="3"/>
        <v>19.79366666666667</v>
      </c>
      <c r="O64" s="803">
        <f t="shared" si="3"/>
        <v>24.031874999999999</v>
      </c>
      <c r="P64" s="803">
        <f>+AVERAGE(P52:P63)</f>
        <v>30.691875</v>
      </c>
      <c r="Q64" s="803">
        <f>+AVERAGE(Q52:Q63)</f>
        <v>31.403583333333341</v>
      </c>
      <c r="R64" s="803">
        <f>+AVERAGE(R52:R63)</f>
        <v>30.690625000000001</v>
      </c>
      <c r="S64" s="803">
        <f>AVERAGE(S52:S63)</f>
        <v>28.830624999999998</v>
      </c>
      <c r="T64" s="803">
        <f>AVERAGE(T52:T63)</f>
        <v>18.803230555555555</v>
      </c>
      <c r="U64" s="803">
        <f>AVERAGE(U52:U63)</f>
        <v>15.5015</v>
      </c>
      <c r="V64" s="814"/>
    </row>
    <row r="65" spans="1:26" ht="14.25">
      <c r="A65" s="815"/>
    </row>
    <row r="66" spans="1:26" s="780" customFormat="1" ht="19.5">
      <c r="A66" s="816" t="s">
        <v>2</v>
      </c>
    </row>
    <row r="67" spans="1:26" s="780" customFormat="1" ht="19.5">
      <c r="A67" s="781"/>
    </row>
    <row r="68" spans="1:26" ht="17.25">
      <c r="A68" s="817" t="s">
        <v>61</v>
      </c>
    </row>
    <row r="69" spans="1:26" s="776" customFormat="1" ht="14.25" thickBot="1">
      <c r="A69" s="782"/>
      <c r="B69" s="783"/>
      <c r="C69" s="783"/>
      <c r="D69" s="783"/>
      <c r="E69" s="783"/>
      <c r="F69" s="783"/>
      <c r="G69" s="783"/>
      <c r="H69" s="783"/>
      <c r="I69" s="783"/>
      <c r="J69" s="783"/>
      <c r="K69" s="783"/>
      <c r="L69" s="783"/>
      <c r="M69" s="783"/>
      <c r="N69" s="783"/>
      <c r="O69" s="783"/>
      <c r="P69" s="783"/>
      <c r="Q69" s="783"/>
      <c r="R69" s="783"/>
      <c r="S69" s="783"/>
      <c r="T69" s="783"/>
      <c r="U69" s="783"/>
      <c r="V69" s="784"/>
    </row>
    <row r="70" spans="1:26" ht="17.25">
      <c r="A70" s="834" t="s">
        <v>556</v>
      </c>
      <c r="B70" s="835">
        <v>1997</v>
      </c>
      <c r="C70" s="835">
        <v>1998</v>
      </c>
      <c r="D70" s="835">
        <v>1999</v>
      </c>
      <c r="E70" s="835">
        <v>2000</v>
      </c>
      <c r="F70" s="835">
        <v>2001</v>
      </c>
      <c r="G70" s="835">
        <v>2002</v>
      </c>
      <c r="H70" s="835">
        <v>2003</v>
      </c>
      <c r="I70" s="835">
        <v>2004</v>
      </c>
      <c r="J70" s="835">
        <v>2005</v>
      </c>
      <c r="K70" s="836">
        <v>2006</v>
      </c>
      <c r="L70" s="836">
        <v>2007</v>
      </c>
      <c r="M70" s="836">
        <v>2008</v>
      </c>
      <c r="N70" s="836">
        <v>2009</v>
      </c>
      <c r="O70" s="836">
        <v>2010</v>
      </c>
      <c r="P70" s="836">
        <v>2011</v>
      </c>
      <c r="Q70" s="836">
        <f>+Q50</f>
        <v>2012</v>
      </c>
      <c r="R70" s="836">
        <v>2013</v>
      </c>
      <c r="S70" s="836">
        <v>2014</v>
      </c>
      <c r="T70" s="836">
        <v>2015</v>
      </c>
      <c r="U70" s="836">
        <v>2016</v>
      </c>
      <c r="V70" s="787"/>
    </row>
    <row r="71" spans="1:26" ht="18" thickBot="1">
      <c r="A71" s="837" t="s">
        <v>557</v>
      </c>
      <c r="B71" s="838" t="s">
        <v>558</v>
      </c>
      <c r="C71" s="838" t="s">
        <v>558</v>
      </c>
      <c r="D71" s="838" t="s">
        <v>558</v>
      </c>
      <c r="E71" s="838" t="s">
        <v>558</v>
      </c>
      <c r="F71" s="838" t="s">
        <v>558</v>
      </c>
      <c r="G71" s="838" t="s">
        <v>558</v>
      </c>
      <c r="H71" s="838" t="s">
        <v>558</v>
      </c>
      <c r="I71" s="838" t="s">
        <v>558</v>
      </c>
      <c r="J71" s="838" t="s">
        <v>558</v>
      </c>
      <c r="K71" s="839" t="s">
        <v>558</v>
      </c>
      <c r="L71" s="839" t="s">
        <v>558</v>
      </c>
      <c r="M71" s="839" t="s">
        <v>558</v>
      </c>
      <c r="N71" s="839" t="s">
        <v>558</v>
      </c>
      <c r="O71" s="839" t="s">
        <v>558</v>
      </c>
      <c r="P71" s="839" t="s">
        <v>558</v>
      </c>
      <c r="Q71" s="839" t="s">
        <v>558</v>
      </c>
      <c r="R71" s="839" t="s">
        <v>558</v>
      </c>
      <c r="S71" s="839" t="s">
        <v>558</v>
      </c>
      <c r="T71" s="839" t="s">
        <v>558</v>
      </c>
      <c r="U71" s="839" t="s">
        <v>558</v>
      </c>
      <c r="V71" s="790"/>
      <c r="W71" s="818"/>
      <c r="X71" s="818"/>
      <c r="Y71" s="818"/>
      <c r="Z71" s="818"/>
    </row>
    <row r="72" spans="1:26">
      <c r="A72" s="819" t="s">
        <v>41</v>
      </c>
      <c r="B72" s="820">
        <v>6.4645714285714284</v>
      </c>
      <c r="C72" s="820">
        <v>6.3448571428571432</v>
      </c>
      <c r="D72" s="820">
        <v>6.7885714285714291</v>
      </c>
      <c r="E72" s="820">
        <v>8.6114285714285721</v>
      </c>
      <c r="F72" s="820">
        <v>10.92</v>
      </c>
      <c r="G72" s="820">
        <v>6.585</v>
      </c>
      <c r="H72" s="820">
        <v>9.6168880000000012</v>
      </c>
      <c r="I72" s="820">
        <v>9.7283420000000014</v>
      </c>
      <c r="J72" s="820">
        <v>12.806651200000001</v>
      </c>
      <c r="K72" s="820">
        <v>15.990716000000003</v>
      </c>
      <c r="L72" s="821">
        <v>16.018872800000004</v>
      </c>
      <c r="M72" s="821">
        <v>20.174012000000005</v>
      </c>
      <c r="N72" s="821">
        <v>16.418515000000003</v>
      </c>
      <c r="O72" s="821">
        <v>18.436000000000003</v>
      </c>
      <c r="P72" s="821">
        <v>21.37</v>
      </c>
      <c r="Q72" s="821">
        <v>22.793600000000005</v>
      </c>
      <c r="R72" s="822">
        <v>15.084000000000003</v>
      </c>
      <c r="S72" s="822">
        <v>22.626000000000005</v>
      </c>
      <c r="T72" s="822">
        <v>19.274000000000004</v>
      </c>
      <c r="U72" s="822">
        <v>15.084000000000003</v>
      </c>
      <c r="V72" s="823"/>
    </row>
    <row r="73" spans="1:26">
      <c r="A73" s="824" t="s">
        <v>42</v>
      </c>
      <c r="B73" s="825">
        <v>6.4645714285714284</v>
      </c>
      <c r="C73" s="825">
        <v>6.3448571428571432</v>
      </c>
      <c r="D73" s="825">
        <v>6.7885714285714291</v>
      </c>
      <c r="E73" s="825">
        <v>10.186000000000002</v>
      </c>
      <c r="F73" s="825">
        <v>10.92</v>
      </c>
      <c r="G73" s="825">
        <v>6.585</v>
      </c>
      <c r="H73" s="825">
        <v>9.4132540000000002</v>
      </c>
      <c r="I73" s="825">
        <v>10.185471000000001</v>
      </c>
      <c r="J73" s="825">
        <v>12.047507000000003</v>
      </c>
      <c r="K73" s="825">
        <v>15.986526000000003</v>
      </c>
      <c r="L73" s="825">
        <v>16.015855999999999</v>
      </c>
      <c r="M73" s="825">
        <v>20.174012000000005</v>
      </c>
      <c r="N73" s="825">
        <v>15.228974000000003</v>
      </c>
      <c r="O73" s="825">
        <v>18.436000000000003</v>
      </c>
      <c r="P73" s="825">
        <v>21.79</v>
      </c>
      <c r="Q73" s="825">
        <v>22.793600000000005</v>
      </c>
      <c r="R73" s="826">
        <v>16.592400000000001</v>
      </c>
      <c r="S73" s="826">
        <v>23.045000000000002</v>
      </c>
      <c r="T73" s="826">
        <v>15.419200000000002</v>
      </c>
      <c r="U73" s="826">
        <f>+'X-SEMANA-SC'!J1918</f>
        <v>15.085484411666107</v>
      </c>
      <c r="V73" s="827"/>
    </row>
    <row r="74" spans="1:26">
      <c r="A74" s="824" t="s">
        <v>43</v>
      </c>
      <c r="B74" s="825">
        <v>6.3448571428571432</v>
      </c>
      <c r="C74" s="825">
        <v>6.3448571428571432</v>
      </c>
      <c r="D74" s="825">
        <v>6.7885714285714291</v>
      </c>
      <c r="E74" s="825">
        <v>10.422971428571429</v>
      </c>
      <c r="F74" s="825">
        <v>10.332000000000001</v>
      </c>
      <c r="G74" s="825">
        <v>6.257365000000001</v>
      </c>
      <c r="H74" s="825">
        <v>9.2890624000000006</v>
      </c>
      <c r="I74" s="825">
        <v>10.202482400000003</v>
      </c>
      <c r="J74" s="825">
        <v>11.870270000000003</v>
      </c>
      <c r="K74" s="825">
        <v>15.381909000000002</v>
      </c>
      <c r="L74" s="825">
        <v>16.010409000000003</v>
      </c>
      <c r="M74" s="825">
        <v>20.334908000000006</v>
      </c>
      <c r="N74" s="825">
        <v>15.172828000000001</v>
      </c>
      <c r="O74" s="825">
        <v>18.436000000000003</v>
      </c>
      <c r="P74" s="825">
        <v>21.79</v>
      </c>
      <c r="Q74" s="825">
        <v>19.525400000000005</v>
      </c>
      <c r="R74" s="826">
        <v>17.849400000000003</v>
      </c>
      <c r="S74" s="826">
        <v>23.464000000000002</v>
      </c>
      <c r="T74" s="826">
        <v>15.084000000000003</v>
      </c>
      <c r="U74" s="826">
        <f>+'X-SEMANA-SC'!J1926</f>
        <v>15.085484411666107</v>
      </c>
      <c r="V74" s="827"/>
    </row>
    <row r="75" spans="1:26">
      <c r="A75" s="824" t="s">
        <v>44</v>
      </c>
      <c r="B75" s="825">
        <v>6.3448571428571432</v>
      </c>
      <c r="C75" s="825">
        <v>6.3448571428571432</v>
      </c>
      <c r="D75" s="825">
        <v>6.7885714285714291</v>
      </c>
      <c r="E75" s="825">
        <v>9.9663142857142866</v>
      </c>
      <c r="F75" s="825">
        <v>9.7439999999999998</v>
      </c>
      <c r="G75" s="825">
        <v>7.0232663999999998</v>
      </c>
      <c r="H75" s="825">
        <v>9.3659070000000018</v>
      </c>
      <c r="I75" s="825">
        <v>10.211868000000003</v>
      </c>
      <c r="J75" s="825">
        <v>12.244437000000003</v>
      </c>
      <c r="K75" s="825">
        <v>14.358292000000004</v>
      </c>
      <c r="L75" s="825">
        <v>16.005381000000003</v>
      </c>
      <c r="M75" s="825">
        <v>20.982263000000003</v>
      </c>
      <c r="N75" s="825">
        <v>15.166543000000003</v>
      </c>
      <c r="O75" s="825">
        <v>18.436000000000003</v>
      </c>
      <c r="P75" s="825">
        <v>21.19</v>
      </c>
      <c r="Q75" s="825">
        <v>17.598000000000003</v>
      </c>
      <c r="R75" s="826">
        <v>18.268400000000003</v>
      </c>
      <c r="S75" s="826">
        <v>23.464000000000002</v>
      </c>
      <c r="T75" s="826">
        <v>14.581200000000003</v>
      </c>
      <c r="U75" s="826">
        <f>+'X-SEMANA-SC'!J1934</f>
        <v>15.085484411666107</v>
      </c>
      <c r="V75" s="827"/>
    </row>
    <row r="76" spans="1:26">
      <c r="A76" s="824" t="s">
        <v>45</v>
      </c>
      <c r="B76" s="825">
        <v>6.3448571428571432</v>
      </c>
      <c r="C76" s="825">
        <v>6.5371428571428574</v>
      </c>
      <c r="D76" s="825">
        <v>7.668571428571429</v>
      </c>
      <c r="E76" s="825">
        <v>10.803600000000001</v>
      </c>
      <c r="F76" s="825">
        <v>9.7439999999999998</v>
      </c>
      <c r="G76" s="825">
        <v>7.0149999999999997</v>
      </c>
      <c r="H76" s="825">
        <v>9.5678650000000012</v>
      </c>
      <c r="I76" s="825">
        <v>10.2038232</v>
      </c>
      <c r="J76" s="825">
        <v>10.680477600000003</v>
      </c>
      <c r="K76" s="825">
        <v>14.357286400000003</v>
      </c>
      <c r="L76" s="825">
        <v>16.084236800000003</v>
      </c>
      <c r="M76" s="825">
        <v>21.720122</v>
      </c>
      <c r="N76" s="825">
        <v>15.166124000000002</v>
      </c>
      <c r="O76" s="825">
        <v>18.436000000000003</v>
      </c>
      <c r="P76" s="825">
        <v>21.79</v>
      </c>
      <c r="Q76" s="825">
        <v>17.598000000000003</v>
      </c>
      <c r="R76" s="826">
        <v>18.268400000000003</v>
      </c>
      <c r="S76" s="826">
        <v>23.464000000000002</v>
      </c>
      <c r="T76" s="826">
        <v>13.198500000000001</v>
      </c>
      <c r="U76" s="826">
        <f>+'X-SEMANA-SC'!J1943</f>
        <v>15.085484411666107</v>
      </c>
      <c r="V76" s="827"/>
    </row>
    <row r="77" spans="1:26">
      <c r="A77" s="824" t="s">
        <v>46</v>
      </c>
      <c r="B77" s="825">
        <v>6.3448571428571432</v>
      </c>
      <c r="C77" s="825">
        <v>6.5371428571428574</v>
      </c>
      <c r="D77" s="825">
        <v>7.668571428571429</v>
      </c>
      <c r="E77" s="825">
        <v>8.6805000000000021</v>
      </c>
      <c r="F77" s="825">
        <v>9.6248490000000011</v>
      </c>
      <c r="G77" s="825">
        <v>9.2130166666666682</v>
      </c>
      <c r="H77" s="825">
        <v>8.5911760000000008</v>
      </c>
      <c r="I77" s="825">
        <v>10.205583000000003</v>
      </c>
      <c r="J77" s="825">
        <v>10.141476000000001</v>
      </c>
      <c r="K77" s="825">
        <v>14.346979000000003</v>
      </c>
      <c r="L77" s="825">
        <v>16.823688000000004</v>
      </c>
      <c r="M77" s="825">
        <v>22.085909000000001</v>
      </c>
      <c r="N77" s="825">
        <v>15.166124000000002</v>
      </c>
      <c r="O77" s="825">
        <v>18.436000000000003</v>
      </c>
      <c r="P77" s="825">
        <v>21.89</v>
      </c>
      <c r="Q77" s="825">
        <v>17.598000000000003</v>
      </c>
      <c r="R77" s="826">
        <v>20.112000000000002</v>
      </c>
      <c r="S77" s="826">
        <v>23.464000000000002</v>
      </c>
      <c r="T77" s="826">
        <v>12.570000000000002</v>
      </c>
      <c r="U77" s="826">
        <f>+'X-SEMANA-SC'!J1951</f>
        <v>17.599731813610457</v>
      </c>
      <c r="V77" s="827"/>
    </row>
    <row r="78" spans="1:26">
      <c r="A78" s="824" t="s">
        <v>47</v>
      </c>
      <c r="B78" s="825">
        <v>6.3448571428571432</v>
      </c>
      <c r="C78" s="825">
        <v>6.5371428571428574</v>
      </c>
      <c r="D78" s="825">
        <v>7.668571428571429</v>
      </c>
      <c r="E78" s="825">
        <v>9.4424642857142853</v>
      </c>
      <c r="F78" s="825">
        <v>9.1080544000000003</v>
      </c>
      <c r="G78" s="825">
        <v>6.5900320000000008</v>
      </c>
      <c r="H78" s="825">
        <v>7.4169704000000012</v>
      </c>
      <c r="I78" s="825">
        <v>10.180024000000001</v>
      </c>
      <c r="J78" s="825">
        <v>10.15</v>
      </c>
      <c r="K78" s="825">
        <v>14.687793600000003</v>
      </c>
      <c r="L78" s="825">
        <v>16.832068000000003</v>
      </c>
      <c r="M78" s="825">
        <v>22.327336800000005</v>
      </c>
      <c r="N78" s="825">
        <v>15.166124000000002</v>
      </c>
      <c r="O78" s="825">
        <v>18.436000000000003</v>
      </c>
      <c r="P78" s="825">
        <v>21.89</v>
      </c>
      <c r="Q78" s="825">
        <v>13.452648640000001</v>
      </c>
      <c r="R78" s="826">
        <v>20.112000000000002</v>
      </c>
      <c r="S78" s="826">
        <v>23.464000000000002</v>
      </c>
      <c r="T78" s="826">
        <v>12.570000000000002</v>
      </c>
      <c r="U78" s="826">
        <f>+'X-SEMANA-SC'!J1959</f>
        <v>17.599731813610457</v>
      </c>
      <c r="V78" s="827"/>
    </row>
    <row r="79" spans="1:26">
      <c r="A79" s="824" t="s">
        <v>48</v>
      </c>
      <c r="B79" s="825">
        <v>6.3448571428571432</v>
      </c>
      <c r="C79" s="825">
        <v>6.5371428571428574</v>
      </c>
      <c r="D79" s="825">
        <v>7.668571428571429</v>
      </c>
      <c r="E79" s="825">
        <v>9.4424642857142853</v>
      </c>
      <c r="F79" s="825">
        <v>8.5253930000000011</v>
      </c>
      <c r="G79" s="825">
        <v>6.6679660000000007</v>
      </c>
      <c r="H79" s="825">
        <v>7.4016350000000024</v>
      </c>
      <c r="I79" s="825">
        <v>11.38</v>
      </c>
      <c r="J79" s="825">
        <v>10.9</v>
      </c>
      <c r="K79" s="825">
        <v>15.624510000000003</v>
      </c>
      <c r="L79" s="825">
        <v>16.833073599999999</v>
      </c>
      <c r="M79" s="825">
        <v>22.391359999999999</v>
      </c>
      <c r="N79" s="825">
        <v>15.133274400000001</v>
      </c>
      <c r="O79" s="825">
        <v>18.436000000000003</v>
      </c>
      <c r="P79" s="825">
        <v>21.71</v>
      </c>
      <c r="Q79" s="825">
        <v>15.754400000000002</v>
      </c>
      <c r="R79" s="826">
        <v>20.112000000000002</v>
      </c>
      <c r="S79" s="826">
        <v>23.464000000000002</v>
      </c>
      <c r="T79" s="826">
        <v>12.570000000000002</v>
      </c>
      <c r="U79" s="826">
        <f>+'X-SEMANA-SC'!J1968</f>
        <v>16.258799865906802</v>
      </c>
      <c r="V79" s="827"/>
    </row>
    <row r="80" spans="1:26">
      <c r="A80" s="824" t="s">
        <v>49</v>
      </c>
      <c r="B80" s="825">
        <v>6.3448571428571432</v>
      </c>
      <c r="C80" s="825">
        <v>6.7885714285714291</v>
      </c>
      <c r="D80" s="825">
        <v>7.668571428571429</v>
      </c>
      <c r="E80" s="825">
        <v>10.92</v>
      </c>
      <c r="F80" s="825">
        <v>8.4453640000000014</v>
      </c>
      <c r="G80" s="825">
        <v>7.511832000000001</v>
      </c>
      <c r="H80" s="825">
        <v>7.2838960000000013</v>
      </c>
      <c r="I80" s="825">
        <v>11.729067000000001</v>
      </c>
      <c r="J80" s="825">
        <v>14.025606000000002</v>
      </c>
      <c r="K80" s="825">
        <v>16.005800000000001</v>
      </c>
      <c r="L80" s="825">
        <v>16.833744000000003</v>
      </c>
      <c r="M80" s="825">
        <v>21.607662400000002</v>
      </c>
      <c r="N80" s="825">
        <v>15.084000000000003</v>
      </c>
      <c r="O80" s="825">
        <v>18.436000000000003</v>
      </c>
      <c r="P80" s="825">
        <v>21.45</v>
      </c>
      <c r="Q80" s="825">
        <v>14.013874000000003</v>
      </c>
      <c r="R80" s="826">
        <v>21.369000000000003</v>
      </c>
      <c r="S80" s="826">
        <v>23.464000000000002</v>
      </c>
      <c r="T80" s="826">
        <v>12.570000000000002</v>
      </c>
      <c r="U80" s="826">
        <f>+'X-SEMANA-SC'!J1976</f>
        <v>15.923566878980891</v>
      </c>
      <c r="V80" s="827"/>
    </row>
    <row r="81" spans="1:22">
      <c r="A81" s="824" t="s">
        <v>50</v>
      </c>
      <c r="B81" s="825">
        <v>6.3448571428571432</v>
      </c>
      <c r="C81" s="825">
        <v>6.7885714285714291</v>
      </c>
      <c r="D81" s="825">
        <v>7.668571428571429</v>
      </c>
      <c r="E81" s="825">
        <v>10.92</v>
      </c>
      <c r="F81" s="825">
        <v>8.4215647999999987</v>
      </c>
      <c r="G81" s="825">
        <v>9.0512380000000014</v>
      </c>
      <c r="H81" s="825">
        <v>7.6245430000000018</v>
      </c>
      <c r="I81" s="825">
        <v>12.075580000000002</v>
      </c>
      <c r="J81" s="825">
        <v>15.182548800000001</v>
      </c>
      <c r="K81" s="825">
        <v>16.0205488</v>
      </c>
      <c r="L81" s="825">
        <v>17.318108000000002</v>
      </c>
      <c r="M81" s="825">
        <v>19.819957000000002</v>
      </c>
      <c r="N81" s="825">
        <v>15.922000000000004</v>
      </c>
      <c r="O81" s="825">
        <v>18.436000000000003</v>
      </c>
      <c r="P81" s="825">
        <v>22.25</v>
      </c>
      <c r="Q81" s="825">
        <v>10.643647334897754</v>
      </c>
      <c r="R81" s="826">
        <v>21.385000000000002</v>
      </c>
      <c r="S81" s="826">
        <v>23.464000000000002</v>
      </c>
      <c r="T81" s="826">
        <v>12.570000000000002</v>
      </c>
      <c r="U81" s="826"/>
      <c r="V81" s="827"/>
    </row>
    <row r="82" spans="1:22">
      <c r="A82" s="824" t="s">
        <v>51</v>
      </c>
      <c r="B82" s="825">
        <v>6.3448571428571432</v>
      </c>
      <c r="C82" s="825">
        <v>6.7885714285714291</v>
      </c>
      <c r="D82" s="825">
        <v>7.668571428571429</v>
      </c>
      <c r="E82" s="825">
        <v>10.92</v>
      </c>
      <c r="F82" s="825">
        <v>8.3347480000000012</v>
      </c>
      <c r="G82" s="825">
        <v>9.2146480000000022</v>
      </c>
      <c r="H82" s="825">
        <v>8.1218960000000013</v>
      </c>
      <c r="I82" s="825">
        <v>13</v>
      </c>
      <c r="J82" s="825">
        <v>15.6</v>
      </c>
      <c r="K82" s="825">
        <v>16.022560000000002</v>
      </c>
      <c r="L82" s="825">
        <v>19.325956000000005</v>
      </c>
      <c r="M82" s="825">
        <v>18.236975000000001</v>
      </c>
      <c r="N82" s="825">
        <v>18.436000000000003</v>
      </c>
      <c r="O82" s="825">
        <v>19.441600000000001</v>
      </c>
      <c r="P82" s="825">
        <v>22.793600000000005</v>
      </c>
      <c r="Q82" s="825">
        <v>10.606566000000003</v>
      </c>
      <c r="R82" s="826">
        <v>21.227499999999999</v>
      </c>
      <c r="S82" s="826">
        <v>23.464000000000002</v>
      </c>
      <c r="T82" s="826">
        <v>15.084000000000003</v>
      </c>
      <c r="U82" s="826"/>
      <c r="V82" s="827"/>
    </row>
    <row r="83" spans="1:22" ht="14.25" thickBot="1">
      <c r="A83" s="828" t="s">
        <v>52</v>
      </c>
      <c r="B83" s="825">
        <v>6.3448571428571432</v>
      </c>
      <c r="C83" s="825">
        <v>6.7885714285714291</v>
      </c>
      <c r="D83" s="825">
        <v>8.4228571428571435</v>
      </c>
      <c r="E83" s="825">
        <v>10.92</v>
      </c>
      <c r="F83" s="825">
        <v>7.7806624000000015</v>
      </c>
      <c r="G83" s="825">
        <v>9.2005695999999997</v>
      </c>
      <c r="H83" s="825">
        <v>8.5254768000000016</v>
      </c>
      <c r="I83" s="829">
        <v>13</v>
      </c>
      <c r="J83" s="829">
        <v>15.99</v>
      </c>
      <c r="K83" s="829">
        <v>16.017113000000002</v>
      </c>
      <c r="L83" s="829">
        <v>20.174012000000005</v>
      </c>
      <c r="M83" s="829">
        <v>17.215536800000002</v>
      </c>
      <c r="N83" s="829">
        <v>18.436000000000003</v>
      </c>
      <c r="O83" s="829">
        <v>20.112000000000002</v>
      </c>
      <c r="P83" s="825">
        <v>23.003100000000003</v>
      </c>
      <c r="Q83" s="825">
        <v>15.084000000000003</v>
      </c>
      <c r="R83" s="826">
        <v>21.294</v>
      </c>
      <c r="S83" s="826">
        <v>20.614800000000002</v>
      </c>
      <c r="T83" s="826">
        <v>15.084000000000003</v>
      </c>
      <c r="U83" s="826"/>
      <c r="V83" s="827"/>
    </row>
    <row r="84" spans="1:22" s="831" customFormat="1" ht="23.25" customHeight="1" thickBot="1">
      <c r="A84" s="830" t="s">
        <v>559</v>
      </c>
      <c r="B84" s="832">
        <f t="shared" ref="B84:U84" si="4">+AVERAGE(B72:B83)</f>
        <v>6.3648095238095239</v>
      </c>
      <c r="C84" s="832">
        <f t="shared" si="4"/>
        <v>6.5568571428571429</v>
      </c>
      <c r="D84" s="832">
        <f t="shared" si="4"/>
        <v>7.4380952380952365</v>
      </c>
      <c r="E84" s="832">
        <f t="shared" si="4"/>
        <v>10.102978571428572</v>
      </c>
      <c r="F84" s="832">
        <f t="shared" si="4"/>
        <v>9.3250529666666662</v>
      </c>
      <c r="G84" s="832">
        <f t="shared" si="4"/>
        <v>7.5762444722222213</v>
      </c>
      <c r="H84" s="832">
        <f t="shared" si="4"/>
        <v>8.5182141333333359</v>
      </c>
      <c r="I84" s="832">
        <f t="shared" si="4"/>
        <v>11.008520050000001</v>
      </c>
      <c r="J84" s="833">
        <f t="shared" si="4"/>
        <v>12.636581133333337</v>
      </c>
      <c r="K84" s="833">
        <f t="shared" si="4"/>
        <v>15.400002816666669</v>
      </c>
      <c r="L84" s="833">
        <f t="shared" si="4"/>
        <v>17.022950433333335</v>
      </c>
      <c r="M84" s="833">
        <f t="shared" si="4"/>
        <v>20.589171166666667</v>
      </c>
      <c r="N84" s="833">
        <f t="shared" si="4"/>
        <v>15.874708866666667</v>
      </c>
      <c r="O84" s="833">
        <f t="shared" si="4"/>
        <v>18.65946666666667</v>
      </c>
      <c r="P84" s="833">
        <f t="shared" si="4"/>
        <v>21.909724999999998</v>
      </c>
      <c r="Q84" s="833">
        <f t="shared" si="4"/>
        <v>16.455144664574817</v>
      </c>
      <c r="R84" s="833">
        <f t="shared" si="4"/>
        <v>19.306175</v>
      </c>
      <c r="S84" s="833">
        <f t="shared" si="4"/>
        <v>23.121816666666671</v>
      </c>
      <c r="T84" s="833">
        <f t="shared" si="4"/>
        <v>14.214575000000004</v>
      </c>
      <c r="U84" s="833">
        <f t="shared" si="4"/>
        <v>15.867529779863673</v>
      </c>
      <c r="V84" s="804"/>
    </row>
  </sheetData>
  <mergeCells count="4">
    <mergeCell ref="A8:U8"/>
    <mergeCell ref="A10:U10"/>
    <mergeCell ref="A29:U29"/>
    <mergeCell ref="A48:U48"/>
  </mergeCells>
  <printOptions horizontalCentered="1"/>
  <pageMargins left="0.94488188976377963" right="0.78740157480314965" top="1.0236220472440944" bottom="0.47244094488188981" header="0" footer="0"/>
  <pageSetup paperSize="5" scale="55" fitToHeight="2" orientation="landscape" r:id="rId1"/>
  <headerFooter alignWithMargins="0"/>
  <rowBreaks count="1" manualBreakCount="1">
    <brk id="67" max="29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7"/>
  <dimension ref="A1:R2246"/>
  <sheetViews>
    <sheetView view="pageBreakPreview" topLeftCell="A4" zoomScale="70" zoomScaleNormal="75" zoomScaleSheetLayoutView="70" workbookViewId="0">
      <pane ySplit="6" topLeftCell="A10" activePane="bottomLeft" state="frozen"/>
      <selection activeCell="AH87" sqref="AH87"/>
      <selection pane="bottomLeft" activeCell="A114" sqref="A114"/>
    </sheetView>
  </sheetViews>
  <sheetFormatPr baseColWidth="10" defaultColWidth="11.42578125" defaultRowHeight="12.75"/>
  <cols>
    <col min="1" max="1" width="43.5703125" customWidth="1"/>
    <col min="2" max="2" width="9.140625" customWidth="1"/>
    <col min="3" max="3" width="8.85546875" customWidth="1"/>
    <col min="4" max="4" width="9.85546875" bestFit="1" customWidth="1"/>
    <col min="5" max="5" width="10.5703125" customWidth="1"/>
    <col min="6" max="6" width="10" customWidth="1"/>
    <col min="7" max="7" width="10.7109375" customWidth="1"/>
    <col min="8" max="8" width="14.28515625" customWidth="1"/>
    <col min="9" max="9" width="2.140625" customWidth="1"/>
    <col min="10" max="10" width="14" style="327" bestFit="1" customWidth="1"/>
  </cols>
  <sheetData>
    <row r="1" spans="1:16">
      <c r="A1" s="323" t="s">
        <v>168</v>
      </c>
      <c r="B1" s="138"/>
      <c r="C1" s="138"/>
      <c r="D1" s="138"/>
      <c r="E1" s="138"/>
      <c r="F1" s="138"/>
      <c r="G1" s="138"/>
      <c r="H1" s="138"/>
      <c r="I1" s="138"/>
      <c r="J1" s="324"/>
    </row>
    <row r="2" spans="1:16">
      <c r="A2" s="323" t="s">
        <v>169</v>
      </c>
      <c r="B2" s="138"/>
      <c r="C2" s="138"/>
      <c r="D2" s="138"/>
      <c r="E2" s="138"/>
      <c r="F2" s="138"/>
      <c r="G2" s="138"/>
      <c r="H2" s="138"/>
      <c r="I2" s="138"/>
      <c r="J2" s="324"/>
    </row>
    <row r="3" spans="1:16">
      <c r="A3" s="323" t="s">
        <v>170</v>
      </c>
      <c r="B3" s="138"/>
      <c r="C3" s="138"/>
      <c r="D3" s="138"/>
      <c r="E3" s="138"/>
      <c r="F3" s="138"/>
      <c r="G3" s="138"/>
      <c r="H3" s="138"/>
      <c r="I3" s="138"/>
      <c r="J3" s="324"/>
    </row>
    <row r="4" spans="1:16" ht="15">
      <c r="A4" s="1823" t="s">
        <v>171</v>
      </c>
      <c r="B4" s="1823"/>
      <c r="C4" s="1823"/>
      <c r="D4" s="1823"/>
      <c r="E4" s="1823"/>
      <c r="F4" s="1823"/>
      <c r="G4" s="1823"/>
      <c r="H4" s="1823"/>
      <c r="I4" s="138"/>
      <c r="J4" s="324"/>
    </row>
    <row r="5" spans="1:16">
      <c r="A5" s="1824" t="s">
        <v>40</v>
      </c>
      <c r="B5" s="1824"/>
      <c r="C5" s="1824"/>
      <c r="D5" s="1824"/>
      <c r="E5" s="1824"/>
      <c r="F5" s="1824"/>
      <c r="G5" s="1824"/>
      <c r="H5" s="1824"/>
      <c r="I5" s="138"/>
      <c r="J5" s="324"/>
    </row>
    <row r="6" spans="1:16" ht="15">
      <c r="A6" s="325"/>
      <c r="B6" s="325"/>
      <c r="C6" s="325"/>
      <c r="D6" s="325"/>
      <c r="E6" s="325"/>
      <c r="F6" s="325"/>
      <c r="G6" s="325"/>
      <c r="H6" s="325"/>
      <c r="I6" s="138"/>
      <c r="J6" s="324"/>
    </row>
    <row r="7" spans="1:16" ht="13.5" thickBot="1">
      <c r="A7" s="326"/>
      <c r="B7" s="138"/>
      <c r="C7" s="138"/>
      <c r="D7" s="138"/>
      <c r="E7" s="138"/>
      <c r="F7" s="138"/>
      <c r="G7" s="138"/>
      <c r="H7" s="138"/>
      <c r="I7" s="138"/>
      <c r="J7" s="324"/>
    </row>
    <row r="8" spans="1:16" ht="13.5" thickBot="1">
      <c r="A8" s="1825">
        <v>41002</v>
      </c>
      <c r="B8" s="1827" t="s">
        <v>172</v>
      </c>
      <c r="C8" s="1828"/>
      <c r="D8" s="1828"/>
      <c r="E8" s="1828"/>
      <c r="F8" s="1828"/>
      <c r="G8" s="1828"/>
      <c r="H8" s="1829"/>
    </row>
    <row r="9" spans="1:16" ht="13.5" thickBot="1">
      <c r="A9" s="1826"/>
      <c r="B9" s="328" t="s">
        <v>173</v>
      </c>
      <c r="C9" s="329" t="s">
        <v>174</v>
      </c>
      <c r="D9" s="328" t="s">
        <v>175</v>
      </c>
      <c r="E9" s="329" t="s">
        <v>176</v>
      </c>
      <c r="F9" s="328" t="s">
        <v>177</v>
      </c>
      <c r="G9" s="329" t="s">
        <v>178</v>
      </c>
      <c r="H9" s="328" t="s">
        <v>179</v>
      </c>
    </row>
    <row r="10" spans="1:16" ht="16.5" thickBot="1">
      <c r="A10" s="330" t="s">
        <v>148</v>
      </c>
      <c r="B10" s="331"/>
      <c r="C10" s="331"/>
      <c r="D10" s="331"/>
      <c r="E10" s="331"/>
      <c r="F10" s="331"/>
      <c r="G10" s="331"/>
      <c r="H10" s="331"/>
      <c r="K10" s="332"/>
      <c r="L10" s="333" t="s">
        <v>180</v>
      </c>
      <c r="M10" s="334"/>
      <c r="N10" s="335"/>
      <c r="O10" s="334"/>
      <c r="P10" s="336"/>
    </row>
    <row r="11" spans="1:16" ht="13.5" customHeight="1" thickBot="1">
      <c r="A11" s="337" t="s">
        <v>167</v>
      </c>
      <c r="B11" s="1788"/>
      <c r="C11" s="1788"/>
      <c r="D11" s="1788">
        <v>65</v>
      </c>
      <c r="E11" s="1788">
        <v>91</v>
      </c>
      <c r="F11" s="1788"/>
      <c r="G11" s="1788"/>
      <c r="H11" s="1788">
        <v>260</v>
      </c>
      <c r="I11" s="338"/>
      <c r="J11" s="1791" t="s">
        <v>181</v>
      </c>
      <c r="K11" s="22"/>
      <c r="L11" s="333" t="s">
        <v>182</v>
      </c>
      <c r="M11" s="339"/>
      <c r="N11" s="75"/>
      <c r="O11" s="339"/>
      <c r="P11" s="340"/>
    </row>
    <row r="12" spans="1:16" ht="12.75" customHeight="1">
      <c r="A12" s="341" t="s">
        <v>183</v>
      </c>
      <c r="B12" s="1788"/>
      <c r="C12" s="1788"/>
      <c r="D12" s="1788"/>
      <c r="E12" s="1788"/>
      <c r="F12" s="1788"/>
      <c r="G12" s="1788"/>
      <c r="H12" s="1788"/>
      <c r="I12" s="338"/>
      <c r="J12" s="1792"/>
      <c r="K12" s="22"/>
      <c r="L12" s="333" t="s">
        <v>184</v>
      </c>
      <c r="M12" s="339"/>
      <c r="N12" s="75"/>
      <c r="O12" s="339"/>
      <c r="P12" s="340"/>
    </row>
    <row r="13" spans="1:16" ht="12.75" customHeight="1">
      <c r="A13" s="342" t="s">
        <v>185</v>
      </c>
      <c r="B13" s="1794"/>
      <c r="C13" s="1794"/>
      <c r="D13" s="1789"/>
      <c r="E13" s="1789"/>
      <c r="F13" s="1789"/>
      <c r="G13" s="1789"/>
      <c r="H13" s="1789"/>
      <c r="I13" s="338"/>
      <c r="J13" s="1792"/>
      <c r="K13" s="22"/>
      <c r="L13" s="333" t="s">
        <v>186</v>
      </c>
      <c r="M13" s="339"/>
      <c r="N13" s="75"/>
      <c r="O13" s="339"/>
      <c r="P13" s="340"/>
    </row>
    <row r="14" spans="1:16" ht="13.5" customHeight="1" thickBot="1">
      <c r="A14" s="343"/>
      <c r="B14" s="1795"/>
      <c r="C14" s="1795"/>
      <c r="D14" s="1790"/>
      <c r="E14" s="1790"/>
      <c r="F14" s="1790"/>
      <c r="G14" s="1790"/>
      <c r="H14" s="1790"/>
      <c r="I14" s="338"/>
      <c r="J14" s="1793"/>
      <c r="K14" s="22"/>
      <c r="L14" s="333" t="s">
        <v>187</v>
      </c>
      <c r="M14" s="339"/>
      <c r="N14" s="75"/>
      <c r="O14" s="339"/>
      <c r="P14" s="340"/>
    </row>
    <row r="15" spans="1:16" ht="13.5" customHeight="1" thickBot="1">
      <c r="A15" s="344" t="s">
        <v>167</v>
      </c>
      <c r="B15" s="1788"/>
      <c r="C15" s="1788"/>
      <c r="D15" s="1788">
        <v>65</v>
      </c>
      <c r="E15" s="1788">
        <v>91</v>
      </c>
      <c r="F15" s="1788"/>
      <c r="G15" s="1788"/>
      <c r="H15" s="1788">
        <v>260</v>
      </c>
      <c r="I15" s="338"/>
      <c r="J15" s="1791" t="s">
        <v>181</v>
      </c>
      <c r="K15" s="22"/>
      <c r="L15" s="333"/>
      <c r="M15" s="339"/>
      <c r="N15" s="75"/>
      <c r="O15" s="339"/>
      <c r="P15" s="340"/>
    </row>
    <row r="16" spans="1:16" ht="13.5" customHeight="1">
      <c r="A16" s="341" t="s">
        <v>183</v>
      </c>
      <c r="B16" s="1788"/>
      <c r="C16" s="1788"/>
      <c r="D16" s="1788"/>
      <c r="E16" s="1788"/>
      <c r="F16" s="1788"/>
      <c r="G16" s="1788"/>
      <c r="H16" s="1788"/>
      <c r="I16" s="338"/>
      <c r="J16" s="1792"/>
      <c r="K16" s="22"/>
      <c r="L16" s="75"/>
      <c r="M16" s="339"/>
      <c r="N16" s="75"/>
      <c r="O16" s="339"/>
      <c r="P16" s="340"/>
    </row>
    <row r="17" spans="1:16" ht="13.5" customHeight="1">
      <c r="A17" s="342" t="s">
        <v>188</v>
      </c>
      <c r="B17" s="1794"/>
      <c r="C17" s="1794"/>
      <c r="D17" s="1789"/>
      <c r="E17" s="1789"/>
      <c r="F17" s="1789"/>
      <c r="G17" s="1789"/>
      <c r="H17" s="1789"/>
      <c r="I17" s="338"/>
      <c r="J17" s="1792"/>
      <c r="K17" s="22"/>
      <c r="L17" s="75"/>
      <c r="M17" s="339"/>
      <c r="N17" s="75"/>
      <c r="O17" s="339"/>
      <c r="P17" s="340"/>
    </row>
    <row r="18" spans="1:16" ht="13.5" customHeight="1" thickBot="1">
      <c r="A18" s="343" t="s">
        <v>189</v>
      </c>
      <c r="B18" s="1795"/>
      <c r="C18" s="1795"/>
      <c r="D18" s="1790"/>
      <c r="E18" s="1790"/>
      <c r="F18" s="1790"/>
      <c r="G18" s="1790"/>
      <c r="H18" s="1790"/>
      <c r="I18" s="338"/>
      <c r="J18" s="1793"/>
      <c r="K18" s="22"/>
      <c r="L18" s="75"/>
      <c r="M18" s="339"/>
      <c r="N18" s="75"/>
      <c r="O18" s="339"/>
      <c r="P18" s="340"/>
    </row>
    <row r="19" spans="1:16" ht="13.5" customHeight="1" thickBot="1">
      <c r="A19" s="344" t="s">
        <v>167</v>
      </c>
      <c r="B19" s="1788"/>
      <c r="C19" s="1788"/>
      <c r="D19" s="1788">
        <v>65</v>
      </c>
      <c r="E19" s="1788">
        <v>91</v>
      </c>
      <c r="F19" s="1788"/>
      <c r="G19" s="1788"/>
      <c r="H19" s="1788">
        <v>260</v>
      </c>
      <c r="I19" s="338"/>
      <c r="J19" s="1791" t="s">
        <v>181</v>
      </c>
      <c r="K19" s="22"/>
      <c r="L19" s="75"/>
      <c r="M19" s="339"/>
      <c r="N19" s="75"/>
      <c r="O19" s="339"/>
      <c r="P19" s="340"/>
    </row>
    <row r="20" spans="1:16" ht="12.75" customHeight="1">
      <c r="A20" s="341" t="s">
        <v>183</v>
      </c>
      <c r="B20" s="1788"/>
      <c r="C20" s="1788"/>
      <c r="D20" s="1788"/>
      <c r="E20" s="1788"/>
      <c r="F20" s="1788"/>
      <c r="G20" s="1788"/>
      <c r="H20" s="1788"/>
      <c r="I20" s="338"/>
      <c r="J20" s="1792"/>
      <c r="K20" s="22"/>
      <c r="L20" s="75"/>
      <c r="M20" s="339"/>
      <c r="N20" s="75"/>
      <c r="O20" s="339"/>
      <c r="P20" s="340"/>
    </row>
    <row r="21" spans="1:16" ht="12.75" customHeight="1">
      <c r="A21" s="342" t="s">
        <v>190</v>
      </c>
      <c r="B21" s="1794"/>
      <c r="C21" s="1794"/>
      <c r="D21" s="1789"/>
      <c r="E21" s="1789"/>
      <c r="F21" s="1789"/>
      <c r="G21" s="1789"/>
      <c r="H21" s="1789"/>
      <c r="I21" s="338"/>
      <c r="J21" s="1792"/>
      <c r="K21" s="22"/>
      <c r="L21" s="75"/>
      <c r="M21" s="339"/>
      <c r="N21" s="75"/>
      <c r="O21" s="339"/>
      <c r="P21" s="340"/>
    </row>
    <row r="22" spans="1:16" ht="13.5" customHeight="1" thickBot="1">
      <c r="A22" s="343" t="s">
        <v>191</v>
      </c>
      <c r="B22" s="1795"/>
      <c r="C22" s="1795"/>
      <c r="D22" s="1790"/>
      <c r="E22" s="1790"/>
      <c r="F22" s="1790"/>
      <c r="G22" s="1790"/>
      <c r="H22" s="1790"/>
      <c r="I22" s="338"/>
      <c r="J22" s="1793"/>
      <c r="K22" s="22"/>
      <c r="L22" s="75"/>
      <c r="M22" s="339"/>
      <c r="N22" s="75"/>
      <c r="O22" s="339"/>
      <c r="P22" s="340"/>
    </row>
    <row r="23" spans="1:16" ht="13.5" customHeight="1" thickBot="1">
      <c r="A23" s="344" t="s">
        <v>167</v>
      </c>
      <c r="B23" s="1788"/>
      <c r="C23" s="1788"/>
      <c r="D23" s="1788">
        <v>65</v>
      </c>
      <c r="E23" s="1788">
        <v>91</v>
      </c>
      <c r="F23" s="1788"/>
      <c r="G23" s="1788"/>
      <c r="H23" s="1788">
        <v>260</v>
      </c>
      <c r="I23" s="338"/>
      <c r="J23" s="1791" t="s">
        <v>181</v>
      </c>
      <c r="K23" s="22"/>
      <c r="L23" s="75"/>
      <c r="M23" s="339"/>
      <c r="N23" s="75"/>
      <c r="O23" s="339"/>
      <c r="P23" s="340"/>
    </row>
    <row r="24" spans="1:16" ht="12.75" customHeight="1">
      <c r="A24" s="341" t="s">
        <v>183</v>
      </c>
      <c r="B24" s="1788"/>
      <c r="C24" s="1788"/>
      <c r="D24" s="1788"/>
      <c r="E24" s="1788"/>
      <c r="F24" s="1788"/>
      <c r="G24" s="1788"/>
      <c r="H24" s="1788"/>
      <c r="I24" s="338"/>
      <c r="J24" s="1792"/>
      <c r="K24" s="22"/>
      <c r="L24" s="75"/>
      <c r="M24" s="339"/>
      <c r="N24" s="75"/>
      <c r="O24" s="339"/>
      <c r="P24" s="340"/>
    </row>
    <row r="25" spans="1:16" ht="12.75" customHeight="1">
      <c r="A25" s="342" t="s">
        <v>192</v>
      </c>
      <c r="B25" s="1794"/>
      <c r="C25" s="1794"/>
      <c r="D25" s="1789"/>
      <c r="E25" s="1789"/>
      <c r="F25" s="1789"/>
      <c r="G25" s="1789"/>
      <c r="H25" s="1789"/>
      <c r="I25" s="338"/>
      <c r="J25" s="1792"/>
      <c r="K25" s="22"/>
      <c r="L25" s="75"/>
      <c r="M25" s="339"/>
      <c r="N25" s="75"/>
      <c r="O25" s="339"/>
      <c r="P25" s="340"/>
    </row>
    <row r="26" spans="1:16" ht="13.5" customHeight="1" thickBot="1">
      <c r="A26" s="343"/>
      <c r="B26" s="1795"/>
      <c r="C26" s="1795"/>
      <c r="D26" s="1790"/>
      <c r="E26" s="1790"/>
      <c r="F26" s="1790"/>
      <c r="G26" s="1790"/>
      <c r="H26" s="1790"/>
      <c r="I26" s="338"/>
      <c r="J26" s="1793"/>
      <c r="K26" s="22"/>
      <c r="L26" s="75"/>
      <c r="M26" s="339"/>
      <c r="N26" s="75"/>
      <c r="O26" s="339"/>
      <c r="P26" s="340"/>
    </row>
    <row r="27" spans="1:16" ht="13.5" customHeight="1" thickBot="1">
      <c r="A27" s="344" t="s">
        <v>167</v>
      </c>
      <c r="B27" s="1788"/>
      <c r="C27" s="1788"/>
      <c r="D27" s="1788"/>
      <c r="E27" s="1788"/>
      <c r="F27" s="1788"/>
      <c r="G27" s="1788"/>
      <c r="H27" s="1788"/>
      <c r="I27" s="345"/>
      <c r="J27" s="1791" t="s">
        <v>181</v>
      </c>
      <c r="K27" s="22"/>
      <c r="L27" s="75"/>
      <c r="M27" s="339"/>
      <c r="N27" s="75"/>
      <c r="O27" s="339"/>
      <c r="P27" s="340"/>
    </row>
    <row r="28" spans="1:16" ht="13.5" customHeight="1">
      <c r="A28" s="341" t="s">
        <v>183</v>
      </c>
      <c r="B28" s="1788"/>
      <c r="C28" s="1788"/>
      <c r="D28" s="1788"/>
      <c r="E28" s="1788"/>
      <c r="F28" s="1788"/>
      <c r="G28" s="1788"/>
      <c r="H28" s="1788"/>
      <c r="I28" s="345"/>
      <c r="J28" s="1792"/>
      <c r="K28" s="22"/>
      <c r="L28" s="75"/>
      <c r="M28" s="339"/>
      <c r="N28" s="75"/>
      <c r="O28" s="339"/>
      <c r="P28" s="340"/>
    </row>
    <row r="29" spans="1:16" ht="13.5" customHeight="1">
      <c r="A29" s="342" t="s">
        <v>193</v>
      </c>
      <c r="B29" s="1794"/>
      <c r="C29" s="1794"/>
      <c r="D29" s="1789"/>
      <c r="E29" s="1789"/>
      <c r="F29" s="1789"/>
      <c r="G29" s="1789"/>
      <c r="H29" s="1789"/>
      <c r="I29" s="345"/>
      <c r="J29" s="1792"/>
      <c r="K29" s="22"/>
      <c r="L29" s="75"/>
      <c r="M29" s="339"/>
      <c r="N29" s="75"/>
      <c r="O29" s="339"/>
      <c r="P29" s="340"/>
    </row>
    <row r="30" spans="1:16" ht="13.5" customHeight="1" thickBot="1">
      <c r="A30" s="343"/>
      <c r="B30" s="1795"/>
      <c r="C30" s="1795"/>
      <c r="D30" s="1790"/>
      <c r="E30" s="1790"/>
      <c r="F30" s="1790"/>
      <c r="G30" s="1790"/>
      <c r="H30" s="1790"/>
      <c r="I30" s="345"/>
      <c r="J30" s="1793"/>
      <c r="K30" s="22"/>
      <c r="L30" s="75"/>
      <c r="M30" s="339"/>
      <c r="N30" s="75"/>
      <c r="O30" s="339"/>
      <c r="P30" s="340"/>
    </row>
    <row r="31" spans="1:16" ht="13.5" customHeight="1" thickBot="1">
      <c r="A31" s="344" t="s">
        <v>167</v>
      </c>
      <c r="B31" s="1788"/>
      <c r="C31" s="1788"/>
      <c r="D31" s="1788"/>
      <c r="E31" s="1788"/>
      <c r="F31" s="1788"/>
      <c r="G31" s="1788"/>
      <c r="H31" s="1788"/>
      <c r="I31" s="345"/>
      <c r="J31" s="1791" t="s">
        <v>181</v>
      </c>
      <c r="K31" s="22"/>
      <c r="L31" s="75"/>
      <c r="M31" s="339"/>
      <c r="N31" s="75"/>
      <c r="O31" s="339"/>
      <c r="P31" s="340"/>
    </row>
    <row r="32" spans="1:16" ht="13.5" customHeight="1">
      <c r="A32" s="346" t="s">
        <v>183</v>
      </c>
      <c r="B32" s="1788"/>
      <c r="C32" s="1788"/>
      <c r="D32" s="1788"/>
      <c r="E32" s="1788"/>
      <c r="F32" s="1788"/>
      <c r="G32" s="1788"/>
      <c r="H32" s="1788"/>
      <c r="I32" s="345"/>
      <c r="J32" s="1792"/>
      <c r="K32" s="22"/>
      <c r="L32" s="75"/>
      <c r="M32" s="339"/>
      <c r="N32" s="75"/>
      <c r="O32" s="339"/>
      <c r="P32" s="340"/>
    </row>
    <row r="33" spans="1:16" ht="13.5" customHeight="1">
      <c r="A33" s="347" t="s">
        <v>194</v>
      </c>
      <c r="B33" s="1794"/>
      <c r="C33" s="1794"/>
      <c r="D33" s="1789"/>
      <c r="E33" s="1789"/>
      <c r="F33" s="1789"/>
      <c r="G33" s="1789"/>
      <c r="H33" s="1789"/>
      <c r="I33" s="345"/>
      <c r="J33" s="1792"/>
      <c r="K33" s="22"/>
      <c r="L33" s="75"/>
      <c r="M33" s="339"/>
      <c r="N33" s="75"/>
      <c r="O33" s="339"/>
      <c r="P33" s="340"/>
    </row>
    <row r="34" spans="1:16" ht="13.5" customHeight="1" thickBot="1">
      <c r="A34" s="348" t="s">
        <v>195</v>
      </c>
      <c r="B34" s="1795"/>
      <c r="C34" s="1795"/>
      <c r="D34" s="1790"/>
      <c r="E34" s="1790"/>
      <c r="F34" s="1790"/>
      <c r="G34" s="1790"/>
      <c r="H34" s="1790"/>
      <c r="I34" s="345"/>
      <c r="J34" s="1793"/>
      <c r="K34" s="22"/>
      <c r="L34" s="75"/>
      <c r="M34" s="339"/>
      <c r="N34" s="75"/>
      <c r="O34" s="339"/>
      <c r="P34" s="340"/>
    </row>
    <row r="35" spans="1:16" ht="13.5" customHeight="1" thickBot="1">
      <c r="A35" s="344" t="s">
        <v>167</v>
      </c>
      <c r="B35" s="1788"/>
      <c r="C35" s="1788"/>
      <c r="D35" s="1788"/>
      <c r="E35" s="1788"/>
      <c r="F35" s="1788"/>
      <c r="G35" s="1788"/>
      <c r="H35" s="1788"/>
      <c r="I35" s="345"/>
      <c r="J35" s="1791" t="s">
        <v>181</v>
      </c>
      <c r="K35" s="22"/>
      <c r="L35" s="75"/>
      <c r="M35" s="339"/>
      <c r="N35" s="75"/>
      <c r="O35" s="339"/>
      <c r="P35" s="340"/>
    </row>
    <row r="36" spans="1:16" ht="12.75" customHeight="1">
      <c r="A36" s="346" t="s">
        <v>183</v>
      </c>
      <c r="B36" s="1788"/>
      <c r="C36" s="1788"/>
      <c r="D36" s="1788"/>
      <c r="E36" s="1788"/>
      <c r="F36" s="1788"/>
      <c r="G36" s="1788"/>
      <c r="H36" s="1788"/>
      <c r="I36" s="345"/>
      <c r="J36" s="1792"/>
      <c r="K36" s="22"/>
      <c r="L36" s="75"/>
      <c r="M36" s="339"/>
      <c r="N36" s="75"/>
      <c r="O36" s="339"/>
      <c r="P36" s="340"/>
    </row>
    <row r="37" spans="1:16" ht="12.75" customHeight="1" thickBot="1">
      <c r="A37" s="347" t="s">
        <v>196</v>
      </c>
      <c r="B37" s="1794"/>
      <c r="C37" s="1794"/>
      <c r="D37" s="1789"/>
      <c r="E37" s="1789"/>
      <c r="F37" s="1789"/>
      <c r="G37" s="1789"/>
      <c r="H37" s="1789"/>
      <c r="I37" s="345"/>
      <c r="J37" s="1792"/>
      <c r="K37" s="78"/>
      <c r="L37" s="349"/>
      <c r="M37" s="350"/>
      <c r="N37" s="349"/>
      <c r="O37" s="350"/>
      <c r="P37" s="351"/>
    </row>
    <row r="38" spans="1:16" ht="13.5" customHeight="1" thickBot="1">
      <c r="A38" s="348" t="s">
        <v>197</v>
      </c>
      <c r="B38" s="1795"/>
      <c r="C38" s="1795"/>
      <c r="D38" s="1790"/>
      <c r="E38" s="1790"/>
      <c r="F38" s="1790"/>
      <c r="G38" s="1790"/>
      <c r="H38" s="1790"/>
      <c r="I38" s="345"/>
      <c r="J38" s="1813"/>
    </row>
    <row r="39" spans="1:16" ht="13.5" customHeight="1" thickBot="1">
      <c r="A39" s="352" t="s">
        <v>167</v>
      </c>
      <c r="B39" s="1788"/>
      <c r="C39" s="1788"/>
      <c r="D39" s="1788"/>
      <c r="E39" s="1788"/>
      <c r="F39" s="1788"/>
      <c r="G39" s="1788"/>
      <c r="H39" s="1788"/>
      <c r="I39" s="345"/>
      <c r="J39" s="1811" t="s">
        <v>198</v>
      </c>
    </row>
    <row r="40" spans="1:16" ht="13.5" customHeight="1">
      <c r="A40" s="353" t="s">
        <v>183</v>
      </c>
      <c r="B40" s="1788"/>
      <c r="C40" s="1788"/>
      <c r="D40" s="1788"/>
      <c r="E40" s="1788"/>
      <c r="F40" s="1788"/>
      <c r="G40" s="1788"/>
      <c r="H40" s="1788"/>
      <c r="I40" s="345"/>
      <c r="J40" s="1812"/>
    </row>
    <row r="41" spans="1:16" ht="13.5" customHeight="1">
      <c r="A41" s="354" t="s">
        <v>199</v>
      </c>
      <c r="B41" s="1794"/>
      <c r="C41" s="1794"/>
      <c r="D41" s="1789"/>
      <c r="E41" s="1789"/>
      <c r="F41" s="1789"/>
      <c r="G41" s="1789"/>
      <c r="H41" s="1789"/>
      <c r="I41" s="345"/>
      <c r="J41" s="1812"/>
    </row>
    <row r="42" spans="1:16" ht="13.5" customHeight="1" thickBot="1">
      <c r="A42" s="343"/>
      <c r="B42" s="1795"/>
      <c r="C42" s="1795"/>
      <c r="D42" s="1790"/>
      <c r="E42" s="1790"/>
      <c r="F42" s="1790"/>
      <c r="G42" s="1790"/>
      <c r="H42" s="1790"/>
      <c r="I42" s="345"/>
      <c r="J42" s="1813"/>
    </row>
    <row r="43" spans="1:16" ht="13.5" customHeight="1" thickBot="1">
      <c r="A43" s="352" t="s">
        <v>167</v>
      </c>
      <c r="B43" s="1788"/>
      <c r="C43" s="1788"/>
      <c r="D43" s="1788"/>
      <c r="E43" s="1788"/>
      <c r="F43" s="1788"/>
      <c r="G43" s="1788"/>
      <c r="H43" s="1788"/>
      <c r="I43" s="345"/>
      <c r="J43" s="1811" t="s">
        <v>198</v>
      </c>
    </row>
    <row r="44" spans="1:16" ht="12.75" customHeight="1">
      <c r="A44" s="353" t="s">
        <v>183</v>
      </c>
      <c r="B44" s="1788"/>
      <c r="C44" s="1788"/>
      <c r="D44" s="1788"/>
      <c r="E44" s="1788"/>
      <c r="F44" s="1788"/>
      <c r="G44" s="1788"/>
      <c r="H44" s="1788"/>
      <c r="I44" s="345"/>
      <c r="J44" s="1812"/>
    </row>
    <row r="45" spans="1:16" ht="12.75" customHeight="1">
      <c r="A45" s="354" t="s">
        <v>200</v>
      </c>
      <c r="B45" s="1794"/>
      <c r="C45" s="1794"/>
      <c r="D45" s="1789"/>
      <c r="E45" s="1789"/>
      <c r="F45" s="1789"/>
      <c r="G45" s="1789"/>
      <c r="H45" s="1789"/>
      <c r="I45" s="345"/>
      <c r="J45" s="1812"/>
    </row>
    <row r="46" spans="1:16" ht="13.5" customHeight="1" thickBot="1">
      <c r="A46" s="343" t="s">
        <v>201</v>
      </c>
      <c r="B46" s="1795"/>
      <c r="C46" s="1795"/>
      <c r="D46" s="1790"/>
      <c r="E46" s="1790"/>
      <c r="F46" s="1790"/>
      <c r="G46" s="1790"/>
      <c r="H46" s="1790"/>
      <c r="I46" s="345"/>
      <c r="J46" s="1813"/>
    </row>
    <row r="47" spans="1:16" ht="13.5" customHeight="1" thickBot="1">
      <c r="A47" s="344" t="s">
        <v>167</v>
      </c>
      <c r="B47" s="1788"/>
      <c r="C47" s="1788"/>
      <c r="D47" s="1788"/>
      <c r="E47" s="1788"/>
      <c r="F47" s="1788"/>
      <c r="G47" s="1788"/>
      <c r="H47" s="1788"/>
      <c r="I47" s="345"/>
      <c r="J47" s="1811" t="s">
        <v>198</v>
      </c>
    </row>
    <row r="48" spans="1:16" ht="12.75" customHeight="1">
      <c r="A48" s="355" t="s">
        <v>183</v>
      </c>
      <c r="B48" s="1788"/>
      <c r="C48" s="1788"/>
      <c r="D48" s="1788"/>
      <c r="E48" s="1788"/>
      <c r="F48" s="1788"/>
      <c r="G48" s="1788"/>
      <c r="H48" s="1788"/>
      <c r="I48" s="345"/>
      <c r="J48" s="1812"/>
    </row>
    <row r="49" spans="1:10" ht="12.75" customHeight="1">
      <c r="A49" s="11" t="s">
        <v>202</v>
      </c>
      <c r="B49" s="1794"/>
      <c r="C49" s="1794"/>
      <c r="D49" s="1789"/>
      <c r="E49" s="1789"/>
      <c r="F49" s="1789"/>
      <c r="G49" s="1789"/>
      <c r="H49" s="1789"/>
      <c r="I49" s="345"/>
      <c r="J49" s="1812"/>
    </row>
    <row r="50" spans="1:10" ht="13.5" customHeight="1" thickBot="1">
      <c r="A50" s="356"/>
      <c r="B50" s="1795"/>
      <c r="C50" s="1795"/>
      <c r="D50" s="1790"/>
      <c r="E50" s="1790"/>
      <c r="F50" s="1790"/>
      <c r="G50" s="1790"/>
      <c r="H50" s="1790"/>
      <c r="I50" s="345"/>
      <c r="J50" s="1813"/>
    </row>
    <row r="51" spans="1:10" ht="13.5" customHeight="1" thickBot="1">
      <c r="A51" s="344" t="s">
        <v>167</v>
      </c>
      <c r="B51" s="1788"/>
      <c r="C51" s="1788"/>
      <c r="D51" s="1788"/>
      <c r="E51" s="1788"/>
      <c r="F51" s="1788"/>
      <c r="G51" s="1788"/>
      <c r="H51" s="1788"/>
      <c r="I51" s="345"/>
      <c r="J51" s="1811" t="s">
        <v>198</v>
      </c>
    </row>
    <row r="52" spans="1:10" ht="13.5" customHeight="1">
      <c r="A52" s="355" t="s">
        <v>183</v>
      </c>
      <c r="B52" s="1788"/>
      <c r="C52" s="1788"/>
      <c r="D52" s="1788"/>
      <c r="E52" s="1788"/>
      <c r="F52" s="1788"/>
      <c r="G52" s="1788"/>
      <c r="H52" s="1788"/>
      <c r="I52" s="345"/>
      <c r="J52" s="1812"/>
    </row>
    <row r="53" spans="1:10" ht="13.5" customHeight="1">
      <c r="A53" s="11" t="s">
        <v>203</v>
      </c>
      <c r="B53" s="1794"/>
      <c r="C53" s="1794"/>
      <c r="D53" s="1789"/>
      <c r="E53" s="1789"/>
      <c r="F53" s="1789"/>
      <c r="G53" s="1789"/>
      <c r="H53" s="1789"/>
      <c r="I53" s="345"/>
      <c r="J53" s="1812"/>
    </row>
    <row r="54" spans="1:10" ht="13.5" customHeight="1" thickBot="1">
      <c r="A54" s="356"/>
      <c r="B54" s="1795"/>
      <c r="C54" s="1795"/>
      <c r="D54" s="1790"/>
      <c r="E54" s="1790"/>
      <c r="F54" s="1790"/>
      <c r="G54" s="1790"/>
      <c r="H54" s="1790"/>
      <c r="I54" s="345"/>
      <c r="J54" s="1813"/>
    </row>
    <row r="55" spans="1:10" ht="13.5" customHeight="1" thickBot="1">
      <c r="A55" s="337" t="s">
        <v>167</v>
      </c>
      <c r="B55" s="1788"/>
      <c r="C55" s="1788"/>
      <c r="D55" s="1788"/>
      <c r="E55" s="1788"/>
      <c r="F55" s="1788"/>
      <c r="G55" s="1788"/>
      <c r="H55" s="1788"/>
      <c r="I55" s="345"/>
      <c r="J55" s="1811" t="s">
        <v>198</v>
      </c>
    </row>
    <row r="56" spans="1:10" ht="12.75" customHeight="1">
      <c r="A56" s="357" t="s">
        <v>183</v>
      </c>
      <c r="B56" s="1788"/>
      <c r="C56" s="1788"/>
      <c r="D56" s="1788"/>
      <c r="E56" s="1788"/>
      <c r="F56" s="1788"/>
      <c r="G56" s="1788"/>
      <c r="H56" s="1788"/>
      <c r="I56" s="345"/>
      <c r="J56" s="1812"/>
    </row>
    <row r="57" spans="1:10" ht="12.75" customHeight="1">
      <c r="A57" s="358" t="s">
        <v>204</v>
      </c>
      <c r="B57" s="1794"/>
      <c r="C57" s="1794"/>
      <c r="D57" s="1789"/>
      <c r="E57" s="1789"/>
      <c r="F57" s="1789"/>
      <c r="G57" s="1789"/>
      <c r="H57" s="1789"/>
      <c r="I57" s="345"/>
      <c r="J57" s="1812"/>
    </row>
    <row r="58" spans="1:10" ht="13.5" customHeight="1" thickBot="1">
      <c r="A58" s="359"/>
      <c r="B58" s="1795"/>
      <c r="C58" s="1795"/>
      <c r="D58" s="1790"/>
      <c r="E58" s="1790"/>
      <c r="F58" s="1790"/>
      <c r="G58" s="1790"/>
      <c r="H58" s="1790"/>
      <c r="I58" s="345"/>
      <c r="J58" s="1813"/>
    </row>
    <row r="59" spans="1:10" ht="13.5" customHeight="1" thickBot="1">
      <c r="A59" s="360" t="s">
        <v>167</v>
      </c>
      <c r="B59" s="1788"/>
      <c r="C59" s="1788"/>
      <c r="D59" s="1788"/>
      <c r="E59" s="1788"/>
      <c r="F59" s="1788"/>
      <c r="G59" s="1788"/>
      <c r="H59" s="1788"/>
      <c r="I59" s="345"/>
      <c r="J59" s="1811" t="s">
        <v>181</v>
      </c>
    </row>
    <row r="60" spans="1:10" ht="13.5" customHeight="1">
      <c r="A60" s="361" t="s">
        <v>183</v>
      </c>
      <c r="B60" s="1788"/>
      <c r="C60" s="1788"/>
      <c r="D60" s="1788"/>
      <c r="E60" s="1788"/>
      <c r="F60" s="1788"/>
      <c r="G60" s="1788"/>
      <c r="H60" s="1788"/>
      <c r="I60" s="345"/>
      <c r="J60" s="1812"/>
    </row>
    <row r="61" spans="1:10" ht="13.5" customHeight="1">
      <c r="A61" s="362" t="s">
        <v>205</v>
      </c>
      <c r="B61" s="1794"/>
      <c r="C61" s="1794"/>
      <c r="D61" s="1789"/>
      <c r="E61" s="1789"/>
      <c r="F61" s="1789"/>
      <c r="G61" s="1789"/>
      <c r="H61" s="1789"/>
      <c r="I61" s="345"/>
      <c r="J61" s="1812"/>
    </row>
    <row r="62" spans="1:10" ht="13.5" customHeight="1" thickBot="1">
      <c r="A62" s="363"/>
      <c r="B62" s="1795"/>
      <c r="C62" s="1795"/>
      <c r="D62" s="1790"/>
      <c r="E62" s="1790"/>
      <c r="F62" s="1790"/>
      <c r="G62" s="1790"/>
      <c r="H62" s="1790"/>
      <c r="I62" s="345"/>
      <c r="J62" s="1813"/>
    </row>
    <row r="63" spans="1:10" ht="12.75" customHeight="1" thickBot="1">
      <c r="A63" s="360" t="s">
        <v>167</v>
      </c>
      <c r="B63" s="1788"/>
      <c r="C63" s="1788"/>
      <c r="D63" s="1788"/>
      <c r="E63" s="1788"/>
      <c r="F63" s="1788"/>
      <c r="G63" s="1788"/>
      <c r="H63" s="1788"/>
      <c r="I63" s="345"/>
      <c r="J63" s="1811" t="s">
        <v>181</v>
      </c>
    </row>
    <row r="64" spans="1:10" ht="12.75" customHeight="1">
      <c r="A64" s="361" t="s">
        <v>183</v>
      </c>
      <c r="B64" s="1788"/>
      <c r="C64" s="1788"/>
      <c r="D64" s="1788"/>
      <c r="E64" s="1788"/>
      <c r="F64" s="1788"/>
      <c r="G64" s="1788"/>
      <c r="H64" s="1788"/>
      <c r="I64" s="345"/>
      <c r="J64" s="1812"/>
    </row>
    <row r="65" spans="1:10" ht="13.5" customHeight="1">
      <c r="A65" s="362" t="s">
        <v>206</v>
      </c>
      <c r="B65" s="1794"/>
      <c r="C65" s="1794"/>
      <c r="D65" s="1789"/>
      <c r="E65" s="1789"/>
      <c r="F65" s="1789"/>
      <c r="G65" s="1789"/>
      <c r="H65" s="1789"/>
      <c r="I65" s="345"/>
      <c r="J65" s="1812"/>
    </row>
    <row r="66" spans="1:10" ht="13.5" customHeight="1" thickBot="1">
      <c r="A66" s="364" t="s">
        <v>207</v>
      </c>
      <c r="B66" s="1795"/>
      <c r="C66" s="1795"/>
      <c r="D66" s="1790"/>
      <c r="E66" s="1790"/>
      <c r="F66" s="1790"/>
      <c r="G66" s="1790"/>
      <c r="H66" s="1790"/>
      <c r="I66" s="345"/>
      <c r="J66" s="1813"/>
    </row>
    <row r="67" spans="1:10" ht="12.75" customHeight="1" thickBot="1">
      <c r="A67" s="360" t="s">
        <v>167</v>
      </c>
      <c r="B67" s="1788"/>
      <c r="C67" s="1788"/>
      <c r="D67" s="1788"/>
      <c r="E67" s="1788"/>
      <c r="F67" s="1788"/>
      <c r="G67" s="1788"/>
      <c r="H67" s="1788"/>
      <c r="I67" s="345"/>
      <c r="J67" s="1811" t="s">
        <v>181</v>
      </c>
    </row>
    <row r="68" spans="1:10" ht="12.75" customHeight="1">
      <c r="A68" s="361" t="s">
        <v>183</v>
      </c>
      <c r="B68" s="1788"/>
      <c r="C68" s="1788"/>
      <c r="D68" s="1788"/>
      <c r="E68" s="1788"/>
      <c r="F68" s="1788"/>
      <c r="G68" s="1788"/>
      <c r="H68" s="1788"/>
      <c r="I68" s="345"/>
      <c r="J68" s="1812"/>
    </row>
    <row r="69" spans="1:10" ht="12.75" customHeight="1">
      <c r="A69" s="354" t="s">
        <v>208</v>
      </c>
      <c r="B69" s="1794"/>
      <c r="C69" s="1794"/>
      <c r="D69" s="1789"/>
      <c r="E69" s="1789"/>
      <c r="F69" s="1789"/>
      <c r="G69" s="1789"/>
      <c r="H69" s="1789"/>
      <c r="I69" s="345"/>
      <c r="J69" s="1812"/>
    </row>
    <row r="70" spans="1:10" ht="13.5" customHeight="1" thickBot="1">
      <c r="A70" s="343" t="s">
        <v>209</v>
      </c>
      <c r="B70" s="1795"/>
      <c r="C70" s="1795"/>
      <c r="D70" s="1790"/>
      <c r="E70" s="1790"/>
      <c r="F70" s="1790"/>
      <c r="G70" s="1790"/>
      <c r="H70" s="1790"/>
      <c r="I70" s="345"/>
      <c r="J70" s="1813"/>
    </row>
    <row r="71" spans="1:10" ht="12.75" customHeight="1" thickBot="1">
      <c r="A71" s="360" t="s">
        <v>167</v>
      </c>
      <c r="B71" s="1788"/>
      <c r="C71" s="1788"/>
      <c r="D71" s="1788"/>
      <c r="E71" s="1788"/>
      <c r="F71" s="1788"/>
      <c r="G71" s="1788"/>
      <c r="H71" s="1788"/>
      <c r="I71" s="345"/>
      <c r="J71" s="1811" t="s">
        <v>181</v>
      </c>
    </row>
    <row r="72" spans="1:10" ht="12.75" customHeight="1">
      <c r="A72" s="361" t="s">
        <v>183</v>
      </c>
      <c r="B72" s="1788"/>
      <c r="C72" s="1788"/>
      <c r="D72" s="1788"/>
      <c r="E72" s="1788"/>
      <c r="F72" s="1788"/>
      <c r="G72" s="1788"/>
      <c r="H72" s="1788"/>
      <c r="I72" s="345"/>
      <c r="J72" s="1812"/>
    </row>
    <row r="73" spans="1:10" ht="12.75" customHeight="1">
      <c r="A73" s="354" t="s">
        <v>210</v>
      </c>
      <c r="B73" s="1794"/>
      <c r="C73" s="1794"/>
      <c r="D73" s="1789"/>
      <c r="E73" s="1789"/>
      <c r="F73" s="1789"/>
      <c r="G73" s="1789"/>
      <c r="H73" s="1789"/>
      <c r="I73" s="345"/>
      <c r="J73" s="1812"/>
    </row>
    <row r="74" spans="1:10" ht="13.5" customHeight="1" thickBot="1">
      <c r="A74" s="343" t="s">
        <v>211</v>
      </c>
      <c r="B74" s="1795"/>
      <c r="C74" s="1795"/>
      <c r="D74" s="1790"/>
      <c r="E74" s="1790"/>
      <c r="F74" s="1790"/>
      <c r="G74" s="1790"/>
      <c r="H74" s="1790"/>
      <c r="I74" s="345"/>
      <c r="J74" s="1813"/>
    </row>
    <row r="75" spans="1:10" ht="13.5" customHeight="1" thickBot="1">
      <c r="A75" s="360" t="s">
        <v>167</v>
      </c>
      <c r="B75" s="1788"/>
      <c r="C75" s="1788"/>
      <c r="D75" s="1788"/>
      <c r="E75" s="1788"/>
      <c r="F75" s="1788"/>
      <c r="G75" s="1788"/>
      <c r="H75" s="1788"/>
      <c r="I75" s="345"/>
      <c r="J75" s="1811" t="s">
        <v>181</v>
      </c>
    </row>
    <row r="76" spans="1:10" ht="13.5" customHeight="1">
      <c r="A76" s="361" t="s">
        <v>183</v>
      </c>
      <c r="B76" s="1788"/>
      <c r="C76" s="1788"/>
      <c r="D76" s="1788"/>
      <c r="E76" s="1788"/>
      <c r="F76" s="1788"/>
      <c r="G76" s="1788"/>
      <c r="H76" s="1788"/>
      <c r="I76" s="345"/>
      <c r="J76" s="1812"/>
    </row>
    <row r="77" spans="1:10" ht="13.5" customHeight="1">
      <c r="A77" s="354" t="s">
        <v>212</v>
      </c>
      <c r="B77" s="1794"/>
      <c r="C77" s="1794"/>
      <c r="D77" s="1789"/>
      <c r="E77" s="1789"/>
      <c r="F77" s="1789"/>
      <c r="G77" s="1789"/>
      <c r="H77" s="1789"/>
      <c r="I77" s="345"/>
      <c r="J77" s="1812"/>
    </row>
    <row r="78" spans="1:10" ht="13.5" customHeight="1" thickBot="1">
      <c r="A78" s="343" t="s">
        <v>213</v>
      </c>
      <c r="B78" s="1795"/>
      <c r="C78" s="1795"/>
      <c r="D78" s="1790"/>
      <c r="E78" s="1790"/>
      <c r="F78" s="1790"/>
      <c r="G78" s="1790"/>
      <c r="H78" s="1790"/>
      <c r="I78" s="345"/>
      <c r="J78" s="1813"/>
    </row>
    <row r="79" spans="1:10" ht="13.5" customHeight="1" thickBot="1">
      <c r="A79" s="344" t="s">
        <v>167</v>
      </c>
      <c r="B79" s="1788"/>
      <c r="C79" s="1788"/>
      <c r="D79" s="1788"/>
      <c r="E79" s="1788"/>
      <c r="F79" s="1788"/>
      <c r="G79" s="1788"/>
      <c r="H79" s="1788"/>
      <c r="I79" s="345"/>
      <c r="J79" s="1811" t="s">
        <v>214</v>
      </c>
    </row>
    <row r="80" spans="1:10" ht="12.75" customHeight="1">
      <c r="A80" s="361" t="s">
        <v>215</v>
      </c>
      <c r="B80" s="1788"/>
      <c r="C80" s="1788"/>
      <c r="D80" s="1788"/>
      <c r="E80" s="1788"/>
      <c r="F80" s="1788"/>
      <c r="G80" s="1788"/>
      <c r="H80" s="1788"/>
      <c r="I80" s="345"/>
      <c r="J80" s="1812"/>
    </row>
    <row r="81" spans="1:10" ht="12.75" customHeight="1">
      <c r="A81" s="362" t="s">
        <v>216</v>
      </c>
      <c r="B81" s="1794"/>
      <c r="C81" s="1794"/>
      <c r="D81" s="1789"/>
      <c r="E81" s="1789"/>
      <c r="F81" s="1789"/>
      <c r="G81" s="1789"/>
      <c r="H81" s="1789"/>
      <c r="I81" s="345"/>
      <c r="J81" s="1812"/>
    </row>
    <row r="82" spans="1:10" ht="13.5" customHeight="1" thickBot="1">
      <c r="A82" s="356" t="s">
        <v>217</v>
      </c>
      <c r="B82" s="1795"/>
      <c r="C82" s="1795"/>
      <c r="D82" s="1790"/>
      <c r="E82" s="1790"/>
      <c r="F82" s="1790"/>
      <c r="G82" s="1790"/>
      <c r="H82" s="1790"/>
      <c r="I82" s="345"/>
      <c r="J82" s="1813"/>
    </row>
    <row r="83" spans="1:10" ht="13.5" customHeight="1" thickBot="1">
      <c r="A83" s="337" t="s">
        <v>167</v>
      </c>
      <c r="B83" s="1788"/>
      <c r="C83" s="1788"/>
      <c r="D83" s="1788"/>
      <c r="E83" s="1788"/>
      <c r="F83" s="1788"/>
      <c r="G83" s="1788"/>
      <c r="H83" s="1788"/>
      <c r="I83" s="345"/>
      <c r="J83" s="1811" t="s">
        <v>218</v>
      </c>
    </row>
    <row r="84" spans="1:10" ht="12.75" customHeight="1">
      <c r="A84" s="365" t="s">
        <v>219</v>
      </c>
      <c r="B84" s="1788"/>
      <c r="C84" s="1788"/>
      <c r="D84" s="1788"/>
      <c r="E84" s="1788"/>
      <c r="F84" s="1788"/>
      <c r="G84" s="1788"/>
      <c r="H84" s="1788"/>
      <c r="I84" s="345"/>
      <c r="J84" s="1812"/>
    </row>
    <row r="85" spans="1:10" ht="12.75" customHeight="1">
      <c r="A85" s="362" t="s">
        <v>220</v>
      </c>
      <c r="B85" s="1794"/>
      <c r="C85" s="1794"/>
      <c r="D85" s="1789"/>
      <c r="E85" s="1789"/>
      <c r="F85" s="1789"/>
      <c r="G85" s="1789"/>
      <c r="H85" s="1789"/>
      <c r="I85" s="345"/>
      <c r="J85" s="1812"/>
    </row>
    <row r="86" spans="1:10" ht="13.5" customHeight="1" thickBot="1">
      <c r="A86" s="362" t="s">
        <v>221</v>
      </c>
      <c r="B86" s="1795"/>
      <c r="C86" s="1795"/>
      <c r="D86" s="1790"/>
      <c r="E86" s="1790"/>
      <c r="F86" s="1790"/>
      <c r="G86" s="1790"/>
      <c r="H86" s="1790"/>
      <c r="I86" s="345"/>
      <c r="J86" s="1813"/>
    </row>
    <row r="87" spans="1:10" ht="13.5" customHeight="1" thickBot="1">
      <c r="A87" s="360" t="s">
        <v>167</v>
      </c>
      <c r="B87" s="1788"/>
      <c r="C87" s="1788"/>
      <c r="D87" s="1788"/>
      <c r="E87" s="1788"/>
      <c r="F87" s="1788"/>
      <c r="G87" s="1788"/>
      <c r="H87" s="1788"/>
      <c r="I87" s="345"/>
      <c r="J87" s="1811" t="s">
        <v>198</v>
      </c>
    </row>
    <row r="88" spans="1:10" ht="12.75" customHeight="1">
      <c r="A88" s="361" t="s">
        <v>222</v>
      </c>
      <c r="B88" s="1788"/>
      <c r="C88" s="1788"/>
      <c r="D88" s="1788"/>
      <c r="E88" s="1788"/>
      <c r="F88" s="1788"/>
      <c r="G88" s="1788"/>
      <c r="H88" s="1788"/>
      <c r="I88" s="345"/>
      <c r="J88" s="1812"/>
    </row>
    <row r="89" spans="1:10" ht="12.75" customHeight="1">
      <c r="A89" s="362" t="s">
        <v>223</v>
      </c>
      <c r="B89" s="1794"/>
      <c r="C89" s="1794"/>
      <c r="D89" s="1789"/>
      <c r="E89" s="1789"/>
      <c r="F89" s="1789"/>
      <c r="G89" s="1789"/>
      <c r="H89" s="1789"/>
      <c r="I89" s="345"/>
      <c r="J89" s="1812"/>
    </row>
    <row r="90" spans="1:10" ht="13.5" customHeight="1" thickBot="1">
      <c r="A90" s="364" t="s">
        <v>224</v>
      </c>
      <c r="B90" s="1795"/>
      <c r="C90" s="1795"/>
      <c r="D90" s="1790"/>
      <c r="E90" s="1790"/>
      <c r="F90" s="1790"/>
      <c r="G90" s="1790"/>
      <c r="H90" s="1790"/>
      <c r="I90" s="345"/>
      <c r="J90" s="1813"/>
    </row>
    <row r="91" spans="1:10" ht="13.5" customHeight="1" thickBot="1">
      <c r="A91" s="366" t="s">
        <v>167</v>
      </c>
      <c r="B91" s="1788"/>
      <c r="C91" s="1788"/>
      <c r="D91" s="1788"/>
      <c r="E91" s="1788"/>
      <c r="F91" s="1788"/>
      <c r="G91" s="1788"/>
      <c r="H91" s="1788"/>
      <c r="I91" s="345"/>
      <c r="J91" s="1811" t="s">
        <v>198</v>
      </c>
    </row>
    <row r="92" spans="1:10" ht="12.75" customHeight="1">
      <c r="A92" s="355" t="s">
        <v>225</v>
      </c>
      <c r="B92" s="1788"/>
      <c r="C92" s="1788"/>
      <c r="D92" s="1788"/>
      <c r="E92" s="1788"/>
      <c r="F92" s="1788"/>
      <c r="G92" s="1788"/>
      <c r="H92" s="1788"/>
      <c r="I92" s="345"/>
      <c r="J92" s="1812"/>
    </row>
    <row r="93" spans="1:10" ht="12.75" customHeight="1">
      <c r="A93" s="354" t="s">
        <v>226</v>
      </c>
      <c r="B93" s="1794"/>
      <c r="C93" s="1794"/>
      <c r="D93" s="1789"/>
      <c r="E93" s="1789"/>
      <c r="F93" s="1789"/>
      <c r="G93" s="1789"/>
      <c r="H93" s="1789"/>
      <c r="I93" s="345"/>
      <c r="J93" s="1812"/>
    </row>
    <row r="94" spans="1:10" ht="13.5" customHeight="1" thickBot="1">
      <c r="A94" s="343" t="s">
        <v>227</v>
      </c>
      <c r="B94" s="1795"/>
      <c r="C94" s="1795"/>
      <c r="D94" s="1790"/>
      <c r="E94" s="1790"/>
      <c r="F94" s="1790"/>
      <c r="G94" s="1790"/>
      <c r="H94" s="1790"/>
      <c r="I94" s="345"/>
      <c r="J94" s="1813"/>
    </row>
    <row r="95" spans="1:10" ht="13.5" customHeight="1" thickBot="1">
      <c r="A95" s="344" t="s">
        <v>167</v>
      </c>
      <c r="B95" s="1796"/>
      <c r="C95" s="1796"/>
      <c r="D95" s="1788"/>
      <c r="E95" s="1788"/>
      <c r="F95" s="1788"/>
      <c r="G95" s="1788"/>
      <c r="H95" s="1788"/>
      <c r="I95" s="345"/>
      <c r="J95" s="1811" t="s">
        <v>228</v>
      </c>
    </row>
    <row r="96" spans="1:10" ht="12.75" customHeight="1">
      <c r="A96" s="341" t="s">
        <v>229</v>
      </c>
      <c r="B96" s="1788"/>
      <c r="C96" s="1788"/>
      <c r="D96" s="1788"/>
      <c r="E96" s="1788"/>
      <c r="F96" s="1788"/>
      <c r="G96" s="1788"/>
      <c r="H96" s="1788"/>
      <c r="I96" s="345"/>
      <c r="J96" s="1812"/>
    </row>
    <row r="97" spans="1:10" ht="12.75" customHeight="1">
      <c r="A97" s="367" t="s">
        <v>230</v>
      </c>
      <c r="B97" s="1794"/>
      <c r="C97" s="1789"/>
      <c r="D97" s="1789"/>
      <c r="E97" s="1789"/>
      <c r="F97" s="1789"/>
      <c r="G97" s="1789"/>
      <c r="H97" s="1789"/>
      <c r="I97" s="345"/>
      <c r="J97" s="1812"/>
    </row>
    <row r="98" spans="1:10" ht="13.5" customHeight="1" thickBot="1">
      <c r="A98" s="368" t="s">
        <v>231</v>
      </c>
      <c r="B98" s="1795"/>
      <c r="C98" s="1790"/>
      <c r="D98" s="1790"/>
      <c r="E98" s="1790"/>
      <c r="F98" s="1790"/>
      <c r="G98" s="1790"/>
      <c r="H98" s="1790"/>
      <c r="I98" s="345"/>
      <c r="J98" s="1813"/>
    </row>
    <row r="99" spans="1:10" ht="13.5" customHeight="1" thickBot="1">
      <c r="A99" s="344" t="s">
        <v>167</v>
      </c>
      <c r="B99" s="1796"/>
      <c r="C99" s="1796"/>
      <c r="D99" s="1788"/>
      <c r="E99" s="1788"/>
      <c r="F99" s="1788"/>
      <c r="G99" s="1788"/>
      <c r="H99" s="1788"/>
      <c r="I99" s="345"/>
      <c r="J99" s="1811" t="s">
        <v>228</v>
      </c>
    </row>
    <row r="100" spans="1:10" ht="12.75" customHeight="1">
      <c r="A100" s="341" t="s">
        <v>183</v>
      </c>
      <c r="B100" s="1788"/>
      <c r="C100" s="1788"/>
      <c r="D100" s="1788"/>
      <c r="E100" s="1788"/>
      <c r="F100" s="1788"/>
      <c r="G100" s="1788"/>
      <c r="H100" s="1788"/>
      <c r="I100" s="345"/>
      <c r="J100" s="1812"/>
    </row>
    <row r="101" spans="1:10" ht="12.75" customHeight="1">
      <c r="A101" s="367" t="s">
        <v>232</v>
      </c>
      <c r="B101" s="1794"/>
      <c r="C101" s="1789"/>
      <c r="D101" s="1789"/>
      <c r="E101" s="1789"/>
      <c r="F101" s="1789"/>
      <c r="G101" s="1789"/>
      <c r="H101" s="1789"/>
      <c r="I101" s="345"/>
      <c r="J101" s="1812"/>
    </row>
    <row r="102" spans="1:10" ht="13.5" customHeight="1" thickBot="1">
      <c r="A102" s="368" t="s">
        <v>233</v>
      </c>
      <c r="B102" s="1795"/>
      <c r="C102" s="1790"/>
      <c r="D102" s="1790"/>
      <c r="E102" s="1790"/>
      <c r="F102" s="1790"/>
      <c r="G102" s="1790"/>
      <c r="H102" s="1790"/>
      <c r="I102" s="345"/>
      <c r="J102" s="1813"/>
    </row>
    <row r="103" spans="1:10" ht="13.5" customHeight="1" thickBot="1">
      <c r="A103" s="337" t="s">
        <v>167</v>
      </c>
      <c r="B103" s="1796"/>
      <c r="C103" s="1796"/>
      <c r="D103" s="1788"/>
      <c r="E103" s="1788"/>
      <c r="F103" s="1788"/>
      <c r="G103" s="1788"/>
      <c r="H103" s="1788"/>
      <c r="I103" s="345"/>
      <c r="J103" s="1811" t="s">
        <v>228</v>
      </c>
    </row>
    <row r="104" spans="1:10" ht="13.5" customHeight="1">
      <c r="A104" s="365" t="s">
        <v>183</v>
      </c>
      <c r="B104" s="1788"/>
      <c r="C104" s="1788"/>
      <c r="D104" s="1788"/>
      <c r="E104" s="1788"/>
      <c r="F104" s="1788"/>
      <c r="G104" s="1788"/>
      <c r="H104" s="1788"/>
      <c r="I104" s="345"/>
      <c r="J104" s="1812"/>
    </row>
    <row r="105" spans="1:10" ht="13.5" customHeight="1">
      <c r="A105" s="369" t="s">
        <v>234</v>
      </c>
      <c r="B105" s="1794"/>
      <c r="C105" s="1789"/>
      <c r="D105" s="1789"/>
      <c r="E105" s="1789"/>
      <c r="F105" s="1789"/>
      <c r="G105" s="1789"/>
      <c r="H105" s="1789"/>
      <c r="I105" s="345"/>
      <c r="J105" s="1812"/>
    </row>
    <row r="106" spans="1:10" ht="13.5" customHeight="1" thickBot="1">
      <c r="A106" s="369" t="s">
        <v>235</v>
      </c>
      <c r="B106" s="1795"/>
      <c r="C106" s="1790"/>
      <c r="D106" s="1790"/>
      <c r="E106" s="1790"/>
      <c r="F106" s="1790"/>
      <c r="G106" s="1790"/>
      <c r="H106" s="1790"/>
      <c r="I106" s="345"/>
      <c r="J106" s="1813"/>
    </row>
    <row r="107" spans="1:10" ht="13.5" customHeight="1" thickBot="1">
      <c r="A107" s="337" t="s">
        <v>167</v>
      </c>
      <c r="B107" s="1796"/>
      <c r="C107" s="1796"/>
      <c r="D107" s="1788"/>
      <c r="E107" s="1788"/>
      <c r="F107" s="1788"/>
      <c r="G107" s="1788"/>
      <c r="H107" s="1788"/>
      <c r="I107" s="345"/>
      <c r="J107" s="1811" t="s">
        <v>181</v>
      </c>
    </row>
    <row r="108" spans="1:10" ht="12.75" customHeight="1">
      <c r="A108" s="365" t="s">
        <v>183</v>
      </c>
      <c r="B108" s="1788"/>
      <c r="C108" s="1788"/>
      <c r="D108" s="1788"/>
      <c r="E108" s="1788"/>
      <c r="F108" s="1788"/>
      <c r="G108" s="1788"/>
      <c r="H108" s="1788"/>
      <c r="I108" s="345"/>
      <c r="J108" s="1812"/>
    </row>
    <row r="109" spans="1:10" ht="12.75" customHeight="1">
      <c r="A109" s="369" t="s">
        <v>236</v>
      </c>
      <c r="B109" s="1794"/>
      <c r="C109" s="1789"/>
      <c r="D109" s="1789"/>
      <c r="E109" s="1789"/>
      <c r="F109" s="1789"/>
      <c r="G109" s="1789"/>
      <c r="H109" s="1789"/>
      <c r="I109" s="345"/>
      <c r="J109" s="1812"/>
    </row>
    <row r="110" spans="1:10" ht="13.5" customHeight="1" thickBot="1">
      <c r="A110" s="370" t="s">
        <v>237</v>
      </c>
      <c r="B110" s="1795"/>
      <c r="C110" s="1790"/>
      <c r="D110" s="1790"/>
      <c r="E110" s="1790"/>
      <c r="F110" s="1790"/>
      <c r="G110" s="1790"/>
      <c r="H110" s="1790"/>
      <c r="I110" s="345"/>
      <c r="J110" s="1813"/>
    </row>
    <row r="111" spans="1:10" ht="13.5" customHeight="1" thickBot="1">
      <c r="A111" s="344" t="s">
        <v>167</v>
      </c>
      <c r="B111" s="1788"/>
      <c r="C111" s="1788"/>
      <c r="D111" s="1788"/>
      <c r="E111" s="1788"/>
      <c r="F111" s="1788"/>
      <c r="G111" s="1788"/>
      <c r="H111" s="1788"/>
      <c r="I111" s="345"/>
      <c r="J111" s="1811" t="s">
        <v>228</v>
      </c>
    </row>
    <row r="112" spans="1:10" ht="12.75" customHeight="1">
      <c r="A112" s="355" t="s">
        <v>238</v>
      </c>
      <c r="B112" s="1788"/>
      <c r="C112" s="1788"/>
      <c r="D112" s="1788"/>
      <c r="E112" s="1788"/>
      <c r="F112" s="1788"/>
      <c r="G112" s="1788"/>
      <c r="H112" s="1788"/>
      <c r="I112" s="345"/>
      <c r="J112" s="1812"/>
    </row>
    <row r="113" spans="1:11" ht="12.75" customHeight="1">
      <c r="A113" s="371" t="s">
        <v>239</v>
      </c>
      <c r="B113" s="1794"/>
      <c r="C113" s="1794"/>
      <c r="D113" s="1789"/>
      <c r="E113" s="1789"/>
      <c r="F113" s="1789"/>
      <c r="G113" s="1789"/>
      <c r="H113" s="1789"/>
      <c r="I113" s="345"/>
      <c r="J113" s="1812"/>
    </row>
    <row r="114" spans="1:11" ht="13.5" customHeight="1" thickBot="1">
      <c r="A114" s="372" t="s">
        <v>240</v>
      </c>
      <c r="B114" s="1795"/>
      <c r="C114" s="1795"/>
      <c r="D114" s="1790"/>
      <c r="E114" s="1790"/>
      <c r="F114" s="1790"/>
      <c r="G114" s="1790"/>
      <c r="H114" s="1790"/>
      <c r="I114" s="345"/>
      <c r="J114" s="1813"/>
    </row>
    <row r="115" spans="1:11" ht="13.5" customHeight="1" thickBot="1">
      <c r="A115" s="344" t="s">
        <v>167</v>
      </c>
      <c r="B115" s="1788"/>
      <c r="C115" s="1788"/>
      <c r="D115" s="1788"/>
      <c r="E115" s="1788"/>
      <c r="F115" s="1788"/>
      <c r="G115" s="1788"/>
      <c r="H115" s="1788"/>
      <c r="I115" s="345"/>
      <c r="J115" s="1811" t="s">
        <v>228</v>
      </c>
    </row>
    <row r="116" spans="1:11" ht="12.75" customHeight="1">
      <c r="A116" s="341" t="s">
        <v>241</v>
      </c>
      <c r="B116" s="1788"/>
      <c r="C116" s="1788"/>
      <c r="D116" s="1788"/>
      <c r="E116" s="1788"/>
      <c r="F116" s="1788"/>
      <c r="G116" s="1788"/>
      <c r="H116" s="1788"/>
      <c r="I116" s="345"/>
      <c r="J116" s="1812"/>
    </row>
    <row r="117" spans="1:11" ht="12.75" customHeight="1">
      <c r="A117" s="356" t="s">
        <v>242</v>
      </c>
      <c r="B117" s="1794"/>
      <c r="C117" s="1794"/>
      <c r="D117" s="1789"/>
      <c r="E117" s="1789"/>
      <c r="F117" s="1789"/>
      <c r="G117" s="1789"/>
      <c r="H117" s="1789"/>
      <c r="I117" s="345"/>
      <c r="J117" s="1812"/>
    </row>
    <row r="118" spans="1:11" ht="13.5" customHeight="1" thickBot="1">
      <c r="A118" s="343" t="s">
        <v>243</v>
      </c>
      <c r="B118" s="1795"/>
      <c r="C118" s="1795"/>
      <c r="D118" s="1790"/>
      <c r="E118" s="1790"/>
      <c r="F118" s="1790"/>
      <c r="G118" s="1790"/>
      <c r="H118" s="1790"/>
      <c r="I118" s="345"/>
      <c r="J118" s="1813"/>
    </row>
    <row r="119" spans="1:11" ht="13.5" customHeight="1" thickBot="1">
      <c r="A119" s="344" t="s">
        <v>167</v>
      </c>
      <c r="B119" s="1788"/>
      <c r="C119" s="1788"/>
      <c r="D119" s="1788"/>
      <c r="E119" s="1788"/>
      <c r="F119" s="1788"/>
      <c r="G119" s="1788"/>
      <c r="H119" s="1788"/>
      <c r="I119" s="345"/>
      <c r="J119" s="1811" t="s">
        <v>228</v>
      </c>
    </row>
    <row r="120" spans="1:11" ht="12.75" customHeight="1">
      <c r="A120" s="341" t="s">
        <v>244</v>
      </c>
      <c r="B120" s="1788"/>
      <c r="C120" s="1788"/>
      <c r="D120" s="1788"/>
      <c r="E120" s="1788"/>
      <c r="F120" s="1788"/>
      <c r="G120" s="1788"/>
      <c r="H120" s="1788"/>
      <c r="I120" s="345"/>
      <c r="J120" s="1812"/>
    </row>
    <row r="121" spans="1:11" ht="12.75" customHeight="1">
      <c r="A121" s="356" t="s">
        <v>245</v>
      </c>
      <c r="B121" s="1794"/>
      <c r="C121" s="1794"/>
      <c r="D121" s="1789"/>
      <c r="E121" s="1789"/>
      <c r="F121" s="1789"/>
      <c r="G121" s="1789"/>
      <c r="H121" s="1789"/>
      <c r="I121" s="345"/>
      <c r="J121" s="1812"/>
    </row>
    <row r="122" spans="1:11" ht="13.5" customHeight="1" thickBot="1">
      <c r="A122" s="356" t="s">
        <v>246</v>
      </c>
      <c r="B122" s="1795"/>
      <c r="C122" s="1795"/>
      <c r="D122" s="1790"/>
      <c r="E122" s="1790"/>
      <c r="F122" s="1790"/>
      <c r="G122" s="1790"/>
      <c r="H122" s="1790"/>
      <c r="I122" s="345"/>
      <c r="J122" s="1813"/>
    </row>
    <row r="123" spans="1:11" ht="13.5" customHeight="1" thickBot="1">
      <c r="A123" s="344" t="s">
        <v>167</v>
      </c>
      <c r="B123" s="1788"/>
      <c r="C123" s="1788"/>
      <c r="D123" s="1788"/>
      <c r="E123" s="1788"/>
      <c r="F123" s="1788"/>
      <c r="G123" s="1788"/>
      <c r="H123" s="1788"/>
      <c r="I123" s="345"/>
      <c r="J123" s="1811" t="s">
        <v>228</v>
      </c>
      <c r="K123" s="373"/>
    </row>
    <row r="124" spans="1:11" ht="13.5" customHeight="1">
      <c r="A124" s="341" t="s">
        <v>183</v>
      </c>
      <c r="B124" s="1788"/>
      <c r="C124" s="1788"/>
      <c r="D124" s="1788"/>
      <c r="E124" s="1788"/>
      <c r="F124" s="1788"/>
      <c r="G124" s="1788"/>
      <c r="H124" s="1788"/>
      <c r="I124" s="345"/>
      <c r="J124" s="1812"/>
      <c r="K124" s="373"/>
    </row>
    <row r="125" spans="1:11" ht="13.5" customHeight="1">
      <c r="A125" s="356" t="s">
        <v>247</v>
      </c>
      <c r="B125" s="1794"/>
      <c r="C125" s="1794"/>
      <c r="D125" s="1789"/>
      <c r="E125" s="1789"/>
      <c r="F125" s="1789"/>
      <c r="G125" s="1789"/>
      <c r="H125" s="1789"/>
      <c r="I125" s="345"/>
      <c r="J125" s="1812"/>
      <c r="K125" s="373"/>
    </row>
    <row r="126" spans="1:11" ht="13.5" customHeight="1" thickBot="1">
      <c r="A126" s="356"/>
      <c r="B126" s="1795"/>
      <c r="C126" s="1795"/>
      <c r="D126" s="1790"/>
      <c r="E126" s="1790"/>
      <c r="F126" s="1790"/>
      <c r="G126" s="1790"/>
      <c r="H126" s="1790"/>
      <c r="I126" s="345"/>
      <c r="J126" s="1813"/>
      <c r="K126" s="373"/>
    </row>
    <row r="127" spans="1:11" ht="13.5" customHeight="1" thickBot="1">
      <c r="A127" s="344" t="s">
        <v>167</v>
      </c>
      <c r="B127" s="1788"/>
      <c r="C127" s="1788"/>
      <c r="D127" s="1788"/>
      <c r="E127" s="1788"/>
      <c r="F127" s="1788"/>
      <c r="G127" s="1788"/>
      <c r="H127" s="1788"/>
      <c r="I127" s="345"/>
      <c r="J127" s="1811" t="s">
        <v>181</v>
      </c>
      <c r="K127" s="373"/>
    </row>
    <row r="128" spans="1:11" ht="13.5" customHeight="1">
      <c r="A128" s="341" t="s">
        <v>183</v>
      </c>
      <c r="B128" s="1788"/>
      <c r="C128" s="1788"/>
      <c r="D128" s="1788"/>
      <c r="E128" s="1788"/>
      <c r="F128" s="1788"/>
      <c r="G128" s="1788"/>
      <c r="H128" s="1788"/>
      <c r="I128" s="345"/>
      <c r="J128" s="1812"/>
      <c r="K128" s="373"/>
    </row>
    <row r="129" spans="1:11" ht="13.5" customHeight="1">
      <c r="A129" s="356" t="s">
        <v>248</v>
      </c>
      <c r="B129" s="1794"/>
      <c r="C129" s="1794"/>
      <c r="D129" s="1789"/>
      <c r="E129" s="1789"/>
      <c r="F129" s="1789"/>
      <c r="G129" s="1789"/>
      <c r="H129" s="1789"/>
      <c r="I129" s="345"/>
      <c r="J129" s="1812"/>
      <c r="K129" s="373"/>
    </row>
    <row r="130" spans="1:11" ht="13.5" customHeight="1" thickBot="1">
      <c r="A130" s="348" t="s">
        <v>249</v>
      </c>
      <c r="B130" s="1795"/>
      <c r="C130" s="1795"/>
      <c r="D130" s="1790"/>
      <c r="E130" s="1790"/>
      <c r="F130" s="1790"/>
      <c r="G130" s="1790"/>
      <c r="H130" s="1790"/>
      <c r="I130" s="345"/>
      <c r="J130" s="1813"/>
      <c r="K130" s="373"/>
    </row>
    <row r="131" spans="1:11" ht="13.5" customHeight="1" thickBot="1">
      <c r="A131" s="344" t="s">
        <v>167</v>
      </c>
      <c r="B131" s="1788"/>
      <c r="C131" s="1788"/>
      <c r="D131" s="1788"/>
      <c r="E131" s="1788"/>
      <c r="F131" s="1788"/>
      <c r="G131" s="1788"/>
      <c r="H131" s="1788"/>
      <c r="I131" s="345"/>
      <c r="J131" s="1811" t="s">
        <v>198</v>
      </c>
    </row>
    <row r="132" spans="1:11" ht="13.5" customHeight="1">
      <c r="A132" s="361" t="s">
        <v>219</v>
      </c>
      <c r="B132" s="1788"/>
      <c r="C132" s="1788"/>
      <c r="D132" s="1788"/>
      <c r="E132" s="1788"/>
      <c r="F132" s="1788"/>
      <c r="G132" s="1788"/>
      <c r="H132" s="1788"/>
      <c r="I132" s="345"/>
      <c r="J132" s="1812"/>
    </row>
    <row r="133" spans="1:11" ht="13.5" customHeight="1">
      <c r="A133" s="362" t="s">
        <v>250</v>
      </c>
      <c r="B133" s="1794"/>
      <c r="C133" s="1794"/>
      <c r="D133" s="1789"/>
      <c r="E133" s="1789"/>
      <c r="F133" s="1789"/>
      <c r="G133" s="1789"/>
      <c r="H133" s="1789"/>
      <c r="I133" s="345"/>
      <c r="J133" s="1812"/>
    </row>
    <row r="134" spans="1:11" ht="13.5" customHeight="1" thickBot="1">
      <c r="A134" s="364" t="s">
        <v>251</v>
      </c>
      <c r="B134" s="1795"/>
      <c r="C134" s="1795"/>
      <c r="D134" s="1790"/>
      <c r="E134" s="1790"/>
      <c r="F134" s="1790"/>
      <c r="G134" s="1790"/>
      <c r="H134" s="1790"/>
      <c r="I134" s="345"/>
      <c r="J134" s="1813"/>
    </row>
    <row r="135" spans="1:11" ht="13.5" customHeight="1" thickBot="1">
      <c r="A135" s="344" t="s">
        <v>167</v>
      </c>
      <c r="B135" s="1788"/>
      <c r="C135" s="1788"/>
      <c r="D135" s="1788"/>
      <c r="E135" s="1788"/>
      <c r="F135" s="1788"/>
      <c r="G135" s="1788"/>
      <c r="H135" s="1788"/>
      <c r="I135" s="345"/>
      <c r="J135" s="1811" t="s">
        <v>198</v>
      </c>
    </row>
    <row r="136" spans="1:11" ht="12.75" customHeight="1">
      <c r="A136" s="361" t="s">
        <v>219</v>
      </c>
      <c r="B136" s="1788"/>
      <c r="C136" s="1788"/>
      <c r="D136" s="1788"/>
      <c r="E136" s="1788"/>
      <c r="F136" s="1788"/>
      <c r="G136" s="1788"/>
      <c r="H136" s="1788"/>
      <c r="I136" s="345"/>
      <c r="J136" s="1812"/>
    </row>
    <row r="137" spans="1:11" ht="12.75" customHeight="1">
      <c r="A137" s="362" t="s">
        <v>252</v>
      </c>
      <c r="B137" s="1794"/>
      <c r="C137" s="1794"/>
      <c r="D137" s="1789"/>
      <c r="E137" s="1789"/>
      <c r="F137" s="1789"/>
      <c r="G137" s="1789"/>
      <c r="H137" s="1789"/>
      <c r="I137" s="345"/>
      <c r="J137" s="1812"/>
    </row>
    <row r="138" spans="1:11" ht="13.5" customHeight="1" thickBot="1">
      <c r="A138" s="364" t="s">
        <v>253</v>
      </c>
      <c r="B138" s="1795"/>
      <c r="C138" s="1795"/>
      <c r="D138" s="1790"/>
      <c r="E138" s="1790"/>
      <c r="F138" s="1790"/>
      <c r="G138" s="1790"/>
      <c r="H138" s="1790"/>
      <c r="I138" s="345"/>
      <c r="J138" s="1813"/>
    </row>
    <row r="139" spans="1:11" ht="13.5" customHeight="1" thickBot="1">
      <c r="A139" s="337" t="s">
        <v>167</v>
      </c>
      <c r="B139" s="1796"/>
      <c r="C139" s="1796"/>
      <c r="D139" s="1788"/>
      <c r="E139" s="1788"/>
      <c r="F139" s="1788"/>
      <c r="G139" s="1788"/>
      <c r="H139" s="1788"/>
      <c r="I139" s="345"/>
      <c r="J139" s="1811" t="s">
        <v>228</v>
      </c>
    </row>
    <row r="140" spans="1:11" ht="12.75" customHeight="1">
      <c r="A140" s="374" t="s">
        <v>183</v>
      </c>
      <c r="B140" s="1788"/>
      <c r="C140" s="1788"/>
      <c r="D140" s="1788"/>
      <c r="E140" s="1788"/>
      <c r="F140" s="1788"/>
      <c r="G140" s="1788"/>
      <c r="H140" s="1788"/>
      <c r="I140" s="345"/>
      <c r="J140" s="1812"/>
    </row>
    <row r="141" spans="1:11" ht="12.75" customHeight="1">
      <c r="A141" s="356" t="s">
        <v>254</v>
      </c>
      <c r="B141" s="1794"/>
      <c r="C141" s="1794"/>
      <c r="D141" s="1789"/>
      <c r="E141" s="1789"/>
      <c r="F141" s="1789"/>
      <c r="G141" s="1789"/>
      <c r="H141" s="1789"/>
      <c r="I141" s="345"/>
      <c r="J141" s="1812"/>
    </row>
    <row r="142" spans="1:11" ht="13.5" customHeight="1" thickBot="1">
      <c r="A142" s="343" t="s">
        <v>255</v>
      </c>
      <c r="B142" s="1795"/>
      <c r="C142" s="1795"/>
      <c r="D142" s="1790"/>
      <c r="E142" s="1790"/>
      <c r="F142" s="1790"/>
      <c r="G142" s="1790"/>
      <c r="H142" s="1790"/>
      <c r="I142" s="345"/>
      <c r="J142" s="1813"/>
    </row>
    <row r="143" spans="1:11" ht="13.5" customHeight="1" thickBot="1">
      <c r="A143" s="337" t="s">
        <v>167</v>
      </c>
      <c r="B143" s="1796"/>
      <c r="C143" s="1796"/>
      <c r="D143" s="1788"/>
      <c r="E143" s="1788"/>
      <c r="F143" s="1788"/>
      <c r="G143" s="1788"/>
      <c r="H143" s="1788"/>
      <c r="I143" s="345"/>
      <c r="J143" s="1811" t="s">
        <v>198</v>
      </c>
    </row>
    <row r="144" spans="1:11" ht="13.5" customHeight="1">
      <c r="A144" s="374" t="s">
        <v>183</v>
      </c>
      <c r="B144" s="1788"/>
      <c r="C144" s="1788"/>
      <c r="D144" s="1788"/>
      <c r="E144" s="1788"/>
      <c r="F144" s="1788"/>
      <c r="G144" s="1788"/>
      <c r="H144" s="1788"/>
      <c r="I144" s="345"/>
      <c r="J144" s="1812"/>
    </row>
    <row r="145" spans="1:10" ht="13.5" customHeight="1">
      <c r="A145" s="354" t="s">
        <v>256</v>
      </c>
      <c r="B145" s="1794"/>
      <c r="C145" s="1794"/>
      <c r="D145" s="1789"/>
      <c r="E145" s="1789"/>
      <c r="F145" s="1789"/>
      <c r="G145" s="1789"/>
      <c r="H145" s="1789"/>
      <c r="I145" s="345"/>
      <c r="J145" s="1812"/>
    </row>
    <row r="146" spans="1:10" ht="13.5" customHeight="1" thickBot="1">
      <c r="A146" s="375" t="s">
        <v>257</v>
      </c>
      <c r="B146" s="1795"/>
      <c r="C146" s="1795"/>
      <c r="D146" s="1790"/>
      <c r="E146" s="1790"/>
      <c r="F146" s="1790"/>
      <c r="G146" s="1790"/>
      <c r="H146" s="1790"/>
      <c r="I146" s="345"/>
      <c r="J146" s="1813"/>
    </row>
    <row r="147" spans="1:10" ht="13.5" customHeight="1" thickBot="1">
      <c r="A147" s="376" t="s">
        <v>167</v>
      </c>
      <c r="B147" s="1814"/>
      <c r="C147" s="1814"/>
      <c r="D147" s="1788"/>
      <c r="E147" s="1788"/>
      <c r="F147" s="1788"/>
      <c r="G147" s="1788"/>
      <c r="H147" s="1788"/>
      <c r="I147" s="338"/>
      <c r="J147" s="1811" t="s">
        <v>181</v>
      </c>
    </row>
    <row r="148" spans="1:10" ht="12.75" customHeight="1">
      <c r="A148" s="377" t="s">
        <v>219</v>
      </c>
      <c r="B148" s="1815"/>
      <c r="C148" s="1815"/>
      <c r="D148" s="1788"/>
      <c r="E148" s="1788"/>
      <c r="F148" s="1788"/>
      <c r="G148" s="1788"/>
      <c r="H148" s="1788"/>
      <c r="I148" s="338"/>
      <c r="J148" s="1812"/>
    </row>
    <row r="149" spans="1:10" ht="12.75" customHeight="1">
      <c r="A149" s="378" t="s">
        <v>258</v>
      </c>
      <c r="B149" s="1816"/>
      <c r="C149" s="1816"/>
      <c r="D149" s="1789"/>
      <c r="E149" s="1789"/>
      <c r="F149" s="1789"/>
      <c r="G149" s="1789"/>
      <c r="H149" s="1789"/>
      <c r="I149" s="338"/>
      <c r="J149" s="1812"/>
    </row>
    <row r="150" spans="1:10" ht="13.5" customHeight="1" thickBot="1">
      <c r="A150" s="379"/>
      <c r="B150" s="1817"/>
      <c r="C150" s="1817"/>
      <c r="D150" s="1790"/>
      <c r="E150" s="1790"/>
      <c r="F150" s="1790"/>
      <c r="G150" s="1790"/>
      <c r="H150" s="1790"/>
      <c r="I150" s="338"/>
      <c r="J150" s="1813"/>
    </row>
    <row r="151" spans="1:10" ht="13.5" customHeight="1" thickBot="1">
      <c r="A151" s="337" t="s">
        <v>167</v>
      </c>
      <c r="B151" s="1796"/>
      <c r="C151" s="1796"/>
      <c r="D151" s="1788"/>
      <c r="E151" s="1788"/>
      <c r="F151" s="1788"/>
      <c r="G151" s="1788"/>
      <c r="H151" s="1788"/>
      <c r="I151" s="338"/>
      <c r="J151" s="1811" t="s">
        <v>228</v>
      </c>
    </row>
    <row r="152" spans="1:10" ht="12.75" customHeight="1">
      <c r="A152" s="374" t="s">
        <v>259</v>
      </c>
      <c r="B152" s="1788"/>
      <c r="C152" s="1788"/>
      <c r="D152" s="1788"/>
      <c r="E152" s="1788"/>
      <c r="F152" s="1788"/>
      <c r="G152" s="1788"/>
      <c r="H152" s="1788"/>
      <c r="I152" s="338"/>
      <c r="J152" s="1812"/>
    </row>
    <row r="153" spans="1:10" ht="12.75" customHeight="1">
      <c r="A153" s="356" t="s">
        <v>260</v>
      </c>
      <c r="B153" s="1794"/>
      <c r="C153" s="1794"/>
      <c r="D153" s="1789"/>
      <c r="E153" s="1789"/>
      <c r="F153" s="1789"/>
      <c r="G153" s="1789"/>
      <c r="H153" s="1789"/>
      <c r="I153" s="338"/>
      <c r="J153" s="1812"/>
    </row>
    <row r="154" spans="1:10" ht="13.5" customHeight="1" thickBot="1">
      <c r="A154" s="343" t="s">
        <v>261</v>
      </c>
      <c r="B154" s="1795"/>
      <c r="C154" s="1795"/>
      <c r="D154" s="1790"/>
      <c r="E154" s="1790"/>
      <c r="F154" s="1790"/>
      <c r="G154" s="1790"/>
      <c r="H154" s="1790"/>
      <c r="I154" s="338"/>
      <c r="J154" s="1813"/>
    </row>
    <row r="155" spans="1:10" ht="13.5" customHeight="1" thickBot="1">
      <c r="A155" s="344" t="s">
        <v>167</v>
      </c>
      <c r="B155" s="1796"/>
      <c r="C155" s="1796"/>
      <c r="D155" s="1788"/>
      <c r="E155" s="1788"/>
      <c r="F155" s="1788"/>
      <c r="G155" s="1788"/>
      <c r="H155" s="1788"/>
      <c r="I155" s="345"/>
      <c r="J155" s="1811" t="s">
        <v>228</v>
      </c>
    </row>
    <row r="156" spans="1:10" ht="13.5" customHeight="1">
      <c r="A156" s="355" t="s">
        <v>219</v>
      </c>
      <c r="B156" s="1788"/>
      <c r="C156" s="1788"/>
      <c r="D156" s="1788"/>
      <c r="E156" s="1788"/>
      <c r="F156" s="1788"/>
      <c r="G156" s="1788"/>
      <c r="H156" s="1788"/>
      <c r="I156" s="345"/>
      <c r="J156" s="1812"/>
    </row>
    <row r="157" spans="1:10" ht="13.5" customHeight="1">
      <c r="A157" s="354" t="s">
        <v>262</v>
      </c>
      <c r="B157" s="1794"/>
      <c r="C157" s="1794"/>
      <c r="D157" s="1789"/>
      <c r="E157" s="1789"/>
      <c r="F157" s="1789"/>
      <c r="G157" s="1789"/>
      <c r="H157" s="1789"/>
      <c r="I157" s="345"/>
      <c r="J157" s="1812"/>
    </row>
    <row r="158" spans="1:10" ht="13.5" customHeight="1" thickBot="1">
      <c r="A158" s="375" t="s">
        <v>263</v>
      </c>
      <c r="B158" s="1795"/>
      <c r="C158" s="1795"/>
      <c r="D158" s="1790"/>
      <c r="E158" s="1790"/>
      <c r="F158" s="1790"/>
      <c r="G158" s="1790"/>
      <c r="H158" s="1790"/>
      <c r="I158" s="345"/>
      <c r="J158" s="1813"/>
    </row>
    <row r="159" spans="1:10" ht="13.5" customHeight="1" thickBot="1">
      <c r="A159" s="380" t="s">
        <v>167</v>
      </c>
      <c r="B159" s="1814"/>
      <c r="C159" s="1814"/>
      <c r="D159" s="1788"/>
      <c r="E159" s="1788"/>
      <c r="F159" s="1788"/>
      <c r="G159" s="1788"/>
      <c r="H159" s="1788"/>
      <c r="I159" s="338"/>
      <c r="J159" s="1811" t="s">
        <v>181</v>
      </c>
    </row>
    <row r="160" spans="1:10" ht="13.5" customHeight="1">
      <c r="A160" s="381" t="s">
        <v>219</v>
      </c>
      <c r="B160" s="1815"/>
      <c r="C160" s="1815"/>
      <c r="D160" s="1788"/>
      <c r="E160" s="1788"/>
      <c r="F160" s="1788"/>
      <c r="G160" s="1788"/>
      <c r="H160" s="1788"/>
      <c r="I160" s="338"/>
      <c r="J160" s="1812"/>
    </row>
    <row r="161" spans="1:10" ht="13.5" customHeight="1">
      <c r="A161" s="382" t="s">
        <v>264</v>
      </c>
      <c r="B161" s="1816"/>
      <c r="C161" s="1816"/>
      <c r="D161" s="1789"/>
      <c r="E161" s="1789"/>
      <c r="F161" s="1789"/>
      <c r="G161" s="1789"/>
      <c r="H161" s="1789"/>
      <c r="I161" s="338"/>
      <c r="J161" s="1812"/>
    </row>
    <row r="162" spans="1:10" ht="13.5" customHeight="1" thickBot="1">
      <c r="A162" s="383" t="s">
        <v>265</v>
      </c>
      <c r="B162" s="1817"/>
      <c r="C162" s="1817"/>
      <c r="D162" s="1790"/>
      <c r="E162" s="1790"/>
      <c r="F162" s="1790"/>
      <c r="G162" s="1790"/>
      <c r="H162" s="1790"/>
      <c r="I162" s="338"/>
      <c r="J162" s="1813"/>
    </row>
    <row r="163" spans="1:10" ht="13.5" customHeight="1" thickBot="1">
      <c r="A163" s="337" t="s">
        <v>167</v>
      </c>
      <c r="B163" s="1796"/>
      <c r="C163" s="1796"/>
      <c r="D163" s="1788"/>
      <c r="E163" s="1788"/>
      <c r="F163" s="1788"/>
      <c r="G163" s="1788"/>
      <c r="H163" s="1788"/>
      <c r="I163" s="338"/>
      <c r="J163" s="1811" t="s">
        <v>181</v>
      </c>
    </row>
    <row r="164" spans="1:10" ht="13.5" customHeight="1">
      <c r="A164" s="374" t="s">
        <v>183</v>
      </c>
      <c r="B164" s="1788"/>
      <c r="C164" s="1788"/>
      <c r="D164" s="1788"/>
      <c r="E164" s="1788"/>
      <c r="F164" s="1788"/>
      <c r="G164" s="1788"/>
      <c r="H164" s="1788"/>
      <c r="I164" s="338"/>
      <c r="J164" s="1812"/>
    </row>
    <row r="165" spans="1:10" ht="13.5" customHeight="1">
      <c r="A165" s="356" t="s">
        <v>266</v>
      </c>
      <c r="B165" s="1794"/>
      <c r="C165" s="1794"/>
      <c r="D165" s="1789"/>
      <c r="E165" s="1789"/>
      <c r="F165" s="1789"/>
      <c r="G165" s="1789"/>
      <c r="H165" s="1789"/>
      <c r="I165" s="338"/>
      <c r="J165" s="1812"/>
    </row>
    <row r="166" spans="1:10" ht="13.5" customHeight="1" thickBot="1">
      <c r="A166" s="343"/>
      <c r="B166" s="1795"/>
      <c r="C166" s="1795"/>
      <c r="D166" s="1790"/>
      <c r="E166" s="1790"/>
      <c r="F166" s="1790"/>
      <c r="G166" s="1790"/>
      <c r="H166" s="1790"/>
      <c r="I166" s="338"/>
      <c r="J166" s="1813"/>
    </row>
    <row r="167" spans="1:10" ht="13.5" customHeight="1" thickBot="1">
      <c r="A167" s="337" t="s">
        <v>167</v>
      </c>
      <c r="B167" s="1796"/>
      <c r="C167" s="1796"/>
      <c r="D167" s="1788"/>
      <c r="E167" s="1788"/>
      <c r="F167" s="1788"/>
      <c r="G167" s="1788"/>
      <c r="H167" s="1788"/>
      <c r="I167" s="345"/>
      <c r="J167" s="1811" t="s">
        <v>228</v>
      </c>
    </row>
    <row r="168" spans="1:10" ht="12.75" customHeight="1">
      <c r="A168" s="374" t="s">
        <v>183</v>
      </c>
      <c r="B168" s="1788"/>
      <c r="C168" s="1788"/>
      <c r="D168" s="1788"/>
      <c r="E168" s="1788"/>
      <c r="F168" s="1788"/>
      <c r="G168" s="1788"/>
      <c r="H168" s="1788"/>
      <c r="I168" s="345"/>
      <c r="J168" s="1812"/>
    </row>
    <row r="169" spans="1:10" ht="12.75" customHeight="1">
      <c r="A169" s="356" t="s">
        <v>267</v>
      </c>
      <c r="B169" s="1794"/>
      <c r="C169" s="1794"/>
      <c r="D169" s="1789"/>
      <c r="E169" s="1789"/>
      <c r="F169" s="1789"/>
      <c r="G169" s="1789"/>
      <c r="H169" s="1789"/>
      <c r="I169" s="345"/>
      <c r="J169" s="1812"/>
    </row>
    <row r="170" spans="1:10" ht="13.5" customHeight="1" thickBot="1">
      <c r="A170" s="343" t="s">
        <v>268</v>
      </c>
      <c r="B170" s="1795"/>
      <c r="C170" s="1795"/>
      <c r="D170" s="1790"/>
      <c r="E170" s="1790"/>
      <c r="F170" s="1790"/>
      <c r="G170" s="1790"/>
      <c r="H170" s="1790"/>
      <c r="I170" s="345"/>
      <c r="J170" s="1813"/>
    </row>
    <row r="171" spans="1:10" ht="13.5" customHeight="1" thickBot="1">
      <c r="A171" s="376" t="s">
        <v>167</v>
      </c>
      <c r="B171" s="1814"/>
      <c r="C171" s="1814"/>
      <c r="D171" s="1788"/>
      <c r="E171" s="1788"/>
      <c r="F171" s="1788"/>
      <c r="G171" s="1788"/>
      <c r="H171" s="1788"/>
      <c r="I171" s="338"/>
      <c r="J171" s="1811" t="s">
        <v>228</v>
      </c>
    </row>
    <row r="172" spans="1:10" ht="12.75" customHeight="1">
      <c r="A172" s="377" t="s">
        <v>183</v>
      </c>
      <c r="B172" s="1815"/>
      <c r="C172" s="1815"/>
      <c r="D172" s="1788"/>
      <c r="E172" s="1788"/>
      <c r="F172" s="1788"/>
      <c r="G172" s="1788"/>
      <c r="H172" s="1788"/>
      <c r="I172" s="338"/>
      <c r="J172" s="1812"/>
    </row>
    <row r="173" spans="1:10" ht="12.75" customHeight="1">
      <c r="A173" s="378" t="s">
        <v>269</v>
      </c>
      <c r="B173" s="1816"/>
      <c r="C173" s="1816"/>
      <c r="D173" s="1789"/>
      <c r="E173" s="1789"/>
      <c r="F173" s="1789"/>
      <c r="G173" s="1789"/>
      <c r="H173" s="1789"/>
      <c r="I173" s="338"/>
      <c r="J173" s="1812"/>
    </row>
    <row r="174" spans="1:10" ht="13.5" customHeight="1" thickBot="1">
      <c r="A174" s="379" t="s">
        <v>270</v>
      </c>
      <c r="B174" s="1817"/>
      <c r="C174" s="1817"/>
      <c r="D174" s="1790"/>
      <c r="E174" s="1790"/>
      <c r="F174" s="1790"/>
      <c r="G174" s="1790"/>
      <c r="H174" s="1790"/>
      <c r="I174" s="338"/>
      <c r="J174" s="1813"/>
    </row>
    <row r="175" spans="1:10" ht="13.5" customHeight="1" thickBot="1">
      <c r="A175" s="376" t="s">
        <v>167</v>
      </c>
      <c r="B175" s="1814"/>
      <c r="C175" s="1814"/>
      <c r="D175" s="1788"/>
      <c r="E175" s="1788"/>
      <c r="F175" s="1788"/>
      <c r="G175" s="1788"/>
      <c r="H175" s="1788"/>
      <c r="I175" s="338"/>
      <c r="J175" s="1811" t="s">
        <v>181</v>
      </c>
    </row>
    <row r="176" spans="1:10" ht="12.75" customHeight="1">
      <c r="A176" s="377" t="s">
        <v>183</v>
      </c>
      <c r="B176" s="1815"/>
      <c r="C176" s="1815"/>
      <c r="D176" s="1788"/>
      <c r="E176" s="1788"/>
      <c r="F176" s="1788"/>
      <c r="G176" s="1788"/>
      <c r="H176" s="1788"/>
      <c r="I176" s="338"/>
      <c r="J176" s="1812"/>
    </row>
    <row r="177" spans="1:10" ht="12.75" customHeight="1">
      <c r="A177" s="378" t="s">
        <v>271</v>
      </c>
      <c r="B177" s="1816"/>
      <c r="C177" s="1816"/>
      <c r="D177" s="1789"/>
      <c r="E177" s="1789"/>
      <c r="F177" s="1789"/>
      <c r="G177" s="1789"/>
      <c r="H177" s="1789"/>
      <c r="I177" s="338"/>
      <c r="J177" s="1812"/>
    </row>
    <row r="178" spans="1:10" ht="13.5" customHeight="1" thickBot="1">
      <c r="A178" s="379" t="s">
        <v>272</v>
      </c>
      <c r="B178" s="1817"/>
      <c r="C178" s="1817"/>
      <c r="D178" s="1790"/>
      <c r="E178" s="1790"/>
      <c r="F178" s="1790"/>
      <c r="G178" s="1790"/>
      <c r="H178" s="1790"/>
      <c r="I178" s="338"/>
      <c r="J178" s="1813"/>
    </row>
    <row r="179" spans="1:10" ht="13.5" customHeight="1" thickBot="1">
      <c r="A179" s="337" t="s">
        <v>167</v>
      </c>
      <c r="B179" s="1796"/>
      <c r="C179" s="1796"/>
      <c r="D179" s="1788"/>
      <c r="E179" s="1788"/>
      <c r="F179" s="1788"/>
      <c r="G179" s="1788"/>
      <c r="H179" s="1788"/>
      <c r="I179" s="345"/>
      <c r="J179" s="1811" t="s">
        <v>181</v>
      </c>
    </row>
    <row r="180" spans="1:10" ht="12.75" customHeight="1">
      <c r="A180" s="374" t="s">
        <v>273</v>
      </c>
      <c r="B180" s="1788"/>
      <c r="C180" s="1788"/>
      <c r="D180" s="1788"/>
      <c r="E180" s="1788"/>
      <c r="F180" s="1788"/>
      <c r="G180" s="1788"/>
      <c r="H180" s="1788"/>
      <c r="I180" s="345"/>
      <c r="J180" s="1812"/>
    </row>
    <row r="181" spans="1:10" ht="12.75" customHeight="1">
      <c r="A181" s="356" t="s">
        <v>274</v>
      </c>
      <c r="B181" s="1794"/>
      <c r="C181" s="1794"/>
      <c r="D181" s="1789"/>
      <c r="E181" s="1789"/>
      <c r="F181" s="1789"/>
      <c r="G181" s="1789"/>
      <c r="H181" s="1789"/>
      <c r="I181" s="345"/>
      <c r="J181" s="1812"/>
    </row>
    <row r="182" spans="1:10" ht="13.5" customHeight="1" thickBot="1">
      <c r="A182" s="343" t="s">
        <v>275</v>
      </c>
      <c r="B182" s="1795"/>
      <c r="C182" s="1795"/>
      <c r="D182" s="1790"/>
      <c r="E182" s="1790"/>
      <c r="F182" s="1790"/>
      <c r="G182" s="1790"/>
      <c r="H182" s="1790"/>
      <c r="I182" s="345"/>
      <c r="J182" s="1813"/>
    </row>
    <row r="183" spans="1:10" s="387" customFormat="1" ht="13.5" thickBot="1">
      <c r="A183" s="384"/>
      <c r="B183" s="385"/>
      <c r="C183" s="385"/>
      <c r="D183" s="385"/>
      <c r="E183" s="385"/>
      <c r="F183" s="385"/>
      <c r="G183" s="385"/>
      <c r="H183" s="385"/>
      <c r="I183" s="345"/>
      <c r="J183" s="386"/>
    </row>
    <row r="184" spans="1:10" ht="13.5" customHeight="1" thickBot="1">
      <c r="A184" s="388" t="s">
        <v>124</v>
      </c>
      <c r="B184" s="1796"/>
      <c r="C184" s="1796">
        <v>47</v>
      </c>
      <c r="D184" s="1788">
        <v>59</v>
      </c>
      <c r="E184" s="1788">
        <v>82.6</v>
      </c>
      <c r="F184" s="1788">
        <v>94.4</v>
      </c>
      <c r="G184" s="1788">
        <v>141.6</v>
      </c>
      <c r="H184" s="1788">
        <v>236</v>
      </c>
      <c r="I184" s="345"/>
      <c r="J184" s="1808" t="s">
        <v>181</v>
      </c>
    </row>
    <row r="185" spans="1:10" ht="13.5" customHeight="1">
      <c r="A185" s="388" t="s">
        <v>276</v>
      </c>
      <c r="B185" s="1788"/>
      <c r="C185" s="1788"/>
      <c r="D185" s="1788"/>
      <c r="E185" s="1788"/>
      <c r="F185" s="1788"/>
      <c r="G185" s="1788"/>
      <c r="H185" s="1788"/>
      <c r="I185" s="345"/>
      <c r="J185" s="1809"/>
    </row>
    <row r="186" spans="1:10" ht="13.5" customHeight="1">
      <c r="A186" s="389" t="s">
        <v>277</v>
      </c>
      <c r="B186" s="1789"/>
      <c r="C186" s="1789"/>
      <c r="D186" s="1789"/>
      <c r="E186" s="1789"/>
      <c r="F186" s="1789"/>
      <c r="G186" s="1789"/>
      <c r="H186" s="1789"/>
      <c r="I186" s="345"/>
      <c r="J186" s="1809"/>
    </row>
    <row r="187" spans="1:10" ht="13.5" customHeight="1" thickBot="1">
      <c r="A187" s="390" t="s">
        <v>278</v>
      </c>
      <c r="B187" s="1790"/>
      <c r="C187" s="1790"/>
      <c r="D187" s="1790"/>
      <c r="E187" s="1790"/>
      <c r="F187" s="1790"/>
      <c r="G187" s="1790"/>
      <c r="H187" s="1790"/>
      <c r="I187" s="345"/>
      <c r="J187" s="1810"/>
    </row>
    <row r="188" spans="1:10" ht="13.5" customHeight="1" thickBot="1">
      <c r="A188" s="391" t="s">
        <v>124</v>
      </c>
      <c r="B188" s="1796"/>
      <c r="C188" s="1796">
        <v>47.2</v>
      </c>
      <c r="D188" s="1788">
        <v>59</v>
      </c>
      <c r="E188" s="1788">
        <v>82.6</v>
      </c>
      <c r="F188" s="1788">
        <v>94.4</v>
      </c>
      <c r="G188" s="1788">
        <v>141.6</v>
      </c>
      <c r="H188" s="1788">
        <v>236</v>
      </c>
      <c r="I188" s="345"/>
      <c r="J188" s="1808" t="s">
        <v>181</v>
      </c>
    </row>
    <row r="189" spans="1:10" ht="12.75" customHeight="1">
      <c r="A189" s="392" t="s">
        <v>279</v>
      </c>
      <c r="B189" s="1788"/>
      <c r="C189" s="1788"/>
      <c r="D189" s="1788"/>
      <c r="E189" s="1788"/>
      <c r="F189" s="1788"/>
      <c r="G189" s="1788"/>
      <c r="H189" s="1788"/>
      <c r="I189" s="345"/>
      <c r="J189" s="1809"/>
    </row>
    <row r="190" spans="1:10" ht="12.75" customHeight="1">
      <c r="A190" s="356" t="s">
        <v>280</v>
      </c>
      <c r="B190" s="1789"/>
      <c r="C190" s="1789"/>
      <c r="D190" s="1789"/>
      <c r="E190" s="1789"/>
      <c r="F190" s="1789"/>
      <c r="G190" s="1789"/>
      <c r="H190" s="1789"/>
      <c r="I190" s="345"/>
      <c r="J190" s="1809"/>
    </row>
    <row r="191" spans="1:10" ht="13.5" customHeight="1" thickBot="1">
      <c r="A191" s="356" t="s">
        <v>281</v>
      </c>
      <c r="B191" s="1790"/>
      <c r="C191" s="1790"/>
      <c r="D191" s="1790"/>
      <c r="E191" s="1790"/>
      <c r="F191" s="1790"/>
      <c r="G191" s="1790"/>
      <c r="H191" s="1790"/>
      <c r="I191" s="345"/>
      <c r="J191" s="1810"/>
    </row>
    <row r="192" spans="1:10" ht="13.5" customHeight="1" thickBot="1">
      <c r="A192" s="391" t="s">
        <v>282</v>
      </c>
      <c r="B192" s="1796"/>
      <c r="C192" s="1796"/>
      <c r="D192" s="1788">
        <v>59</v>
      </c>
      <c r="E192" s="1788">
        <v>82.6</v>
      </c>
      <c r="F192" s="1788">
        <v>94.4</v>
      </c>
      <c r="G192" s="1788">
        <v>141.6</v>
      </c>
      <c r="H192" s="1788">
        <v>236</v>
      </c>
      <c r="I192" s="345"/>
      <c r="J192" s="1808" t="s">
        <v>181</v>
      </c>
    </row>
    <row r="193" spans="1:10" ht="13.5" customHeight="1">
      <c r="A193" s="392" t="s">
        <v>283</v>
      </c>
      <c r="B193" s="1788"/>
      <c r="C193" s="1788"/>
      <c r="D193" s="1788"/>
      <c r="E193" s="1788"/>
      <c r="F193" s="1788"/>
      <c r="G193" s="1788"/>
      <c r="H193" s="1788"/>
      <c r="I193" s="345"/>
      <c r="J193" s="1809"/>
    </row>
    <row r="194" spans="1:10" ht="13.5" customHeight="1">
      <c r="A194" s="354" t="s">
        <v>284</v>
      </c>
      <c r="B194" s="1789"/>
      <c r="C194" s="1789"/>
      <c r="D194" s="1789"/>
      <c r="E194" s="1789"/>
      <c r="F194" s="1789"/>
      <c r="G194" s="1789"/>
      <c r="H194" s="1789"/>
      <c r="I194" s="345"/>
      <c r="J194" s="1809"/>
    </row>
    <row r="195" spans="1:10" ht="13.5" customHeight="1" thickBot="1">
      <c r="A195" s="393" t="s">
        <v>285</v>
      </c>
      <c r="B195" s="1790"/>
      <c r="C195" s="1790"/>
      <c r="D195" s="1790"/>
      <c r="E195" s="1790"/>
      <c r="F195" s="1790"/>
      <c r="G195" s="1790"/>
      <c r="H195" s="1790"/>
      <c r="I195" s="345"/>
      <c r="J195" s="1810"/>
    </row>
    <row r="196" spans="1:10" ht="13.5" customHeight="1" thickBot="1">
      <c r="A196" s="391" t="s">
        <v>124</v>
      </c>
      <c r="B196" s="1796"/>
      <c r="C196" s="1796"/>
      <c r="D196" s="1788">
        <v>59</v>
      </c>
      <c r="E196" s="1788">
        <v>82.6</v>
      </c>
      <c r="F196" s="1788">
        <v>94.4</v>
      </c>
      <c r="G196" s="1788">
        <v>141.6</v>
      </c>
      <c r="H196" s="1788">
        <v>236</v>
      </c>
      <c r="I196" s="345"/>
      <c r="J196" s="1808" t="s">
        <v>181</v>
      </c>
    </row>
    <row r="197" spans="1:10" ht="12.75" customHeight="1">
      <c r="A197" s="392" t="s">
        <v>286</v>
      </c>
      <c r="B197" s="1788"/>
      <c r="C197" s="1788"/>
      <c r="D197" s="1788"/>
      <c r="E197" s="1788"/>
      <c r="F197" s="1788"/>
      <c r="G197" s="1788"/>
      <c r="H197" s="1788"/>
      <c r="I197" s="345"/>
      <c r="J197" s="1809"/>
    </row>
    <row r="198" spans="1:10" ht="12.75" customHeight="1">
      <c r="A198" s="354" t="s">
        <v>287</v>
      </c>
      <c r="B198" s="1789"/>
      <c r="C198" s="1789"/>
      <c r="D198" s="1789"/>
      <c r="E198" s="1789"/>
      <c r="F198" s="1789"/>
      <c r="G198" s="1789"/>
      <c r="H198" s="1789"/>
      <c r="I198" s="345"/>
      <c r="J198" s="1809"/>
    </row>
    <row r="199" spans="1:10" ht="13.5" customHeight="1" thickBot="1">
      <c r="A199" s="393" t="s">
        <v>288</v>
      </c>
      <c r="B199" s="1790"/>
      <c r="C199" s="1790"/>
      <c r="D199" s="1790"/>
      <c r="E199" s="1790"/>
      <c r="F199" s="1790"/>
      <c r="G199" s="1790"/>
      <c r="H199" s="1790"/>
      <c r="I199" s="345"/>
      <c r="J199" s="1810"/>
    </row>
    <row r="200" spans="1:10" ht="13.5" customHeight="1" thickBot="1">
      <c r="A200" s="391" t="s">
        <v>124</v>
      </c>
      <c r="B200" s="1796"/>
      <c r="C200" s="1796"/>
      <c r="D200" s="1788"/>
      <c r="E200" s="1788"/>
      <c r="F200" s="1788"/>
      <c r="G200" s="1788"/>
      <c r="H200" s="1788"/>
      <c r="I200" s="345"/>
      <c r="J200" s="1808" t="s">
        <v>181</v>
      </c>
    </row>
    <row r="201" spans="1:10" ht="12.75" customHeight="1">
      <c r="A201" s="392" t="s">
        <v>289</v>
      </c>
      <c r="B201" s="1788"/>
      <c r="C201" s="1788"/>
      <c r="D201" s="1788"/>
      <c r="E201" s="1788"/>
      <c r="F201" s="1788"/>
      <c r="G201" s="1788"/>
      <c r="H201" s="1788"/>
      <c r="I201" s="345"/>
      <c r="J201" s="1809"/>
    </row>
    <row r="202" spans="1:10" ht="12.75" customHeight="1">
      <c r="A202" s="11" t="s">
        <v>290</v>
      </c>
      <c r="B202" s="1789"/>
      <c r="C202" s="1789"/>
      <c r="D202" s="1789"/>
      <c r="E202" s="1789"/>
      <c r="F202" s="1789"/>
      <c r="G202" s="1789"/>
      <c r="H202" s="1789"/>
      <c r="I202" s="345"/>
      <c r="J202" s="1809"/>
    </row>
    <row r="203" spans="1:10" ht="13.5" customHeight="1" thickBot="1">
      <c r="A203" s="343" t="s">
        <v>291</v>
      </c>
      <c r="B203" s="1790"/>
      <c r="C203" s="1790"/>
      <c r="D203" s="1790"/>
      <c r="E203" s="1790"/>
      <c r="F203" s="1790"/>
      <c r="G203" s="1790"/>
      <c r="H203" s="1790"/>
      <c r="I203" s="345"/>
      <c r="J203" s="1810"/>
    </row>
    <row r="204" spans="1:10" ht="13.5" customHeight="1" thickBot="1">
      <c r="A204" s="391" t="s">
        <v>124</v>
      </c>
      <c r="B204" s="1796"/>
      <c r="C204" s="1796"/>
      <c r="D204" s="1788"/>
      <c r="E204" s="1788"/>
      <c r="F204" s="1788"/>
      <c r="G204" s="1788"/>
      <c r="H204" s="1788"/>
      <c r="I204" s="345"/>
      <c r="J204" s="1808" t="s">
        <v>181</v>
      </c>
    </row>
    <row r="205" spans="1:10" ht="12.75" customHeight="1">
      <c r="A205" s="392" t="s">
        <v>292</v>
      </c>
      <c r="B205" s="1788"/>
      <c r="C205" s="1788"/>
      <c r="D205" s="1788"/>
      <c r="E205" s="1788"/>
      <c r="F205" s="1788"/>
      <c r="G205" s="1788"/>
      <c r="H205" s="1788"/>
      <c r="I205" s="345"/>
      <c r="J205" s="1809"/>
    </row>
    <row r="206" spans="1:10" ht="12.75" customHeight="1">
      <c r="A206" s="354" t="s">
        <v>293</v>
      </c>
      <c r="B206" s="1789"/>
      <c r="C206" s="1789"/>
      <c r="D206" s="1789"/>
      <c r="E206" s="1789"/>
      <c r="F206" s="1789"/>
      <c r="G206" s="1789"/>
      <c r="H206" s="1789"/>
      <c r="I206" s="345"/>
      <c r="J206" s="1809"/>
    </row>
    <row r="207" spans="1:10" ht="13.5" customHeight="1" thickBot="1">
      <c r="A207" s="393" t="s">
        <v>294</v>
      </c>
      <c r="B207" s="1790"/>
      <c r="C207" s="1790"/>
      <c r="D207" s="1790"/>
      <c r="E207" s="1790"/>
      <c r="F207" s="1790"/>
      <c r="G207" s="1790"/>
      <c r="H207" s="1790"/>
      <c r="I207" s="345"/>
      <c r="J207" s="1810"/>
    </row>
    <row r="208" spans="1:10" ht="13.5" customHeight="1" thickBot="1">
      <c r="A208" s="391" t="s">
        <v>124</v>
      </c>
      <c r="B208" s="1796"/>
      <c r="C208" s="1796"/>
      <c r="D208" s="1788"/>
      <c r="E208" s="1788"/>
      <c r="F208" s="1788"/>
      <c r="G208" s="1788"/>
      <c r="H208" s="1788"/>
      <c r="I208" s="345"/>
      <c r="J208" s="1808" t="s">
        <v>181</v>
      </c>
    </row>
    <row r="209" spans="1:10" ht="12.75" customHeight="1">
      <c r="A209" s="392" t="s">
        <v>295</v>
      </c>
      <c r="B209" s="1788"/>
      <c r="C209" s="1788"/>
      <c r="D209" s="1788"/>
      <c r="E209" s="1788"/>
      <c r="F209" s="1788"/>
      <c r="G209" s="1788"/>
      <c r="H209" s="1788"/>
      <c r="I209" s="345"/>
      <c r="J209" s="1809"/>
    </row>
    <row r="210" spans="1:10" ht="12.75" customHeight="1">
      <c r="A210" s="354" t="s">
        <v>296</v>
      </c>
      <c r="B210" s="1789"/>
      <c r="C210" s="1789"/>
      <c r="D210" s="1789"/>
      <c r="E210" s="1789"/>
      <c r="F210" s="1789"/>
      <c r="G210" s="1789"/>
      <c r="H210" s="1789"/>
      <c r="I210" s="345"/>
      <c r="J210" s="1809"/>
    </row>
    <row r="211" spans="1:10" ht="13.5" customHeight="1" thickBot="1">
      <c r="A211" s="393" t="s">
        <v>297</v>
      </c>
      <c r="B211" s="1790"/>
      <c r="C211" s="1790"/>
      <c r="D211" s="1790"/>
      <c r="E211" s="1790"/>
      <c r="F211" s="1790"/>
      <c r="G211" s="1790"/>
      <c r="H211" s="1790"/>
      <c r="I211" s="345"/>
      <c r="J211" s="1810"/>
    </row>
    <row r="212" spans="1:10" ht="13.5" customHeight="1" thickBot="1">
      <c r="A212" s="391" t="s">
        <v>124</v>
      </c>
      <c r="B212" s="1796"/>
      <c r="C212" s="1796"/>
      <c r="D212" s="1788"/>
      <c r="E212" s="1788"/>
      <c r="F212" s="1788"/>
      <c r="G212" s="1788"/>
      <c r="H212" s="1788"/>
      <c r="I212" s="345"/>
      <c r="J212" s="1808" t="s">
        <v>181</v>
      </c>
    </row>
    <row r="213" spans="1:10" ht="12.75" customHeight="1">
      <c r="A213" s="392" t="s">
        <v>298</v>
      </c>
      <c r="B213" s="1788"/>
      <c r="C213" s="1788"/>
      <c r="D213" s="1788"/>
      <c r="E213" s="1788"/>
      <c r="F213" s="1788"/>
      <c r="G213" s="1788"/>
      <c r="H213" s="1788"/>
      <c r="I213" s="345"/>
      <c r="J213" s="1809"/>
    </row>
    <row r="214" spans="1:10" ht="12.75" customHeight="1">
      <c r="A214" s="354" t="s">
        <v>299</v>
      </c>
      <c r="B214" s="1789"/>
      <c r="C214" s="1789"/>
      <c r="D214" s="1789"/>
      <c r="E214" s="1789"/>
      <c r="F214" s="1789"/>
      <c r="G214" s="1789"/>
      <c r="H214" s="1789"/>
      <c r="I214" s="345"/>
      <c r="J214" s="1809"/>
    </row>
    <row r="215" spans="1:10" ht="13.5" customHeight="1" thickBot="1">
      <c r="A215" s="394" t="s">
        <v>300</v>
      </c>
      <c r="B215" s="1790"/>
      <c r="C215" s="1790"/>
      <c r="D215" s="1790"/>
      <c r="E215" s="1790"/>
      <c r="F215" s="1790"/>
      <c r="G215" s="1790"/>
      <c r="H215" s="1790"/>
      <c r="I215" s="345"/>
      <c r="J215" s="1810"/>
    </row>
    <row r="216" spans="1:10" ht="13.5" customHeight="1" thickBot="1">
      <c r="A216" s="391" t="s">
        <v>124</v>
      </c>
      <c r="B216" s="1796"/>
      <c r="C216" s="1796"/>
      <c r="D216" s="1788"/>
      <c r="E216" s="1788"/>
      <c r="F216" s="1788"/>
      <c r="G216" s="1788"/>
      <c r="H216" s="1788"/>
      <c r="I216" s="345"/>
      <c r="J216" s="1808" t="s">
        <v>198</v>
      </c>
    </row>
    <row r="217" spans="1:10" ht="12.75" customHeight="1">
      <c r="A217" s="392" t="s">
        <v>301</v>
      </c>
      <c r="B217" s="1788"/>
      <c r="C217" s="1788"/>
      <c r="D217" s="1788"/>
      <c r="E217" s="1788"/>
      <c r="F217" s="1788"/>
      <c r="G217" s="1788"/>
      <c r="H217" s="1788"/>
      <c r="I217" s="345"/>
      <c r="J217" s="1809"/>
    </row>
    <row r="218" spans="1:10" ht="12.75" customHeight="1">
      <c r="A218" s="11" t="s">
        <v>302</v>
      </c>
      <c r="B218" s="1789"/>
      <c r="C218" s="1789"/>
      <c r="D218" s="1789"/>
      <c r="E218" s="1789"/>
      <c r="F218" s="1789"/>
      <c r="G218" s="1789"/>
      <c r="H218" s="1789"/>
      <c r="I218" s="345"/>
      <c r="J218" s="1809"/>
    </row>
    <row r="219" spans="1:10" ht="13.5" customHeight="1" thickBot="1">
      <c r="A219" s="343" t="s">
        <v>303</v>
      </c>
      <c r="B219" s="1790"/>
      <c r="C219" s="1790"/>
      <c r="D219" s="1790"/>
      <c r="E219" s="1790"/>
      <c r="F219" s="1790"/>
      <c r="G219" s="1790"/>
      <c r="H219" s="1790"/>
      <c r="I219" s="345"/>
      <c r="J219" s="1810"/>
    </row>
    <row r="220" spans="1:10" ht="13.5" customHeight="1" thickBot="1">
      <c r="A220" s="391" t="s">
        <v>124</v>
      </c>
      <c r="B220" s="1796"/>
      <c r="C220" s="1796"/>
      <c r="D220" s="1788"/>
      <c r="E220" s="1788"/>
      <c r="F220" s="1788"/>
      <c r="G220" s="1788"/>
      <c r="H220" s="1788"/>
      <c r="I220" s="345"/>
      <c r="J220" s="1808" t="s">
        <v>198</v>
      </c>
    </row>
    <row r="221" spans="1:10" ht="12.75" customHeight="1">
      <c r="A221" s="392" t="s">
        <v>304</v>
      </c>
      <c r="B221" s="1788"/>
      <c r="C221" s="1788"/>
      <c r="D221" s="1788"/>
      <c r="E221" s="1788"/>
      <c r="F221" s="1788"/>
      <c r="G221" s="1788"/>
      <c r="H221" s="1788"/>
      <c r="I221" s="345"/>
      <c r="J221" s="1809"/>
    </row>
    <row r="222" spans="1:10" ht="12.75" customHeight="1">
      <c r="A222" s="11" t="s">
        <v>305</v>
      </c>
      <c r="B222" s="1789"/>
      <c r="C222" s="1789"/>
      <c r="D222" s="1789"/>
      <c r="E222" s="1789"/>
      <c r="F222" s="1789"/>
      <c r="G222" s="1789"/>
      <c r="H222" s="1789"/>
      <c r="I222" s="345"/>
      <c r="J222" s="1809"/>
    </row>
    <row r="223" spans="1:10" ht="13.5" customHeight="1" thickBot="1">
      <c r="A223" s="343" t="s">
        <v>306</v>
      </c>
      <c r="B223" s="1790"/>
      <c r="C223" s="1790"/>
      <c r="D223" s="1790"/>
      <c r="E223" s="1790"/>
      <c r="F223" s="1790"/>
      <c r="G223" s="1790"/>
      <c r="H223" s="1790"/>
      <c r="I223" s="345"/>
      <c r="J223" s="1810"/>
    </row>
    <row r="224" spans="1:10" ht="13.5" customHeight="1" thickBot="1">
      <c r="A224" s="391" t="s">
        <v>124</v>
      </c>
      <c r="B224" s="1796"/>
      <c r="C224" s="1796"/>
      <c r="D224" s="1788"/>
      <c r="E224" s="1788"/>
      <c r="F224" s="1788"/>
      <c r="G224" s="1788"/>
      <c r="H224" s="1788"/>
      <c r="I224" s="345"/>
      <c r="J224" s="1808" t="s">
        <v>198</v>
      </c>
    </row>
    <row r="225" spans="1:10" ht="13.5" customHeight="1">
      <c r="A225" s="395" t="s">
        <v>307</v>
      </c>
      <c r="B225" s="1788"/>
      <c r="C225" s="1788"/>
      <c r="D225" s="1788"/>
      <c r="E225" s="1788"/>
      <c r="F225" s="1788"/>
      <c r="G225" s="1788"/>
      <c r="H225" s="1788"/>
      <c r="I225" s="345"/>
      <c r="J225" s="1809"/>
    </row>
    <row r="226" spans="1:10" ht="13.5" customHeight="1">
      <c r="A226" s="396" t="s">
        <v>308</v>
      </c>
      <c r="B226" s="1789"/>
      <c r="C226" s="1789"/>
      <c r="D226" s="1789"/>
      <c r="E226" s="1789"/>
      <c r="F226" s="1789"/>
      <c r="G226" s="1789"/>
      <c r="H226" s="1789"/>
      <c r="I226" s="345"/>
      <c r="J226" s="1809"/>
    </row>
    <row r="227" spans="1:10" ht="13.5" customHeight="1" thickBot="1">
      <c r="A227" s="343" t="s">
        <v>309</v>
      </c>
      <c r="B227" s="1790"/>
      <c r="C227" s="1790"/>
      <c r="D227" s="1790"/>
      <c r="E227" s="1790"/>
      <c r="F227" s="1790"/>
      <c r="G227" s="1790"/>
      <c r="H227" s="1790"/>
      <c r="I227" s="345"/>
      <c r="J227" s="1810"/>
    </row>
    <row r="228" spans="1:10" ht="13.5" customHeight="1" thickBot="1">
      <c r="A228" s="391" t="s">
        <v>124</v>
      </c>
      <c r="B228" s="1796"/>
      <c r="C228" s="1796"/>
      <c r="D228" s="1788"/>
      <c r="E228" s="1788"/>
      <c r="F228" s="1788"/>
      <c r="G228" s="1788"/>
      <c r="H228" s="1788"/>
      <c r="I228" s="345"/>
      <c r="J228" s="1808" t="s">
        <v>198</v>
      </c>
    </row>
    <row r="229" spans="1:10" ht="12.75" customHeight="1">
      <c r="A229" s="395" t="s">
        <v>310</v>
      </c>
      <c r="B229" s="1788"/>
      <c r="C229" s="1788"/>
      <c r="D229" s="1788"/>
      <c r="E229" s="1788"/>
      <c r="F229" s="1788"/>
      <c r="G229" s="1788"/>
      <c r="H229" s="1788"/>
      <c r="I229" s="345"/>
      <c r="J229" s="1809"/>
    </row>
    <row r="230" spans="1:10" ht="12.75" customHeight="1">
      <c r="A230" s="362" t="s">
        <v>311</v>
      </c>
      <c r="B230" s="1789"/>
      <c r="C230" s="1789"/>
      <c r="D230" s="1789"/>
      <c r="E230" s="1789"/>
      <c r="F230" s="1789"/>
      <c r="G230" s="1789"/>
      <c r="H230" s="1789"/>
      <c r="I230" s="345"/>
      <c r="J230" s="1809"/>
    </row>
    <row r="231" spans="1:10" ht="13.5" customHeight="1" thickBot="1">
      <c r="A231" s="348" t="s">
        <v>312</v>
      </c>
      <c r="B231" s="1790"/>
      <c r="C231" s="1790"/>
      <c r="D231" s="1790"/>
      <c r="E231" s="1790"/>
      <c r="F231" s="1790"/>
      <c r="G231" s="1790"/>
      <c r="H231" s="1790"/>
      <c r="I231" s="345"/>
      <c r="J231" s="1810"/>
    </row>
    <row r="232" spans="1:10" ht="13.5" customHeight="1" thickBot="1">
      <c r="A232" s="397" t="s">
        <v>124</v>
      </c>
      <c r="B232" s="1796"/>
      <c r="C232" s="1796"/>
      <c r="D232" s="1788"/>
      <c r="E232" s="1788"/>
      <c r="F232" s="1788"/>
      <c r="G232" s="1788"/>
      <c r="H232" s="1788"/>
      <c r="I232" s="345"/>
      <c r="J232" s="1808" t="s">
        <v>181</v>
      </c>
    </row>
    <row r="233" spans="1:10" ht="12.75" customHeight="1">
      <c r="A233" s="398" t="s">
        <v>313</v>
      </c>
      <c r="B233" s="1788"/>
      <c r="C233" s="1788"/>
      <c r="D233" s="1788"/>
      <c r="E233" s="1788"/>
      <c r="F233" s="1788"/>
      <c r="G233" s="1788"/>
      <c r="H233" s="1788"/>
      <c r="I233" s="345"/>
      <c r="J233" s="1809"/>
    </row>
    <row r="234" spans="1:10" ht="12.75" customHeight="1">
      <c r="A234" s="354" t="s">
        <v>314</v>
      </c>
      <c r="B234" s="1789"/>
      <c r="C234" s="1789"/>
      <c r="D234" s="1789"/>
      <c r="E234" s="1789"/>
      <c r="F234" s="1789"/>
      <c r="G234" s="1789"/>
      <c r="H234" s="1789"/>
      <c r="I234" s="345"/>
      <c r="J234" s="1809"/>
    </row>
    <row r="235" spans="1:10" ht="13.5" customHeight="1" thickBot="1">
      <c r="A235" s="375" t="s">
        <v>315</v>
      </c>
      <c r="B235" s="1790"/>
      <c r="C235" s="1790"/>
      <c r="D235" s="1790"/>
      <c r="E235" s="1790"/>
      <c r="F235" s="1790"/>
      <c r="G235" s="1790"/>
      <c r="H235" s="1790"/>
      <c r="I235" s="345"/>
      <c r="J235" s="1810"/>
    </row>
    <row r="236" spans="1:10" ht="13.5" customHeight="1" thickBot="1">
      <c r="A236" s="399" t="s">
        <v>124</v>
      </c>
      <c r="B236" s="1796"/>
      <c r="C236" s="1796"/>
      <c r="D236" s="1788"/>
      <c r="E236" s="1788"/>
      <c r="F236" s="1788"/>
      <c r="G236" s="1788"/>
      <c r="H236" s="1788"/>
      <c r="I236" s="345"/>
      <c r="J236" s="1808" t="s">
        <v>181</v>
      </c>
    </row>
    <row r="237" spans="1:10" ht="12.75" customHeight="1">
      <c r="A237" s="400" t="s">
        <v>316</v>
      </c>
      <c r="B237" s="1788"/>
      <c r="C237" s="1788"/>
      <c r="D237" s="1788"/>
      <c r="E237" s="1788"/>
      <c r="F237" s="1788"/>
      <c r="G237" s="1788"/>
      <c r="H237" s="1788"/>
      <c r="I237" s="345"/>
      <c r="J237" s="1809"/>
    </row>
    <row r="238" spans="1:10" ht="12.75" customHeight="1">
      <c r="A238" s="362" t="s">
        <v>317</v>
      </c>
      <c r="B238" s="1789"/>
      <c r="C238" s="1789"/>
      <c r="D238" s="1789"/>
      <c r="E238" s="1789"/>
      <c r="F238" s="1789"/>
      <c r="G238" s="1789"/>
      <c r="H238" s="1789"/>
      <c r="I238" s="345"/>
      <c r="J238" s="1809"/>
    </row>
    <row r="239" spans="1:10" ht="13.5" customHeight="1" thickBot="1">
      <c r="A239" s="364" t="s">
        <v>318</v>
      </c>
      <c r="B239" s="1790"/>
      <c r="C239" s="1790"/>
      <c r="D239" s="1790"/>
      <c r="E239" s="1790"/>
      <c r="F239" s="1790"/>
      <c r="G239" s="1790"/>
      <c r="H239" s="1790"/>
      <c r="I239" s="345"/>
      <c r="J239" s="1810"/>
    </row>
    <row r="240" spans="1:10" ht="13.5" customHeight="1" thickBot="1">
      <c r="A240" s="401" t="s">
        <v>124</v>
      </c>
      <c r="B240" s="1796"/>
      <c r="C240" s="1796"/>
      <c r="D240" s="1788"/>
      <c r="E240" s="1788"/>
      <c r="F240" s="1788"/>
      <c r="G240" s="1788"/>
      <c r="H240" s="1788"/>
      <c r="I240" s="345"/>
      <c r="J240" s="1808" t="s">
        <v>181</v>
      </c>
    </row>
    <row r="241" spans="1:10" ht="13.5" customHeight="1">
      <c r="A241" s="400" t="s">
        <v>319</v>
      </c>
      <c r="B241" s="1788"/>
      <c r="C241" s="1788"/>
      <c r="D241" s="1788"/>
      <c r="E241" s="1788"/>
      <c r="F241" s="1788"/>
      <c r="G241" s="1788"/>
      <c r="H241" s="1788"/>
      <c r="I241" s="345"/>
      <c r="J241" s="1809"/>
    </row>
    <row r="242" spans="1:10" ht="13.5" customHeight="1">
      <c r="A242" s="362" t="s">
        <v>320</v>
      </c>
      <c r="B242" s="1789"/>
      <c r="C242" s="1789"/>
      <c r="D242" s="1789"/>
      <c r="E242" s="1789"/>
      <c r="F242" s="1789"/>
      <c r="G242" s="1789"/>
      <c r="H242" s="1789"/>
      <c r="I242" s="345"/>
      <c r="J242" s="1809"/>
    </row>
    <row r="243" spans="1:10" ht="13.5" customHeight="1" thickBot="1">
      <c r="A243" s="364" t="s">
        <v>321</v>
      </c>
      <c r="B243" s="1790"/>
      <c r="C243" s="1790"/>
      <c r="D243" s="1790"/>
      <c r="E243" s="1790"/>
      <c r="F243" s="1790"/>
      <c r="G243" s="1790"/>
      <c r="H243" s="1790"/>
      <c r="I243" s="345"/>
      <c r="J243" s="1810"/>
    </row>
    <row r="244" spans="1:10" ht="13.5" customHeight="1" thickBot="1">
      <c r="A244" s="402" t="s">
        <v>124</v>
      </c>
      <c r="B244" s="1796"/>
      <c r="C244" s="1796"/>
      <c r="D244" s="1788"/>
      <c r="E244" s="1788"/>
      <c r="F244" s="1788"/>
      <c r="G244" s="1788"/>
      <c r="H244" s="1788"/>
      <c r="I244" s="345"/>
      <c r="J244" s="1808" t="s">
        <v>214</v>
      </c>
    </row>
    <row r="245" spans="1:10" ht="12.75" customHeight="1">
      <c r="A245" s="398" t="s">
        <v>322</v>
      </c>
      <c r="B245" s="1788"/>
      <c r="C245" s="1788"/>
      <c r="D245" s="1788"/>
      <c r="E245" s="1788"/>
      <c r="F245" s="1788"/>
      <c r="G245" s="1788"/>
      <c r="H245" s="1788"/>
      <c r="I245" s="345"/>
      <c r="J245" s="1809"/>
    </row>
    <row r="246" spans="1:10" ht="12.75" customHeight="1">
      <c r="A246" s="354" t="s">
        <v>323</v>
      </c>
      <c r="B246" s="1789"/>
      <c r="C246" s="1789"/>
      <c r="D246" s="1789"/>
      <c r="E246" s="1789"/>
      <c r="F246" s="1789"/>
      <c r="G246" s="1789"/>
      <c r="H246" s="1789"/>
      <c r="I246" s="345"/>
      <c r="J246" s="1809"/>
    </row>
    <row r="247" spans="1:10" ht="13.5" customHeight="1" thickBot="1">
      <c r="A247" s="375" t="s">
        <v>324</v>
      </c>
      <c r="B247" s="1790"/>
      <c r="C247" s="1790"/>
      <c r="D247" s="1790"/>
      <c r="E247" s="1790"/>
      <c r="F247" s="1790"/>
      <c r="G247" s="1790"/>
      <c r="H247" s="1790"/>
      <c r="I247" s="345"/>
      <c r="J247" s="1810"/>
    </row>
    <row r="248" spans="1:10" ht="13.5" customHeight="1" thickBot="1">
      <c r="A248" s="401" t="s">
        <v>124</v>
      </c>
      <c r="B248" s="1796"/>
      <c r="C248" s="1796"/>
      <c r="D248" s="1788"/>
      <c r="E248" s="1788"/>
      <c r="F248" s="1788"/>
      <c r="G248" s="1788"/>
      <c r="H248" s="1788"/>
      <c r="I248" s="345"/>
      <c r="J248" s="1808" t="s">
        <v>214</v>
      </c>
    </row>
    <row r="249" spans="1:10" ht="12.75" customHeight="1">
      <c r="A249" s="400" t="s">
        <v>325</v>
      </c>
      <c r="B249" s="1788"/>
      <c r="C249" s="1788"/>
      <c r="D249" s="1788"/>
      <c r="E249" s="1788"/>
      <c r="F249" s="1788"/>
      <c r="G249" s="1788"/>
      <c r="H249" s="1788"/>
      <c r="I249" s="345"/>
      <c r="J249" s="1809"/>
    </row>
    <row r="250" spans="1:10" ht="12.75" customHeight="1">
      <c r="A250" s="403" t="s">
        <v>326</v>
      </c>
      <c r="B250" s="1789"/>
      <c r="C250" s="1789"/>
      <c r="D250" s="1789"/>
      <c r="E250" s="1789"/>
      <c r="F250" s="1789"/>
      <c r="G250" s="1789"/>
      <c r="H250" s="1789"/>
      <c r="I250" s="345"/>
      <c r="J250" s="1809"/>
    </row>
    <row r="251" spans="1:10" ht="13.5" customHeight="1" thickBot="1">
      <c r="A251" s="404" t="s">
        <v>327</v>
      </c>
      <c r="B251" s="1790"/>
      <c r="C251" s="1790"/>
      <c r="D251" s="1790"/>
      <c r="E251" s="1790"/>
      <c r="F251" s="1790"/>
      <c r="G251" s="1790"/>
      <c r="H251" s="1790"/>
      <c r="I251" s="345"/>
      <c r="J251" s="1810"/>
    </row>
    <row r="252" spans="1:10" ht="13.5" customHeight="1" thickBot="1">
      <c r="A252" s="402" t="s">
        <v>124</v>
      </c>
      <c r="B252" s="1796"/>
      <c r="C252" s="1796"/>
      <c r="D252" s="1788"/>
      <c r="E252" s="1788"/>
      <c r="F252" s="1788"/>
      <c r="G252" s="1788"/>
      <c r="H252" s="1788"/>
      <c r="I252" s="405"/>
      <c r="J252" s="1808" t="s">
        <v>214</v>
      </c>
    </row>
    <row r="253" spans="1:10" ht="12.75" customHeight="1">
      <c r="A253" s="406" t="s">
        <v>328</v>
      </c>
      <c r="B253" s="1788"/>
      <c r="C253" s="1788"/>
      <c r="D253" s="1788"/>
      <c r="E253" s="1788"/>
      <c r="F253" s="1788"/>
      <c r="G253" s="1788"/>
      <c r="H253" s="1788"/>
      <c r="I253" s="407"/>
      <c r="J253" s="1809"/>
    </row>
    <row r="254" spans="1:10" ht="12.75" customHeight="1">
      <c r="A254" s="354" t="s">
        <v>329</v>
      </c>
      <c r="B254" s="1794"/>
      <c r="C254" s="1789"/>
      <c r="D254" s="1789"/>
      <c r="E254" s="1789"/>
      <c r="F254" s="1789"/>
      <c r="G254" s="1789"/>
      <c r="H254" s="1789"/>
      <c r="I254" s="407"/>
      <c r="J254" s="1809"/>
    </row>
    <row r="255" spans="1:10" ht="13.5" customHeight="1" thickBot="1">
      <c r="A255" s="375" t="s">
        <v>330</v>
      </c>
      <c r="B255" s="1795"/>
      <c r="C255" s="1790"/>
      <c r="D255" s="1790"/>
      <c r="E255" s="1790"/>
      <c r="F255" s="1790"/>
      <c r="G255" s="1790"/>
      <c r="H255" s="1790"/>
      <c r="I255" s="407"/>
      <c r="J255" s="1810"/>
    </row>
    <row r="256" spans="1:10" ht="13.5" customHeight="1" thickBot="1">
      <c r="A256" s="397" t="s">
        <v>124</v>
      </c>
      <c r="B256" s="1796"/>
      <c r="C256" s="1796"/>
      <c r="D256" s="1788"/>
      <c r="E256" s="1788"/>
      <c r="F256" s="1788"/>
      <c r="G256" s="1788"/>
      <c r="H256" s="1788"/>
      <c r="I256" s="407"/>
      <c r="J256" s="1808" t="s">
        <v>214</v>
      </c>
    </row>
    <row r="257" spans="1:10" ht="12.75" customHeight="1">
      <c r="A257" s="400" t="s">
        <v>331</v>
      </c>
      <c r="B257" s="1788"/>
      <c r="C257" s="1788"/>
      <c r="D257" s="1788"/>
      <c r="E257" s="1788"/>
      <c r="F257" s="1788"/>
      <c r="G257" s="1788"/>
      <c r="H257" s="1788"/>
      <c r="I257" s="407"/>
      <c r="J257" s="1809"/>
    </row>
    <row r="258" spans="1:10" ht="12.75" customHeight="1">
      <c r="A258" s="362" t="s">
        <v>332</v>
      </c>
      <c r="B258" s="1794"/>
      <c r="C258" s="1789"/>
      <c r="D258" s="1789"/>
      <c r="E258" s="1789"/>
      <c r="F258" s="1789"/>
      <c r="G258" s="1789"/>
      <c r="H258" s="1789"/>
      <c r="I258" s="407"/>
      <c r="J258" s="1809"/>
    </row>
    <row r="259" spans="1:10" ht="13.5" customHeight="1" thickBot="1">
      <c r="A259" s="370" t="s">
        <v>333</v>
      </c>
      <c r="B259" s="1795"/>
      <c r="C259" s="1790"/>
      <c r="D259" s="1790"/>
      <c r="E259" s="1790"/>
      <c r="F259" s="1790"/>
      <c r="G259" s="1790"/>
      <c r="H259" s="1790"/>
      <c r="I259" s="407"/>
      <c r="J259" s="1810"/>
    </row>
    <row r="260" spans="1:10" ht="13.5" customHeight="1" thickBot="1">
      <c r="A260" s="402" t="s">
        <v>124</v>
      </c>
      <c r="B260" s="1796"/>
      <c r="C260" s="1796"/>
      <c r="D260" s="1788"/>
      <c r="E260" s="1788"/>
      <c r="F260" s="1788"/>
      <c r="G260" s="1788"/>
      <c r="H260" s="1788"/>
      <c r="I260" s="338"/>
      <c r="J260" s="1808" t="s">
        <v>198</v>
      </c>
    </row>
    <row r="261" spans="1:10" ht="12.75" customHeight="1">
      <c r="A261" s="400" t="s">
        <v>334</v>
      </c>
      <c r="B261" s="1788"/>
      <c r="C261" s="1788"/>
      <c r="D261" s="1788"/>
      <c r="E261" s="1788"/>
      <c r="F261" s="1788"/>
      <c r="G261" s="1788"/>
      <c r="H261" s="1788"/>
      <c r="I261" s="338"/>
      <c r="J261" s="1809"/>
    </row>
    <row r="262" spans="1:10" ht="12.75" customHeight="1">
      <c r="A262" s="362" t="s">
        <v>335</v>
      </c>
      <c r="B262" s="1794"/>
      <c r="C262" s="1789"/>
      <c r="D262" s="1789"/>
      <c r="E262" s="1789"/>
      <c r="F262" s="1789"/>
      <c r="G262" s="1789"/>
      <c r="H262" s="1789"/>
      <c r="I262" s="338"/>
      <c r="J262" s="1809"/>
    </row>
    <row r="263" spans="1:10" ht="13.5" customHeight="1" thickBot="1">
      <c r="A263" s="370" t="s">
        <v>336</v>
      </c>
      <c r="B263" s="1795"/>
      <c r="C263" s="1790"/>
      <c r="D263" s="1790"/>
      <c r="E263" s="1790"/>
      <c r="F263" s="1790"/>
      <c r="G263" s="1790"/>
      <c r="H263" s="1790"/>
      <c r="I263" s="338"/>
      <c r="J263" s="1810"/>
    </row>
    <row r="264" spans="1:10" ht="13.5" customHeight="1" thickBot="1">
      <c r="A264" s="402" t="s">
        <v>164</v>
      </c>
      <c r="B264" s="1796"/>
      <c r="C264" s="1796">
        <v>48</v>
      </c>
      <c r="D264" s="1788">
        <v>60</v>
      </c>
      <c r="E264" s="1788">
        <v>84</v>
      </c>
      <c r="F264" s="1788">
        <v>96</v>
      </c>
      <c r="G264" s="1788">
        <v>144</v>
      </c>
      <c r="H264" s="1788">
        <v>240</v>
      </c>
      <c r="I264" s="338"/>
      <c r="J264" s="1808"/>
    </row>
    <row r="265" spans="1:10" ht="12.75" customHeight="1">
      <c r="A265" s="400" t="s">
        <v>337</v>
      </c>
      <c r="B265" s="1805"/>
      <c r="C265" s="1788"/>
      <c r="D265" s="1788"/>
      <c r="E265" s="1788"/>
      <c r="F265" s="1788"/>
      <c r="G265" s="1788"/>
      <c r="H265" s="1788"/>
      <c r="I265" s="338"/>
      <c r="J265" s="1809"/>
    </row>
    <row r="266" spans="1:10" ht="12.75" customHeight="1">
      <c r="A266" s="362" t="s">
        <v>338</v>
      </c>
      <c r="B266" s="1806"/>
      <c r="C266" s="1789"/>
      <c r="D266" s="1789"/>
      <c r="E266" s="1789"/>
      <c r="F266" s="1789"/>
      <c r="G266" s="1789"/>
      <c r="H266" s="1789"/>
      <c r="I266" s="338"/>
      <c r="J266" s="1809"/>
    </row>
    <row r="267" spans="1:10" ht="13.5" customHeight="1" thickBot="1">
      <c r="A267" s="370" t="s">
        <v>339</v>
      </c>
      <c r="B267" s="1807"/>
      <c r="C267" s="1790"/>
      <c r="D267" s="1790"/>
      <c r="E267" s="1790"/>
      <c r="F267" s="1790"/>
      <c r="G267" s="1790"/>
      <c r="H267" s="1790"/>
      <c r="I267" s="338"/>
      <c r="J267" s="1810"/>
    </row>
    <row r="268" spans="1:10" ht="13.5" customHeight="1" thickBot="1">
      <c r="A268" s="402" t="s">
        <v>124</v>
      </c>
      <c r="B268" s="1796"/>
      <c r="C268" s="1796"/>
      <c r="D268" s="1788"/>
      <c r="E268" s="1788"/>
      <c r="F268" s="1788"/>
      <c r="G268" s="1788"/>
      <c r="H268" s="1788"/>
      <c r="I268" s="338"/>
      <c r="J268" s="1808" t="s">
        <v>198</v>
      </c>
    </row>
    <row r="269" spans="1:10" ht="12.75" customHeight="1">
      <c r="A269" s="400" t="s">
        <v>340</v>
      </c>
      <c r="B269" s="1805"/>
      <c r="C269" s="1788"/>
      <c r="D269" s="1788"/>
      <c r="E269" s="1788"/>
      <c r="F269" s="1788"/>
      <c r="G269" s="1788"/>
      <c r="H269" s="1788"/>
      <c r="I269" s="338"/>
      <c r="J269" s="1809"/>
    </row>
    <row r="270" spans="1:10" ht="12.75" customHeight="1">
      <c r="A270" s="362" t="s">
        <v>341</v>
      </c>
      <c r="B270" s="1806"/>
      <c r="C270" s="1789"/>
      <c r="D270" s="1789"/>
      <c r="E270" s="1789"/>
      <c r="F270" s="1789"/>
      <c r="G270" s="1789"/>
      <c r="H270" s="1789"/>
      <c r="I270" s="338"/>
      <c r="J270" s="1809"/>
    </row>
    <row r="271" spans="1:10" ht="13.5" customHeight="1" thickBot="1">
      <c r="A271" s="370" t="s">
        <v>342</v>
      </c>
      <c r="B271" s="1807"/>
      <c r="C271" s="1790"/>
      <c r="D271" s="1790"/>
      <c r="E271" s="1790"/>
      <c r="F271" s="1790"/>
      <c r="G271" s="1790"/>
      <c r="H271" s="1790"/>
      <c r="I271" s="338"/>
      <c r="J271" s="1810"/>
    </row>
    <row r="272" spans="1:10" ht="13.5" customHeight="1" thickBot="1">
      <c r="A272" s="402" t="s">
        <v>124</v>
      </c>
      <c r="B272" s="1796"/>
      <c r="C272" s="1796"/>
      <c r="D272" s="1788"/>
      <c r="E272" s="1788"/>
      <c r="F272" s="1788"/>
      <c r="G272" s="1788"/>
      <c r="H272" s="1788"/>
      <c r="I272" s="338"/>
      <c r="J272" s="1808" t="s">
        <v>214</v>
      </c>
    </row>
    <row r="273" spans="1:10" ht="12.75" customHeight="1">
      <c r="A273" s="400" t="s">
        <v>343</v>
      </c>
      <c r="B273" s="1805"/>
      <c r="C273" s="1788"/>
      <c r="D273" s="1788"/>
      <c r="E273" s="1788"/>
      <c r="F273" s="1788"/>
      <c r="G273" s="1788"/>
      <c r="H273" s="1788"/>
      <c r="I273" s="338"/>
      <c r="J273" s="1809"/>
    </row>
    <row r="274" spans="1:10" ht="12.75" customHeight="1">
      <c r="A274" s="362" t="s">
        <v>344</v>
      </c>
      <c r="B274" s="1806"/>
      <c r="C274" s="1789"/>
      <c r="D274" s="1789"/>
      <c r="E274" s="1789"/>
      <c r="F274" s="1789"/>
      <c r="G274" s="1789"/>
      <c r="H274" s="1789"/>
      <c r="I274" s="338"/>
      <c r="J274" s="1809"/>
    </row>
    <row r="275" spans="1:10" ht="13.5" customHeight="1" thickBot="1">
      <c r="A275" s="370" t="s">
        <v>345</v>
      </c>
      <c r="B275" s="1807"/>
      <c r="C275" s="1790"/>
      <c r="D275" s="1790"/>
      <c r="E275" s="1790"/>
      <c r="F275" s="1790"/>
      <c r="G275" s="1790"/>
      <c r="H275" s="1790"/>
      <c r="I275" s="338"/>
      <c r="J275" s="1810"/>
    </row>
    <row r="276" spans="1:10" ht="13.5" customHeight="1" thickBot="1">
      <c r="A276" s="397" t="s">
        <v>124</v>
      </c>
      <c r="B276" s="1796"/>
      <c r="C276" s="1796"/>
      <c r="D276" s="1788"/>
      <c r="E276" s="1788"/>
      <c r="F276" s="1788"/>
      <c r="G276" s="1788"/>
      <c r="H276" s="1788"/>
      <c r="I276" s="338"/>
      <c r="J276" s="1808" t="s">
        <v>228</v>
      </c>
    </row>
    <row r="277" spans="1:10" ht="12.75" customHeight="1">
      <c r="A277" s="398" t="s">
        <v>346</v>
      </c>
      <c r="B277" s="1788"/>
      <c r="C277" s="1788"/>
      <c r="D277" s="1788"/>
      <c r="E277" s="1788"/>
      <c r="F277" s="1788"/>
      <c r="G277" s="1788"/>
      <c r="H277" s="1788"/>
      <c r="I277" s="338"/>
      <c r="J277" s="1809"/>
    </row>
    <row r="278" spans="1:10" ht="12.75" customHeight="1">
      <c r="A278" s="354" t="s">
        <v>347</v>
      </c>
      <c r="B278" s="1794"/>
      <c r="C278" s="1789"/>
      <c r="D278" s="1789"/>
      <c r="E278" s="1789"/>
      <c r="F278" s="1789"/>
      <c r="G278" s="1789"/>
      <c r="H278" s="1789"/>
      <c r="I278" s="338"/>
      <c r="J278" s="1809"/>
    </row>
    <row r="279" spans="1:10" ht="13.5" customHeight="1" thickBot="1">
      <c r="A279" s="343" t="s">
        <v>348</v>
      </c>
      <c r="B279" s="1795"/>
      <c r="C279" s="1790"/>
      <c r="D279" s="1790"/>
      <c r="E279" s="1790"/>
      <c r="F279" s="1790"/>
      <c r="G279" s="1790"/>
      <c r="H279" s="1790"/>
      <c r="I279" s="338"/>
      <c r="J279" s="1810"/>
    </row>
    <row r="280" spans="1:10" ht="13.5" customHeight="1" thickBot="1">
      <c r="A280" s="391" t="s">
        <v>124</v>
      </c>
      <c r="B280" s="1796"/>
      <c r="C280" s="1796"/>
      <c r="D280" s="1788"/>
      <c r="E280" s="1788"/>
      <c r="F280" s="1788"/>
      <c r="G280" s="1788"/>
      <c r="H280" s="1788"/>
      <c r="I280" s="338"/>
      <c r="J280" s="1808" t="s">
        <v>228</v>
      </c>
    </row>
    <row r="281" spans="1:10" ht="12.75" customHeight="1">
      <c r="A281" s="392" t="s">
        <v>349</v>
      </c>
      <c r="B281" s="1788"/>
      <c r="C281" s="1788"/>
      <c r="D281" s="1788"/>
      <c r="E281" s="1788"/>
      <c r="F281" s="1788"/>
      <c r="G281" s="1788"/>
      <c r="H281" s="1788"/>
      <c r="I281" s="345"/>
      <c r="J281" s="1809"/>
    </row>
    <row r="282" spans="1:10" ht="12.75" customHeight="1">
      <c r="A282" s="354" t="s">
        <v>350</v>
      </c>
      <c r="B282" s="1794"/>
      <c r="C282" s="1789"/>
      <c r="D282" s="1789"/>
      <c r="E282" s="1789"/>
      <c r="F282" s="1789"/>
      <c r="G282" s="1789"/>
      <c r="H282" s="1789"/>
      <c r="I282" s="345"/>
      <c r="J282" s="1809"/>
    </row>
    <row r="283" spans="1:10" ht="13.5" customHeight="1" thickBot="1">
      <c r="A283" s="343" t="s">
        <v>351</v>
      </c>
      <c r="B283" s="1795"/>
      <c r="C283" s="1790"/>
      <c r="D283" s="1790"/>
      <c r="E283" s="1790"/>
      <c r="F283" s="1790"/>
      <c r="G283" s="1790"/>
      <c r="H283" s="1790"/>
      <c r="I283" s="345"/>
      <c r="J283" s="1810"/>
    </row>
    <row r="284" spans="1:10" ht="13.5" customHeight="1" thickBot="1">
      <c r="A284" s="397" t="s">
        <v>124</v>
      </c>
      <c r="B284" s="1796"/>
      <c r="C284" s="1796"/>
      <c r="D284" s="1788"/>
      <c r="E284" s="1788"/>
      <c r="F284" s="1788"/>
      <c r="G284" s="1788"/>
      <c r="H284" s="1788"/>
      <c r="I284" s="345"/>
      <c r="J284" s="1808" t="s">
        <v>228</v>
      </c>
    </row>
    <row r="285" spans="1:10" ht="12.75" customHeight="1">
      <c r="A285" s="398" t="s">
        <v>352</v>
      </c>
      <c r="B285" s="1788"/>
      <c r="C285" s="1788"/>
      <c r="D285" s="1788"/>
      <c r="E285" s="1788"/>
      <c r="F285" s="1788"/>
      <c r="G285" s="1788"/>
      <c r="H285" s="1788"/>
      <c r="I285" s="345"/>
      <c r="J285" s="1809"/>
    </row>
    <row r="286" spans="1:10" ht="12.75" customHeight="1">
      <c r="A286" s="354" t="s">
        <v>353</v>
      </c>
      <c r="B286" s="1794"/>
      <c r="C286" s="1789"/>
      <c r="D286" s="1789"/>
      <c r="E286" s="1789"/>
      <c r="F286" s="1789"/>
      <c r="G286" s="1789"/>
      <c r="H286" s="1789"/>
      <c r="I286" s="345"/>
      <c r="J286" s="1809"/>
    </row>
    <row r="287" spans="1:10" ht="14.25" customHeight="1" thickBot="1">
      <c r="A287" s="343" t="s">
        <v>354</v>
      </c>
      <c r="B287" s="1795"/>
      <c r="C287" s="1790"/>
      <c r="D287" s="1790"/>
      <c r="E287" s="1790"/>
      <c r="F287" s="1790"/>
      <c r="G287" s="1790"/>
      <c r="H287" s="1790"/>
      <c r="I287" s="345"/>
      <c r="J287" s="1810"/>
    </row>
    <row r="288" spans="1:10" ht="13.5" customHeight="1" thickBot="1">
      <c r="A288" s="397" t="s">
        <v>124</v>
      </c>
      <c r="B288" s="1796"/>
      <c r="C288" s="1796"/>
      <c r="D288" s="1788"/>
      <c r="E288" s="1788"/>
      <c r="F288" s="1788"/>
      <c r="G288" s="1788"/>
      <c r="H288" s="1788"/>
      <c r="I288" s="345"/>
      <c r="J288" s="1808" t="s">
        <v>228</v>
      </c>
    </row>
    <row r="289" spans="1:11" ht="12.75" customHeight="1">
      <c r="A289" s="398" t="s">
        <v>355</v>
      </c>
      <c r="B289" s="1788"/>
      <c r="C289" s="1788"/>
      <c r="D289" s="1788"/>
      <c r="E289" s="1788"/>
      <c r="F289" s="1788"/>
      <c r="G289" s="1788"/>
      <c r="H289" s="1788"/>
      <c r="I289" s="345"/>
      <c r="J289" s="1809"/>
    </row>
    <row r="290" spans="1:11" ht="12.75" customHeight="1">
      <c r="A290" s="354" t="s">
        <v>356</v>
      </c>
      <c r="B290" s="1794"/>
      <c r="C290" s="1789"/>
      <c r="D290" s="1789"/>
      <c r="E290" s="1789"/>
      <c r="F290" s="1789"/>
      <c r="G290" s="1789"/>
      <c r="H290" s="1789"/>
      <c r="I290" s="345"/>
      <c r="J290" s="1809"/>
    </row>
    <row r="291" spans="1:11" ht="13.5" customHeight="1" thickBot="1">
      <c r="A291" s="343" t="s">
        <v>357</v>
      </c>
      <c r="B291" s="1795"/>
      <c r="C291" s="1790"/>
      <c r="D291" s="1790"/>
      <c r="E291" s="1790"/>
      <c r="F291" s="1790"/>
      <c r="G291" s="1790"/>
      <c r="H291" s="1790"/>
      <c r="I291" s="345"/>
      <c r="J291" s="1810"/>
    </row>
    <row r="292" spans="1:11" ht="13.5" customHeight="1" thickBot="1">
      <c r="A292" s="397" t="s">
        <v>124</v>
      </c>
      <c r="B292" s="1796"/>
      <c r="C292" s="1796"/>
      <c r="D292" s="1788"/>
      <c r="E292" s="1788"/>
      <c r="F292" s="1788"/>
      <c r="G292" s="1788"/>
      <c r="H292" s="1788"/>
      <c r="I292" s="338"/>
      <c r="J292" s="1808" t="s">
        <v>228</v>
      </c>
    </row>
    <row r="293" spans="1:11" ht="12.75" customHeight="1">
      <c r="A293" s="398" t="s">
        <v>358</v>
      </c>
      <c r="B293" s="1788"/>
      <c r="C293" s="1788"/>
      <c r="D293" s="1788"/>
      <c r="E293" s="1788"/>
      <c r="F293" s="1788"/>
      <c r="G293" s="1788"/>
      <c r="H293" s="1788"/>
      <c r="I293" s="338"/>
      <c r="J293" s="1809"/>
    </row>
    <row r="294" spans="1:11" ht="12.75" customHeight="1">
      <c r="A294" s="354" t="s">
        <v>359</v>
      </c>
      <c r="B294" s="1794"/>
      <c r="C294" s="1789"/>
      <c r="D294" s="1789"/>
      <c r="E294" s="1789"/>
      <c r="F294" s="1789"/>
      <c r="G294" s="1789"/>
      <c r="H294" s="1789"/>
      <c r="I294" s="338"/>
      <c r="J294" s="1809"/>
    </row>
    <row r="295" spans="1:11" ht="13.5" customHeight="1" thickBot="1">
      <c r="A295" s="343" t="s">
        <v>360</v>
      </c>
      <c r="B295" s="1795"/>
      <c r="C295" s="1790"/>
      <c r="D295" s="1790"/>
      <c r="E295" s="1790"/>
      <c r="F295" s="1790"/>
      <c r="G295" s="1790"/>
      <c r="H295" s="1790"/>
      <c r="I295" s="338"/>
      <c r="J295" s="1810"/>
    </row>
    <row r="296" spans="1:11" ht="13.5" customHeight="1" thickBot="1">
      <c r="A296" s="391" t="s">
        <v>124</v>
      </c>
      <c r="B296" s="1832"/>
      <c r="C296" s="1796"/>
      <c r="D296" s="1788"/>
      <c r="E296" s="1788"/>
      <c r="F296" s="1788"/>
      <c r="G296" s="1788"/>
      <c r="H296" s="1788"/>
      <c r="I296" s="338"/>
      <c r="J296" s="1808" t="s">
        <v>228</v>
      </c>
      <c r="K296" s="408"/>
    </row>
    <row r="297" spans="1:11" ht="12.75" customHeight="1">
      <c r="A297" s="401" t="s">
        <v>361</v>
      </c>
      <c r="B297" s="1833"/>
      <c r="C297" s="1788"/>
      <c r="D297" s="1788"/>
      <c r="E297" s="1788"/>
      <c r="F297" s="1788"/>
      <c r="G297" s="1788"/>
      <c r="H297" s="1788"/>
      <c r="I297" s="338"/>
      <c r="J297" s="1809"/>
      <c r="K297" s="408"/>
    </row>
    <row r="298" spans="1:11" ht="12.75" customHeight="1">
      <c r="A298" s="409" t="s">
        <v>362</v>
      </c>
      <c r="B298" s="1834"/>
      <c r="C298" s="1789"/>
      <c r="D298" s="1789"/>
      <c r="E298" s="1789"/>
      <c r="F298" s="1789"/>
      <c r="G298" s="1789"/>
      <c r="H298" s="1789"/>
      <c r="I298" s="338"/>
      <c r="J298" s="1809"/>
      <c r="K298" s="410"/>
    </row>
    <row r="299" spans="1:11" ht="13.5" customHeight="1" thickBot="1">
      <c r="A299" s="370" t="s">
        <v>363</v>
      </c>
      <c r="B299" s="1835"/>
      <c r="C299" s="1790"/>
      <c r="D299" s="1790"/>
      <c r="E299" s="1790"/>
      <c r="F299" s="1790"/>
      <c r="G299" s="1790"/>
      <c r="H299" s="1790"/>
      <c r="I299" s="338"/>
      <c r="J299" s="1810"/>
      <c r="K299" s="410"/>
    </row>
    <row r="300" spans="1:11" ht="13.5" customHeight="1" thickBot="1">
      <c r="A300" s="402" t="s">
        <v>124</v>
      </c>
      <c r="B300" s="1796"/>
      <c r="C300" s="1796"/>
      <c r="D300" s="1788"/>
      <c r="E300" s="1788"/>
      <c r="F300" s="1788"/>
      <c r="G300" s="1788"/>
      <c r="H300" s="1788"/>
      <c r="I300" s="338"/>
      <c r="J300" s="1808" t="s">
        <v>228</v>
      </c>
    </row>
    <row r="301" spans="1:11" ht="12.75" customHeight="1">
      <c r="A301" s="398" t="s">
        <v>364</v>
      </c>
      <c r="B301" s="1788"/>
      <c r="C301" s="1788"/>
      <c r="D301" s="1788"/>
      <c r="E301" s="1788"/>
      <c r="F301" s="1788"/>
      <c r="G301" s="1788"/>
      <c r="H301" s="1788"/>
      <c r="I301" s="338"/>
      <c r="J301" s="1809"/>
    </row>
    <row r="302" spans="1:11" ht="12.75" customHeight="1">
      <c r="A302" s="411" t="s">
        <v>365</v>
      </c>
      <c r="B302" s="1789"/>
      <c r="C302" s="1789"/>
      <c r="D302" s="1789"/>
      <c r="E302" s="1789"/>
      <c r="F302" s="1789"/>
      <c r="G302" s="1789"/>
      <c r="H302" s="1789"/>
      <c r="I302" s="338"/>
      <c r="J302" s="1809"/>
    </row>
    <row r="303" spans="1:11" ht="13.5" customHeight="1" thickBot="1">
      <c r="A303" s="354" t="s">
        <v>366</v>
      </c>
      <c r="B303" s="1790"/>
      <c r="C303" s="1790"/>
      <c r="D303" s="1790"/>
      <c r="E303" s="1790"/>
      <c r="F303" s="1790"/>
      <c r="G303" s="1790"/>
      <c r="H303" s="1790"/>
      <c r="I303" s="338"/>
      <c r="J303" s="1810"/>
    </row>
    <row r="304" spans="1:11" ht="13.5" customHeight="1" thickBot="1">
      <c r="A304" s="391" t="s">
        <v>124</v>
      </c>
      <c r="B304" s="1796"/>
      <c r="C304" s="1796"/>
      <c r="D304" s="1788"/>
      <c r="E304" s="1788"/>
      <c r="F304" s="1788"/>
      <c r="G304" s="1788"/>
      <c r="H304" s="1788"/>
      <c r="I304" s="338"/>
      <c r="J304" s="1808" t="s">
        <v>198</v>
      </c>
      <c r="K304" s="410"/>
    </row>
    <row r="305" spans="1:13" ht="13.5" customHeight="1">
      <c r="A305" s="401" t="s">
        <v>367</v>
      </c>
      <c r="B305" s="1788"/>
      <c r="C305" s="1788"/>
      <c r="D305" s="1788"/>
      <c r="E305" s="1788"/>
      <c r="F305" s="1788"/>
      <c r="G305" s="1788"/>
      <c r="H305" s="1788"/>
      <c r="I305" s="338"/>
      <c r="J305" s="1809"/>
      <c r="K305" s="410"/>
    </row>
    <row r="306" spans="1:13" ht="13.5" customHeight="1">
      <c r="A306" s="412" t="s">
        <v>368</v>
      </c>
      <c r="B306" s="1789"/>
      <c r="C306" s="1789"/>
      <c r="D306" s="1789"/>
      <c r="E306" s="1789"/>
      <c r="F306" s="1789"/>
      <c r="G306" s="1789"/>
      <c r="H306" s="1789"/>
      <c r="I306" s="338"/>
      <c r="J306" s="1809"/>
      <c r="K306" s="410"/>
    </row>
    <row r="307" spans="1:13" ht="13.5" customHeight="1" thickBot="1">
      <c r="A307" s="369" t="s">
        <v>369</v>
      </c>
      <c r="B307" s="1790"/>
      <c r="C307" s="1790"/>
      <c r="D307" s="1790"/>
      <c r="E307" s="1790"/>
      <c r="F307" s="1790"/>
      <c r="G307" s="1790"/>
      <c r="H307" s="1790"/>
      <c r="I307" s="338"/>
      <c r="J307" s="1810"/>
      <c r="K307" s="410"/>
    </row>
    <row r="308" spans="1:13" ht="13.5" customHeight="1" thickBot="1">
      <c r="A308" s="413" t="s">
        <v>124</v>
      </c>
      <c r="B308" s="1796"/>
      <c r="C308" s="1796"/>
      <c r="D308" s="1788"/>
      <c r="E308" s="1788"/>
      <c r="F308" s="1788"/>
      <c r="G308" s="1788"/>
      <c r="H308" s="1788"/>
      <c r="I308" s="338"/>
      <c r="J308" s="1808" t="s">
        <v>181</v>
      </c>
      <c r="K308" s="410"/>
      <c r="M308" t="s">
        <v>148</v>
      </c>
    </row>
    <row r="309" spans="1:13" ht="13.5" customHeight="1">
      <c r="A309" s="414" t="s">
        <v>370</v>
      </c>
      <c r="B309" s="1788"/>
      <c r="C309" s="1788"/>
      <c r="D309" s="1788"/>
      <c r="E309" s="1788"/>
      <c r="F309" s="1788"/>
      <c r="G309" s="1788"/>
      <c r="H309" s="1788"/>
      <c r="I309" s="338"/>
      <c r="J309" s="1809"/>
      <c r="K309" s="410"/>
    </row>
    <row r="310" spans="1:13" ht="13.5" customHeight="1">
      <c r="A310" s="389" t="s">
        <v>371</v>
      </c>
      <c r="B310" s="1789"/>
      <c r="C310" s="1789"/>
      <c r="D310" s="1789"/>
      <c r="E310" s="1789"/>
      <c r="F310" s="1789"/>
      <c r="G310" s="1789"/>
      <c r="H310" s="1789"/>
      <c r="I310" s="338"/>
      <c r="J310" s="1809"/>
      <c r="K310" s="410"/>
    </row>
    <row r="311" spans="1:13" ht="13.5" customHeight="1" thickBot="1">
      <c r="A311" s="370" t="s">
        <v>372</v>
      </c>
      <c r="B311" s="1790"/>
      <c r="C311" s="1790"/>
      <c r="D311" s="1790"/>
      <c r="E311" s="1790"/>
      <c r="F311" s="1790"/>
      <c r="G311" s="1790"/>
      <c r="H311" s="1790"/>
      <c r="I311" s="338"/>
      <c r="J311" s="1810"/>
      <c r="K311" s="410"/>
    </row>
    <row r="312" spans="1:13" ht="13.5" customHeight="1" thickBot="1">
      <c r="A312" s="402" t="s">
        <v>124</v>
      </c>
      <c r="B312" s="1796"/>
      <c r="C312" s="1796"/>
      <c r="D312" s="1788"/>
      <c r="E312" s="1788"/>
      <c r="F312" s="1788"/>
      <c r="G312" s="1788"/>
      <c r="H312" s="1788"/>
      <c r="I312" s="345"/>
      <c r="J312" s="1808" t="s">
        <v>198</v>
      </c>
    </row>
    <row r="313" spans="1:13" ht="12.75" customHeight="1">
      <c r="A313" s="400" t="s">
        <v>373</v>
      </c>
      <c r="B313" s="1788"/>
      <c r="C313" s="1788"/>
      <c r="D313" s="1788"/>
      <c r="E313" s="1788"/>
      <c r="F313" s="1788"/>
      <c r="G313" s="1788"/>
      <c r="H313" s="1788"/>
      <c r="I313" s="345"/>
      <c r="J313" s="1809"/>
    </row>
    <row r="314" spans="1:13" ht="12.75" customHeight="1">
      <c r="A314" s="362" t="s">
        <v>374</v>
      </c>
      <c r="B314" s="1789"/>
      <c r="C314" s="1789"/>
      <c r="D314" s="1789"/>
      <c r="E314" s="1789"/>
      <c r="F314" s="1789"/>
      <c r="G314" s="1789"/>
      <c r="H314" s="1789"/>
      <c r="I314" s="345"/>
      <c r="J314" s="1809"/>
    </row>
    <row r="315" spans="1:13" ht="13.5" customHeight="1" thickBot="1">
      <c r="A315" s="364" t="s">
        <v>375</v>
      </c>
      <c r="B315" s="1790"/>
      <c r="C315" s="1790"/>
      <c r="D315" s="1790"/>
      <c r="E315" s="1790"/>
      <c r="F315" s="1790"/>
      <c r="G315" s="1790"/>
      <c r="H315" s="1790"/>
      <c r="I315" s="345"/>
      <c r="J315" s="1810"/>
    </row>
    <row r="316" spans="1:13" ht="13.5" customHeight="1" thickBot="1">
      <c r="A316" s="402" t="s">
        <v>124</v>
      </c>
      <c r="B316" s="1796"/>
      <c r="C316" s="1796"/>
      <c r="D316" s="1788"/>
      <c r="E316" s="1788"/>
      <c r="F316" s="1788"/>
      <c r="G316" s="1788"/>
      <c r="H316" s="1788"/>
      <c r="I316" s="345"/>
      <c r="J316" s="1808" t="s">
        <v>198</v>
      </c>
    </row>
    <row r="317" spans="1:13" ht="13.5" customHeight="1">
      <c r="A317" s="400" t="s">
        <v>376</v>
      </c>
      <c r="B317" s="1788"/>
      <c r="C317" s="1788"/>
      <c r="D317" s="1788"/>
      <c r="E317" s="1788"/>
      <c r="F317" s="1788"/>
      <c r="G317" s="1788"/>
      <c r="H317" s="1788"/>
      <c r="I317" s="345"/>
      <c r="J317" s="1809"/>
    </row>
    <row r="318" spans="1:13" ht="13.5" customHeight="1">
      <c r="A318" s="362" t="s">
        <v>377</v>
      </c>
      <c r="B318" s="1789"/>
      <c r="C318" s="1789"/>
      <c r="D318" s="1789"/>
      <c r="E318" s="1789"/>
      <c r="F318" s="1789"/>
      <c r="G318" s="1789"/>
      <c r="H318" s="1789"/>
      <c r="I318" s="345"/>
      <c r="J318" s="1809"/>
    </row>
    <row r="319" spans="1:13" ht="13.5" customHeight="1" thickBot="1">
      <c r="A319" s="364" t="s">
        <v>378</v>
      </c>
      <c r="B319" s="1790"/>
      <c r="C319" s="1790"/>
      <c r="D319" s="1790"/>
      <c r="E319" s="1790"/>
      <c r="F319" s="1790"/>
      <c r="G319" s="1790"/>
      <c r="H319" s="1790"/>
      <c r="I319" s="345"/>
      <c r="J319" s="1810"/>
    </row>
    <row r="320" spans="1:13" ht="13.5" customHeight="1" thickBot="1">
      <c r="A320" s="402" t="s">
        <v>124</v>
      </c>
      <c r="B320" s="1796"/>
      <c r="C320" s="1796"/>
      <c r="D320" s="1788"/>
      <c r="E320" s="1788"/>
      <c r="F320" s="1788"/>
      <c r="G320" s="1788"/>
      <c r="H320" s="1788"/>
      <c r="I320" s="345"/>
      <c r="J320" s="1808" t="s">
        <v>198</v>
      </c>
    </row>
    <row r="321" spans="1:10" ht="12.75" customHeight="1">
      <c r="A321" s="400" t="s">
        <v>379</v>
      </c>
      <c r="B321" s="1805"/>
      <c r="C321" s="1788"/>
      <c r="D321" s="1788"/>
      <c r="E321" s="1788"/>
      <c r="F321" s="1788"/>
      <c r="G321" s="1788"/>
      <c r="H321" s="1788"/>
      <c r="I321" s="345"/>
      <c r="J321" s="1809"/>
    </row>
    <row r="322" spans="1:10" ht="12.75" customHeight="1">
      <c r="A322" s="403" t="s">
        <v>380</v>
      </c>
      <c r="B322" s="1830"/>
      <c r="C322" s="1789"/>
      <c r="D322" s="1789"/>
      <c r="E322" s="1789"/>
      <c r="F322" s="1789"/>
      <c r="G322" s="1789"/>
      <c r="H322" s="1789"/>
      <c r="I322" s="345"/>
      <c r="J322" s="1809"/>
    </row>
    <row r="323" spans="1:10" ht="13.5" customHeight="1" thickBot="1">
      <c r="A323" s="404" t="s">
        <v>381</v>
      </c>
      <c r="B323" s="1831"/>
      <c r="C323" s="1790"/>
      <c r="D323" s="1790"/>
      <c r="E323" s="1790"/>
      <c r="F323" s="1790"/>
      <c r="G323" s="1790"/>
      <c r="H323" s="1790"/>
      <c r="I323" s="345"/>
      <c r="J323" s="1810"/>
    </row>
    <row r="324" spans="1:10" ht="13.5" customHeight="1" thickBot="1">
      <c r="A324" s="402" t="s">
        <v>124</v>
      </c>
      <c r="B324" s="1796"/>
      <c r="C324" s="1796"/>
      <c r="D324" s="1788"/>
      <c r="E324" s="1788"/>
      <c r="F324" s="1788"/>
      <c r="G324" s="1788"/>
      <c r="H324" s="1788"/>
      <c r="I324" s="345"/>
      <c r="J324" s="1808" t="s">
        <v>198</v>
      </c>
    </row>
    <row r="325" spans="1:10" ht="13.5" customHeight="1">
      <c r="A325" s="400" t="s">
        <v>382</v>
      </c>
      <c r="B325" s="1788"/>
      <c r="C325" s="1788"/>
      <c r="D325" s="1788"/>
      <c r="E325" s="1788"/>
      <c r="F325" s="1788"/>
      <c r="G325" s="1788"/>
      <c r="H325" s="1788"/>
      <c r="I325" s="345"/>
      <c r="J325" s="1809"/>
    </row>
    <row r="326" spans="1:10" ht="13.5" customHeight="1">
      <c r="A326" s="403" t="s">
        <v>383</v>
      </c>
      <c r="B326" s="1789"/>
      <c r="C326" s="1789"/>
      <c r="D326" s="1789"/>
      <c r="E326" s="1789"/>
      <c r="F326" s="1789"/>
      <c r="G326" s="1789"/>
      <c r="H326" s="1789"/>
      <c r="I326" s="345"/>
      <c r="J326" s="1809"/>
    </row>
    <row r="327" spans="1:10" ht="13.5" customHeight="1" thickBot="1">
      <c r="A327" s="404" t="s">
        <v>384</v>
      </c>
      <c r="B327" s="1790"/>
      <c r="C327" s="1790"/>
      <c r="D327" s="1790"/>
      <c r="E327" s="1790"/>
      <c r="F327" s="1790"/>
      <c r="G327" s="1790"/>
      <c r="H327" s="1790"/>
      <c r="I327" s="345"/>
      <c r="J327" s="1810"/>
    </row>
    <row r="328" spans="1:10" ht="13.5" customHeight="1" thickBot="1">
      <c r="A328" s="402" t="s">
        <v>124</v>
      </c>
      <c r="B328" s="1796"/>
      <c r="C328" s="1796"/>
      <c r="D328" s="1788"/>
      <c r="E328" s="1788"/>
      <c r="F328" s="1788"/>
      <c r="G328" s="1788"/>
      <c r="H328" s="1788"/>
      <c r="I328" s="345"/>
      <c r="J328" s="1808" t="s">
        <v>198</v>
      </c>
    </row>
    <row r="329" spans="1:10" ht="12.75" customHeight="1">
      <c r="A329" s="400" t="s">
        <v>385</v>
      </c>
      <c r="B329" s="1788"/>
      <c r="C329" s="1788"/>
      <c r="D329" s="1788"/>
      <c r="E329" s="1788"/>
      <c r="F329" s="1788"/>
      <c r="G329" s="1788"/>
      <c r="H329" s="1788"/>
      <c r="I329" s="345"/>
      <c r="J329" s="1809"/>
    </row>
    <row r="330" spans="1:10" ht="12.75" customHeight="1">
      <c r="A330" s="362" t="s">
        <v>386</v>
      </c>
      <c r="B330" s="1789"/>
      <c r="C330" s="1789"/>
      <c r="D330" s="1789"/>
      <c r="E330" s="1789"/>
      <c r="F330" s="1789"/>
      <c r="G330" s="1789"/>
      <c r="H330" s="1789"/>
      <c r="I330" s="345"/>
      <c r="J330" s="1809"/>
    </row>
    <row r="331" spans="1:10" ht="13.5" customHeight="1" thickBot="1">
      <c r="A331" s="364" t="s">
        <v>387</v>
      </c>
      <c r="B331" s="1790"/>
      <c r="C331" s="1790"/>
      <c r="D331" s="1790"/>
      <c r="E331" s="1790"/>
      <c r="F331" s="1790"/>
      <c r="G331" s="1790"/>
      <c r="H331" s="1790"/>
      <c r="I331" s="345"/>
      <c r="J331" s="1810"/>
    </row>
    <row r="332" spans="1:10" ht="13.5" customHeight="1" thickBot="1">
      <c r="A332" s="397" t="s">
        <v>124</v>
      </c>
      <c r="B332" s="1796"/>
      <c r="C332" s="1796"/>
      <c r="D332" s="1788"/>
      <c r="E332" s="1788"/>
      <c r="F332" s="1788"/>
      <c r="G332" s="1788"/>
      <c r="H332" s="1788"/>
      <c r="I332" s="345"/>
      <c r="J332" s="1808" t="s">
        <v>198</v>
      </c>
    </row>
    <row r="333" spans="1:10" ht="12.75" customHeight="1">
      <c r="A333" s="400" t="s">
        <v>388</v>
      </c>
      <c r="B333" s="1788"/>
      <c r="C333" s="1788"/>
      <c r="D333" s="1788"/>
      <c r="E333" s="1788"/>
      <c r="F333" s="1788"/>
      <c r="G333" s="1788"/>
      <c r="H333" s="1788"/>
      <c r="I333" s="345"/>
      <c r="J333" s="1809"/>
    </row>
    <row r="334" spans="1:10" ht="12.75" customHeight="1">
      <c r="A334" s="362" t="s">
        <v>389</v>
      </c>
      <c r="B334" s="1789"/>
      <c r="C334" s="1789"/>
      <c r="D334" s="1789"/>
      <c r="E334" s="1789"/>
      <c r="F334" s="1789"/>
      <c r="G334" s="1789"/>
      <c r="H334" s="1789"/>
      <c r="I334" s="345"/>
      <c r="J334" s="1809"/>
    </row>
    <row r="335" spans="1:10" ht="13.5" customHeight="1" thickBot="1">
      <c r="A335" s="364" t="s">
        <v>390</v>
      </c>
      <c r="B335" s="1790"/>
      <c r="C335" s="1790"/>
      <c r="D335" s="1790"/>
      <c r="E335" s="1790"/>
      <c r="F335" s="1790"/>
      <c r="G335" s="1790"/>
      <c r="H335" s="1790"/>
      <c r="I335" s="345"/>
      <c r="J335" s="1810"/>
    </row>
    <row r="336" spans="1:10" ht="13.5" customHeight="1" thickBot="1">
      <c r="A336" s="402" t="s">
        <v>124</v>
      </c>
      <c r="B336" s="1796"/>
      <c r="C336" s="1796"/>
      <c r="D336" s="1788"/>
      <c r="E336" s="1788"/>
      <c r="F336" s="1788"/>
      <c r="G336" s="1788"/>
      <c r="H336" s="1788"/>
      <c r="I336" s="345"/>
      <c r="J336" s="1808" t="s">
        <v>228</v>
      </c>
    </row>
    <row r="337" spans="1:18" ht="12.75" customHeight="1">
      <c r="A337" s="415" t="s">
        <v>391</v>
      </c>
      <c r="B337" s="1805"/>
      <c r="C337" s="1788"/>
      <c r="D337" s="1788"/>
      <c r="E337" s="1788"/>
      <c r="F337" s="1788"/>
      <c r="G337" s="1788"/>
      <c r="H337" s="1788"/>
      <c r="I337" s="345"/>
      <c r="J337" s="1809"/>
      <c r="N337" s="416"/>
      <c r="O337" s="417"/>
      <c r="P337" s="417"/>
      <c r="Q337" s="417"/>
      <c r="R337" s="418"/>
    </row>
    <row r="338" spans="1:18" ht="12.75" customHeight="1">
      <c r="A338" s="409" t="s">
        <v>392</v>
      </c>
      <c r="B338" s="1806"/>
      <c r="C338" s="1789"/>
      <c r="D338" s="1789"/>
      <c r="E338" s="1789"/>
      <c r="F338" s="1789"/>
      <c r="G338" s="1789"/>
      <c r="H338" s="1789"/>
      <c r="I338" s="345"/>
      <c r="J338" s="1809"/>
      <c r="N338" s="419"/>
      <c r="O338" s="135"/>
      <c r="P338" s="135"/>
      <c r="Q338" s="135"/>
      <c r="R338" s="420"/>
    </row>
    <row r="339" spans="1:18" ht="13.5" customHeight="1" thickBot="1">
      <c r="A339" s="370" t="s">
        <v>393</v>
      </c>
      <c r="B339" s="1807"/>
      <c r="C339" s="1790"/>
      <c r="D339" s="1790"/>
      <c r="E339" s="1790"/>
      <c r="F339" s="1790"/>
      <c r="G339" s="1790"/>
      <c r="H339" s="1790"/>
      <c r="I339" s="345"/>
      <c r="J339" s="1810"/>
      <c r="N339" s="419"/>
      <c r="O339" s="135"/>
      <c r="P339" s="135"/>
      <c r="Q339" s="135"/>
      <c r="R339" s="420"/>
    </row>
    <row r="340" spans="1:18" ht="13.5" customHeight="1" thickBot="1">
      <c r="A340" s="402" t="s">
        <v>124</v>
      </c>
      <c r="B340" s="1796"/>
      <c r="C340" s="1796"/>
      <c r="D340" s="1788"/>
      <c r="E340" s="1788"/>
      <c r="F340" s="1788"/>
      <c r="G340" s="1788"/>
      <c r="H340" s="1788"/>
      <c r="I340" s="345"/>
      <c r="J340" s="1808" t="s">
        <v>228</v>
      </c>
      <c r="N340" s="419"/>
      <c r="O340" s="135"/>
      <c r="P340" s="135"/>
      <c r="Q340" s="135"/>
      <c r="R340" s="420"/>
    </row>
    <row r="341" spans="1:18" ht="12.75" customHeight="1">
      <c r="A341" s="399" t="s">
        <v>394</v>
      </c>
      <c r="B341" s="1805"/>
      <c r="C341" s="1788"/>
      <c r="D341" s="1788"/>
      <c r="E341" s="1788"/>
      <c r="F341" s="1788"/>
      <c r="G341" s="1788"/>
      <c r="H341" s="1788"/>
      <c r="I341" s="345"/>
      <c r="J341" s="1809"/>
      <c r="N341" s="419"/>
      <c r="O341" s="135"/>
      <c r="P341" s="135"/>
      <c r="Q341" s="135"/>
      <c r="R341" s="420"/>
    </row>
    <row r="342" spans="1:18" ht="12.75" customHeight="1">
      <c r="A342" s="409" t="s">
        <v>395</v>
      </c>
      <c r="B342" s="1806"/>
      <c r="C342" s="1789"/>
      <c r="D342" s="1789"/>
      <c r="E342" s="1789"/>
      <c r="F342" s="1789"/>
      <c r="G342" s="1789"/>
      <c r="H342" s="1789"/>
      <c r="I342" s="345"/>
      <c r="J342" s="1809"/>
      <c r="N342" s="419"/>
      <c r="O342" s="135"/>
      <c r="P342" s="135"/>
      <c r="Q342" s="135"/>
      <c r="R342" s="420"/>
    </row>
    <row r="343" spans="1:18" ht="13.5" customHeight="1" thickBot="1">
      <c r="A343" s="369" t="s">
        <v>257</v>
      </c>
      <c r="B343" s="1807"/>
      <c r="C343" s="1790"/>
      <c r="D343" s="1790"/>
      <c r="E343" s="1790"/>
      <c r="F343" s="1790"/>
      <c r="G343" s="1790"/>
      <c r="H343" s="1790"/>
      <c r="I343" s="345"/>
      <c r="J343" s="1810"/>
      <c r="N343" s="419"/>
      <c r="O343" s="135"/>
      <c r="P343" s="135"/>
      <c r="Q343" s="135"/>
      <c r="R343" s="420"/>
    </row>
    <row r="344" spans="1:18" ht="13.5" customHeight="1" thickBot="1">
      <c r="A344" s="391" t="s">
        <v>124</v>
      </c>
      <c r="B344" s="1804"/>
      <c r="C344" s="1796"/>
      <c r="D344" s="1788"/>
      <c r="E344" s="1788"/>
      <c r="F344" s="1788"/>
      <c r="G344" s="1788"/>
      <c r="H344" s="1788"/>
      <c r="I344" s="338"/>
      <c r="J344" s="1808" t="s">
        <v>228</v>
      </c>
      <c r="N344" s="419"/>
      <c r="O344" s="135"/>
      <c r="P344" s="135"/>
      <c r="Q344" s="135"/>
      <c r="R344" s="420"/>
    </row>
    <row r="345" spans="1:18" ht="12.75" customHeight="1">
      <c r="A345" s="401" t="s">
        <v>396</v>
      </c>
      <c r="B345" s="1805"/>
      <c r="C345" s="1788"/>
      <c r="D345" s="1788"/>
      <c r="E345" s="1788"/>
      <c r="F345" s="1788"/>
      <c r="G345" s="1788"/>
      <c r="H345" s="1788"/>
      <c r="I345" s="338"/>
      <c r="J345" s="1809"/>
      <c r="L345" s="75"/>
      <c r="M345" s="75"/>
      <c r="N345" s="419"/>
      <c r="O345" s="135"/>
      <c r="P345" s="135"/>
      <c r="Q345" s="135"/>
      <c r="R345" s="420"/>
    </row>
    <row r="346" spans="1:18" ht="12.75" customHeight="1">
      <c r="A346" s="409" t="s">
        <v>397</v>
      </c>
      <c r="B346" s="1806"/>
      <c r="C346" s="1789"/>
      <c r="D346" s="1789"/>
      <c r="E346" s="1789"/>
      <c r="F346" s="1789"/>
      <c r="G346" s="1789"/>
      <c r="H346" s="1789"/>
      <c r="I346" s="338"/>
      <c r="J346" s="1809"/>
      <c r="L346" s="75"/>
      <c r="M346" s="75"/>
      <c r="N346" s="419"/>
      <c r="O346" s="135"/>
      <c r="P346" s="135"/>
      <c r="Q346" s="135"/>
      <c r="R346" s="420"/>
    </row>
    <row r="347" spans="1:18" ht="13.5" customHeight="1" thickBot="1">
      <c r="A347" s="370" t="s">
        <v>398</v>
      </c>
      <c r="B347" s="1807"/>
      <c r="C347" s="1790"/>
      <c r="D347" s="1790"/>
      <c r="E347" s="1790"/>
      <c r="F347" s="1790"/>
      <c r="G347" s="1790"/>
      <c r="H347" s="1790"/>
      <c r="I347" s="338"/>
      <c r="J347" s="1810"/>
      <c r="L347" s="75"/>
      <c r="M347" s="75"/>
      <c r="N347" s="419"/>
      <c r="O347" s="135"/>
      <c r="P347" s="135"/>
      <c r="Q347" s="135"/>
      <c r="R347" s="420"/>
    </row>
    <row r="348" spans="1:18" ht="13.5" customHeight="1" thickBot="1">
      <c r="A348" s="391" t="s">
        <v>124</v>
      </c>
      <c r="B348" s="1804"/>
      <c r="C348" s="1796"/>
      <c r="D348" s="1788"/>
      <c r="E348" s="1788"/>
      <c r="F348" s="1788"/>
      <c r="G348" s="1788"/>
      <c r="H348" s="1788"/>
      <c r="I348" s="338"/>
      <c r="J348" s="1808" t="s">
        <v>228</v>
      </c>
      <c r="L348" s="75"/>
      <c r="M348" s="75"/>
      <c r="N348" s="419"/>
      <c r="O348" s="135"/>
      <c r="P348" s="135"/>
      <c r="Q348" s="135"/>
      <c r="R348" s="420"/>
    </row>
    <row r="349" spans="1:18" ht="12.75" customHeight="1">
      <c r="A349" s="401" t="s">
        <v>399</v>
      </c>
      <c r="B349" s="1805"/>
      <c r="C349" s="1788"/>
      <c r="D349" s="1788"/>
      <c r="E349" s="1788"/>
      <c r="F349" s="1788"/>
      <c r="G349" s="1788"/>
      <c r="H349" s="1788"/>
      <c r="I349" s="338"/>
      <c r="J349" s="1809"/>
      <c r="L349" s="75"/>
      <c r="M349" s="75"/>
      <c r="N349" s="419"/>
      <c r="O349" s="135"/>
      <c r="P349" s="135"/>
      <c r="Q349" s="135"/>
      <c r="R349" s="420"/>
    </row>
    <row r="350" spans="1:18" ht="12.75" customHeight="1">
      <c r="A350" s="369" t="s">
        <v>400</v>
      </c>
      <c r="B350" s="1806"/>
      <c r="C350" s="1789"/>
      <c r="D350" s="1789"/>
      <c r="E350" s="1789"/>
      <c r="F350" s="1789"/>
      <c r="G350" s="1789"/>
      <c r="H350" s="1789"/>
      <c r="I350" s="338"/>
      <c r="J350" s="1809"/>
      <c r="L350" s="75"/>
      <c r="M350" s="75"/>
      <c r="N350" s="419"/>
      <c r="O350" s="135"/>
      <c r="P350" s="135"/>
      <c r="Q350" s="135"/>
      <c r="R350" s="420"/>
    </row>
    <row r="351" spans="1:18" ht="13.5" customHeight="1" thickBot="1">
      <c r="A351" s="409" t="s">
        <v>401</v>
      </c>
      <c r="B351" s="1807"/>
      <c r="C351" s="1790"/>
      <c r="D351" s="1790"/>
      <c r="E351" s="1790"/>
      <c r="F351" s="1790"/>
      <c r="G351" s="1790"/>
      <c r="H351" s="1790"/>
      <c r="I351" s="338"/>
      <c r="J351" s="1810"/>
      <c r="L351" s="75"/>
      <c r="M351" s="75"/>
      <c r="N351" s="419"/>
      <c r="O351" s="135"/>
      <c r="P351" s="135"/>
      <c r="Q351" s="135"/>
      <c r="R351" s="420"/>
    </row>
    <row r="352" spans="1:18" ht="13.5" customHeight="1" thickBot="1">
      <c r="A352" s="391" t="s">
        <v>124</v>
      </c>
      <c r="B352" s="1804"/>
      <c r="C352" s="1796"/>
      <c r="D352" s="1788"/>
      <c r="E352" s="1788"/>
      <c r="F352" s="1788"/>
      <c r="G352" s="1788"/>
      <c r="H352" s="1788"/>
      <c r="I352" s="338"/>
      <c r="J352" s="1808" t="s">
        <v>228</v>
      </c>
      <c r="L352" s="75"/>
      <c r="M352" s="75"/>
      <c r="N352" s="419"/>
      <c r="O352" s="135"/>
      <c r="P352" s="135"/>
      <c r="Q352" s="135"/>
      <c r="R352" s="420"/>
    </row>
    <row r="353" spans="1:18" ht="12.75" customHeight="1">
      <c r="A353" s="401" t="s">
        <v>402</v>
      </c>
      <c r="B353" s="1805"/>
      <c r="C353" s="1788"/>
      <c r="D353" s="1788"/>
      <c r="E353" s="1788"/>
      <c r="F353" s="1788"/>
      <c r="G353" s="1788"/>
      <c r="H353" s="1788"/>
      <c r="I353" s="338"/>
      <c r="J353" s="1809"/>
      <c r="L353" s="75"/>
      <c r="M353" s="75"/>
      <c r="N353" s="419"/>
      <c r="O353" s="135"/>
      <c r="P353" s="135"/>
      <c r="Q353" s="135"/>
      <c r="R353" s="420"/>
    </row>
    <row r="354" spans="1:18" ht="12.75" customHeight="1">
      <c r="A354" s="409" t="s">
        <v>403</v>
      </c>
      <c r="B354" s="1806"/>
      <c r="C354" s="1789"/>
      <c r="D354" s="1789"/>
      <c r="E354" s="1789"/>
      <c r="F354" s="1789"/>
      <c r="G354" s="1789"/>
      <c r="H354" s="1789"/>
      <c r="I354" s="338"/>
      <c r="J354" s="1809"/>
      <c r="L354" s="75"/>
      <c r="M354" s="75"/>
      <c r="N354" s="419"/>
      <c r="O354" s="135"/>
      <c r="P354" s="135"/>
      <c r="Q354" s="135"/>
      <c r="R354" s="420"/>
    </row>
    <row r="355" spans="1:18" ht="13.5" customHeight="1" thickBot="1">
      <c r="A355" s="421" t="s">
        <v>404</v>
      </c>
      <c r="B355" s="1807"/>
      <c r="C355" s="1790"/>
      <c r="D355" s="1790"/>
      <c r="E355" s="1790"/>
      <c r="F355" s="1790"/>
      <c r="G355" s="1790"/>
      <c r="H355" s="1790"/>
      <c r="I355" s="338"/>
      <c r="J355" s="1810"/>
      <c r="L355" s="75"/>
      <c r="M355" s="75"/>
      <c r="N355" s="419"/>
      <c r="O355" s="135"/>
      <c r="P355" s="135"/>
      <c r="Q355" s="135"/>
      <c r="R355" s="420"/>
    </row>
    <row r="356" spans="1:18" ht="13.5" customHeight="1" thickBot="1">
      <c r="A356" s="391" t="s">
        <v>124</v>
      </c>
      <c r="B356" s="1804"/>
      <c r="C356" s="1796"/>
      <c r="D356" s="1788"/>
      <c r="E356" s="1788"/>
      <c r="F356" s="1788"/>
      <c r="G356" s="1788"/>
      <c r="H356" s="1788"/>
      <c r="I356" s="345"/>
      <c r="J356" s="1808" t="s">
        <v>228</v>
      </c>
      <c r="L356" s="75"/>
      <c r="M356" s="75"/>
      <c r="N356" s="419"/>
      <c r="O356" s="135"/>
      <c r="P356" s="135"/>
      <c r="Q356" s="135"/>
      <c r="R356" s="420"/>
    </row>
    <row r="357" spans="1:18" ht="12.75" customHeight="1" thickBot="1">
      <c r="A357" s="401" t="s">
        <v>405</v>
      </c>
      <c r="B357" s="1805"/>
      <c r="C357" s="1788"/>
      <c r="D357" s="1788"/>
      <c r="E357" s="1788"/>
      <c r="F357" s="1788"/>
      <c r="G357" s="1788"/>
      <c r="H357" s="1788"/>
      <c r="I357" s="345"/>
      <c r="J357" s="1809"/>
      <c r="L357" s="75"/>
      <c r="M357" s="75"/>
      <c r="N357" s="422"/>
      <c r="O357" s="423"/>
      <c r="P357" s="423"/>
      <c r="Q357" s="423"/>
      <c r="R357" s="424"/>
    </row>
    <row r="358" spans="1:18" ht="12.75" customHeight="1">
      <c r="A358" s="409" t="s">
        <v>406</v>
      </c>
      <c r="B358" s="1806"/>
      <c r="C358" s="1789"/>
      <c r="D358" s="1789"/>
      <c r="E358" s="1789"/>
      <c r="F358" s="1789"/>
      <c r="G358" s="1789"/>
      <c r="H358" s="1789"/>
      <c r="I358" s="345"/>
      <c r="J358" s="1809"/>
      <c r="L358" s="75"/>
      <c r="M358" s="75"/>
      <c r="N358" s="75"/>
      <c r="O358" s="75"/>
      <c r="P358" s="75"/>
    </row>
    <row r="359" spans="1:18" ht="13.5" customHeight="1" thickBot="1">
      <c r="A359" s="390" t="s">
        <v>407</v>
      </c>
      <c r="B359" s="1807"/>
      <c r="C359" s="1790"/>
      <c r="D359" s="1790"/>
      <c r="E359" s="1790"/>
      <c r="F359" s="1790"/>
      <c r="G359" s="1790"/>
      <c r="H359" s="1790"/>
      <c r="I359" s="345"/>
      <c r="J359" s="1810"/>
      <c r="L359" s="75"/>
      <c r="M359" s="75"/>
      <c r="N359" s="75"/>
      <c r="O359" s="75"/>
      <c r="P359" s="75"/>
    </row>
    <row r="360" spans="1:18" ht="13.5" customHeight="1" thickBot="1">
      <c r="A360" s="391" t="s">
        <v>124</v>
      </c>
      <c r="B360" s="1804"/>
      <c r="C360" s="1796"/>
      <c r="D360" s="1788"/>
      <c r="E360" s="1788"/>
      <c r="F360" s="1788"/>
      <c r="G360" s="1788"/>
      <c r="H360" s="1788"/>
      <c r="I360" s="345"/>
      <c r="J360" s="1808" t="s">
        <v>228</v>
      </c>
      <c r="L360" s="75"/>
      <c r="M360" s="75"/>
      <c r="N360" s="75"/>
      <c r="O360" s="75"/>
      <c r="P360" s="75"/>
    </row>
    <row r="361" spans="1:18" ht="13.5" customHeight="1">
      <c r="A361" s="401" t="s">
        <v>408</v>
      </c>
      <c r="B361" s="1805"/>
      <c r="C361" s="1788"/>
      <c r="D361" s="1788"/>
      <c r="E361" s="1788"/>
      <c r="F361" s="1788"/>
      <c r="G361" s="1788"/>
      <c r="H361" s="1788"/>
      <c r="I361" s="345"/>
      <c r="J361" s="1809"/>
      <c r="L361" s="75"/>
      <c r="M361" s="75"/>
      <c r="N361" s="75"/>
      <c r="O361" s="75"/>
      <c r="P361" s="75"/>
    </row>
    <row r="362" spans="1:18" ht="13.5" customHeight="1">
      <c r="A362" s="409" t="s">
        <v>409</v>
      </c>
      <c r="B362" s="1806"/>
      <c r="C362" s="1789"/>
      <c r="D362" s="1789"/>
      <c r="E362" s="1789"/>
      <c r="F362" s="1789"/>
      <c r="G362" s="1789"/>
      <c r="H362" s="1789"/>
      <c r="I362" s="345"/>
      <c r="J362" s="1809"/>
      <c r="L362" s="75"/>
      <c r="M362" s="75"/>
      <c r="N362" s="75"/>
      <c r="O362" s="75"/>
      <c r="P362" s="75"/>
    </row>
    <row r="363" spans="1:18" ht="13.5" customHeight="1" thickBot="1">
      <c r="A363" s="390" t="s">
        <v>410</v>
      </c>
      <c r="B363" s="1807"/>
      <c r="C363" s="1790"/>
      <c r="D363" s="1790"/>
      <c r="E363" s="1790"/>
      <c r="F363" s="1790"/>
      <c r="G363" s="1790"/>
      <c r="H363" s="1790"/>
      <c r="I363" s="345" t="s">
        <v>198</v>
      </c>
      <c r="J363" s="1810"/>
      <c r="L363" s="75"/>
      <c r="M363" s="75"/>
      <c r="N363" s="75"/>
      <c r="O363" s="75"/>
      <c r="P363" s="75"/>
    </row>
    <row r="364" spans="1:18" ht="13.5" customHeight="1" thickBot="1">
      <c r="A364" s="425" t="s">
        <v>125</v>
      </c>
      <c r="B364" s="1797"/>
      <c r="C364" s="1797"/>
      <c r="D364" s="1797">
        <v>65</v>
      </c>
      <c r="E364" s="1797">
        <v>91</v>
      </c>
      <c r="F364" s="1797">
        <v>104</v>
      </c>
      <c r="G364" s="1797">
        <v>156</v>
      </c>
      <c r="H364" s="1797">
        <v>260</v>
      </c>
      <c r="I364" s="345"/>
      <c r="J364" s="1808" t="s">
        <v>198</v>
      </c>
      <c r="K364" s="408"/>
    </row>
    <row r="365" spans="1:18" ht="12.75" customHeight="1">
      <c r="A365" s="71" t="s">
        <v>411</v>
      </c>
      <c r="B365" s="1798"/>
      <c r="C365" s="1801"/>
      <c r="D365" s="1801"/>
      <c r="E365" s="1801"/>
      <c r="F365" s="1801"/>
      <c r="G365" s="1801"/>
      <c r="H365" s="1801"/>
      <c r="I365" s="345"/>
      <c r="J365" s="1809"/>
      <c r="K365" s="408"/>
    </row>
    <row r="366" spans="1:18" ht="12.75" customHeight="1">
      <c r="A366" s="362" t="s">
        <v>412</v>
      </c>
      <c r="B366" s="1799"/>
      <c r="C366" s="1802"/>
      <c r="D366" s="1802"/>
      <c r="E366" s="1802"/>
      <c r="F366" s="1802"/>
      <c r="G366" s="1802"/>
      <c r="H366" s="1802"/>
      <c r="I366" s="345"/>
      <c r="J366" s="1809"/>
      <c r="K366" s="410"/>
    </row>
    <row r="367" spans="1:18" ht="13.5" customHeight="1" thickBot="1">
      <c r="A367" s="364" t="s">
        <v>413</v>
      </c>
      <c r="B367" s="1800"/>
      <c r="C367" s="1803"/>
      <c r="D367" s="1803"/>
      <c r="E367" s="1803"/>
      <c r="F367" s="1803"/>
      <c r="G367" s="1803"/>
      <c r="H367" s="1803"/>
      <c r="I367" s="345"/>
      <c r="J367" s="1810"/>
      <c r="K367" s="410"/>
    </row>
    <row r="368" spans="1:18" ht="13.5" customHeight="1" thickBot="1">
      <c r="A368" s="425" t="s">
        <v>125</v>
      </c>
      <c r="B368" s="1797"/>
      <c r="C368" s="1797"/>
      <c r="D368" s="1797">
        <v>65</v>
      </c>
      <c r="E368" s="1797">
        <v>91</v>
      </c>
      <c r="F368" s="1797">
        <v>104</v>
      </c>
      <c r="G368" s="1797">
        <v>156</v>
      </c>
      <c r="H368" s="1797">
        <v>260</v>
      </c>
      <c r="I368" s="405"/>
      <c r="J368" s="1808" t="s">
        <v>198</v>
      </c>
    </row>
    <row r="369" spans="1:11" ht="12.75" customHeight="1">
      <c r="A369" s="71" t="s">
        <v>414</v>
      </c>
      <c r="B369" s="1798"/>
      <c r="C369" s="1801"/>
      <c r="D369" s="1801"/>
      <c r="E369" s="1801"/>
      <c r="F369" s="1801"/>
      <c r="G369" s="1801"/>
      <c r="H369" s="1801"/>
      <c r="I369" s="405"/>
      <c r="J369" s="1809"/>
    </row>
    <row r="370" spans="1:11" ht="12.75" customHeight="1">
      <c r="A370" s="362" t="s">
        <v>415</v>
      </c>
      <c r="B370" s="1799"/>
      <c r="C370" s="1802"/>
      <c r="D370" s="1802"/>
      <c r="E370" s="1802"/>
      <c r="F370" s="1802"/>
      <c r="G370" s="1802"/>
      <c r="H370" s="1802"/>
      <c r="I370" s="405"/>
      <c r="J370" s="1809"/>
    </row>
    <row r="371" spans="1:11" ht="13.5" customHeight="1" thickBot="1">
      <c r="A371" s="364" t="s">
        <v>416</v>
      </c>
      <c r="B371" s="1800"/>
      <c r="C371" s="1803"/>
      <c r="D371" s="1803"/>
      <c r="E371" s="1803"/>
      <c r="F371" s="1803"/>
      <c r="G371" s="1803"/>
      <c r="H371" s="1803"/>
      <c r="I371" s="405"/>
      <c r="J371" s="1810"/>
    </row>
    <row r="372" spans="1:11" ht="13.5" customHeight="1" thickBot="1">
      <c r="A372" s="425" t="s">
        <v>125</v>
      </c>
      <c r="B372" s="1797"/>
      <c r="C372" s="1797"/>
      <c r="D372" s="1797">
        <v>65</v>
      </c>
      <c r="E372" s="1797">
        <v>91</v>
      </c>
      <c r="F372" s="1797">
        <v>104</v>
      </c>
      <c r="G372" s="1797">
        <v>156</v>
      </c>
      <c r="H372" s="1797">
        <v>260</v>
      </c>
      <c r="I372" s="405"/>
      <c r="J372" s="1808" t="s">
        <v>228</v>
      </c>
      <c r="K372" s="373"/>
    </row>
    <row r="373" spans="1:11" ht="13.5" customHeight="1">
      <c r="A373" s="71" t="s">
        <v>286</v>
      </c>
      <c r="B373" s="1798"/>
      <c r="C373" s="1801"/>
      <c r="D373" s="1801"/>
      <c r="E373" s="1801"/>
      <c r="F373" s="1801"/>
      <c r="G373" s="1801"/>
      <c r="H373" s="1801"/>
      <c r="I373" s="405"/>
      <c r="J373" s="1809"/>
      <c r="K373" s="373"/>
    </row>
    <row r="374" spans="1:11" ht="13.5" customHeight="1">
      <c r="A374" s="362" t="s">
        <v>417</v>
      </c>
      <c r="B374" s="1799"/>
      <c r="C374" s="1802"/>
      <c r="D374" s="1802"/>
      <c r="E374" s="1802"/>
      <c r="F374" s="1802"/>
      <c r="G374" s="1802"/>
      <c r="H374" s="1802"/>
      <c r="I374" s="405"/>
      <c r="J374" s="1809"/>
      <c r="K374" s="373"/>
    </row>
    <row r="375" spans="1:11" ht="13.5" customHeight="1" thickBot="1">
      <c r="A375" s="364" t="s">
        <v>418</v>
      </c>
      <c r="B375" s="1800"/>
      <c r="C375" s="1803"/>
      <c r="D375" s="1803"/>
      <c r="E375" s="1803"/>
      <c r="F375" s="1803"/>
      <c r="G375" s="1803"/>
      <c r="H375" s="1803"/>
      <c r="I375" s="405"/>
      <c r="J375" s="1810"/>
      <c r="K375" s="373"/>
    </row>
    <row r="376" spans="1:11" ht="13.5" customHeight="1" thickBot="1">
      <c r="A376" s="425" t="s">
        <v>125</v>
      </c>
      <c r="B376" s="1797" t="s">
        <v>419</v>
      </c>
      <c r="C376" s="1797" t="s">
        <v>419</v>
      </c>
      <c r="D376" s="1797">
        <v>65</v>
      </c>
      <c r="E376" s="1797">
        <v>91</v>
      </c>
      <c r="F376" s="1797">
        <v>104</v>
      </c>
      <c r="G376" s="1797">
        <v>156</v>
      </c>
      <c r="H376" s="1797">
        <v>260</v>
      </c>
      <c r="I376" s="405"/>
      <c r="J376" s="1808" t="s">
        <v>228</v>
      </c>
    </row>
    <row r="377" spans="1:11" ht="12.75" customHeight="1">
      <c r="A377" s="71" t="s">
        <v>420</v>
      </c>
      <c r="B377" s="1798"/>
      <c r="C377" s="1801"/>
      <c r="D377" s="1801"/>
      <c r="E377" s="1801"/>
      <c r="F377" s="1801"/>
      <c r="G377" s="1801"/>
      <c r="H377" s="1801"/>
      <c r="I377" s="405"/>
      <c r="J377" s="1809"/>
    </row>
    <row r="378" spans="1:11" ht="12.75" customHeight="1">
      <c r="A378" s="362" t="s">
        <v>421</v>
      </c>
      <c r="B378" s="1799"/>
      <c r="C378" s="1802"/>
      <c r="D378" s="1802"/>
      <c r="E378" s="1802"/>
      <c r="F378" s="1802"/>
      <c r="G378" s="1802"/>
      <c r="H378" s="1802"/>
      <c r="I378" s="405"/>
      <c r="J378" s="1809"/>
    </row>
    <row r="379" spans="1:11" ht="13.5" customHeight="1" thickBot="1">
      <c r="A379" s="364" t="s">
        <v>422</v>
      </c>
      <c r="B379" s="1800"/>
      <c r="C379" s="1803"/>
      <c r="D379" s="1803"/>
      <c r="E379" s="1803"/>
      <c r="F379" s="1803"/>
      <c r="G379" s="1803"/>
      <c r="H379" s="1803"/>
      <c r="I379" s="405"/>
      <c r="J379" s="1810"/>
    </row>
    <row r="380" spans="1:11" ht="13.5" thickBot="1">
      <c r="A380" s="426"/>
      <c r="B380" s="427"/>
      <c r="C380" s="427"/>
      <c r="D380" s="427"/>
      <c r="E380" s="427"/>
      <c r="F380" s="427"/>
      <c r="G380" s="427"/>
      <c r="H380" s="427"/>
      <c r="J380" s="428"/>
    </row>
    <row r="381" spans="1:11" ht="13.5" thickBot="1">
      <c r="A381" s="1818"/>
      <c r="B381" s="1820" t="s">
        <v>172</v>
      </c>
      <c r="C381" s="1821"/>
      <c r="D381" s="1821"/>
      <c r="E381" s="1821"/>
      <c r="F381" s="1821"/>
      <c r="G381" s="1821"/>
      <c r="H381" s="1822"/>
      <c r="J381" s="429"/>
    </row>
    <row r="382" spans="1:11" ht="13.5" thickBot="1">
      <c r="A382" s="1819"/>
      <c r="B382" s="430" t="s">
        <v>173</v>
      </c>
      <c r="C382" s="431" t="s">
        <v>174</v>
      </c>
      <c r="D382" s="430" t="s">
        <v>175</v>
      </c>
      <c r="E382" s="431" t="s">
        <v>176</v>
      </c>
      <c r="F382" s="430" t="s">
        <v>177</v>
      </c>
      <c r="G382" s="431" t="s">
        <v>178</v>
      </c>
      <c r="H382" s="430" t="s">
        <v>179</v>
      </c>
      <c r="J382" s="432"/>
    </row>
    <row r="383" spans="1:11">
      <c r="A383" s="433"/>
      <c r="B383" s="434"/>
      <c r="C383" s="434"/>
      <c r="D383" s="435"/>
      <c r="E383" s="434"/>
      <c r="F383" s="434"/>
      <c r="G383" s="434"/>
      <c r="H383" s="434"/>
      <c r="I383" s="75"/>
      <c r="J383" s="429"/>
    </row>
    <row r="384" spans="1:11" ht="21.75" customHeight="1">
      <c r="A384" s="433"/>
      <c r="B384" s="436" t="e">
        <f t="shared" ref="B384:H384" si="0">AVERAGE(B11:B379)</f>
        <v>#DIV/0!</v>
      </c>
      <c r="C384" s="437">
        <f t="shared" si="0"/>
        <v>47.4</v>
      </c>
      <c r="D384" s="437">
        <f t="shared" si="0"/>
        <v>62.769230769230766</v>
      </c>
      <c r="E384" s="437">
        <f t="shared" si="0"/>
        <v>87.876923076923077</v>
      </c>
      <c r="F384" s="437">
        <f t="shared" si="0"/>
        <v>98.844444444444449</v>
      </c>
      <c r="G384" s="437">
        <f t="shared" si="0"/>
        <v>148.26666666666668</v>
      </c>
      <c r="H384" s="437">
        <f t="shared" si="0"/>
        <v>251.07692307692307</v>
      </c>
      <c r="I384" s="75"/>
      <c r="J384" s="429"/>
    </row>
    <row r="385" spans="1:12" ht="24.95" hidden="1" customHeight="1">
      <c r="A385" s="438" t="s">
        <v>423</v>
      </c>
      <c r="B385" s="439" t="e">
        <f>+(AVERAGE(B276:B363))/1</f>
        <v>#DIV/0!</v>
      </c>
      <c r="C385" s="440" t="e">
        <f>+(AVERAGE(C276:C363)+AVERAGE(C364:C379))/2</f>
        <v>#DIV/0!</v>
      </c>
      <c r="D385" s="440" t="e">
        <f>+(AVERAGE(D99:D182)+AVERAGE(D276:D363)+AVERAGE(D364:D379))/3</f>
        <v>#DIV/0!</v>
      </c>
      <c r="E385" s="440" t="e">
        <f>+(AVERAGE(E99:E182)+AVERAGE(E276:E363)+AVERAGE(E364:E379))/3</f>
        <v>#DIV/0!</v>
      </c>
      <c r="F385" s="440" t="e">
        <f>+(AVERAGE(F276:F363)+AVERAGE(F364:F379))/2</f>
        <v>#DIV/0!</v>
      </c>
      <c r="G385" s="440" t="e">
        <f>+(AVERAGE(G276:G363)+AVERAGE(G364:G379))/2</f>
        <v>#DIV/0!</v>
      </c>
      <c r="H385" s="440" t="e">
        <f>+(AVERAGE(H99:H182)+AVERAGE(H276:H363)+AVERAGE(H364:H379))/3</f>
        <v>#DIV/0!</v>
      </c>
      <c r="I385" s="75"/>
      <c r="J385" s="429"/>
    </row>
    <row r="386" spans="1:12" ht="24.75" customHeight="1">
      <c r="A386" s="433"/>
      <c r="B386" s="435"/>
      <c r="C386" s="435"/>
      <c r="D386" s="435"/>
      <c r="E386" s="435"/>
      <c r="F386" s="435"/>
      <c r="G386" s="435"/>
      <c r="H386" s="435"/>
      <c r="I386" s="75"/>
      <c r="J386" s="429"/>
      <c r="K386">
        <f>130/25</f>
        <v>5.2</v>
      </c>
      <c r="L386">
        <f>K386*60</f>
        <v>312</v>
      </c>
    </row>
    <row r="387" spans="1:12" ht="12" customHeight="1">
      <c r="A387" s="433"/>
      <c r="B387" s="434"/>
      <c r="C387" s="434"/>
      <c r="D387" s="434"/>
      <c r="E387" s="434"/>
      <c r="F387" s="434"/>
      <c r="G387" s="434"/>
      <c r="H387" s="434"/>
      <c r="I387" s="75"/>
      <c r="J387" s="432"/>
    </row>
    <row r="388" spans="1:12">
      <c r="A388" s="441" t="s">
        <v>424</v>
      </c>
      <c r="B388" s="442" t="e">
        <f>+AVERAGE(B99:B379)</f>
        <v>#DIV/0!</v>
      </c>
      <c r="C388" s="442">
        <f t="shared" ref="C388:H388" si="1">AVERAGE(C11:C379)</f>
        <v>47.4</v>
      </c>
      <c r="D388" s="442">
        <f t="shared" si="1"/>
        <v>62.769230769230766</v>
      </c>
      <c r="E388" s="442">
        <f t="shared" si="1"/>
        <v>87.876923076923077</v>
      </c>
      <c r="F388" s="442">
        <f t="shared" si="1"/>
        <v>98.844444444444449</v>
      </c>
      <c r="G388" s="442">
        <f t="shared" si="1"/>
        <v>148.26666666666668</v>
      </c>
      <c r="H388" s="442">
        <f t="shared" si="1"/>
        <v>251.07692307692307</v>
      </c>
      <c r="J388" s="432"/>
    </row>
    <row r="389" spans="1:12">
      <c r="A389" s="443"/>
      <c r="B389" s="444" t="e">
        <f>INT(B388)</f>
        <v>#DIV/0!</v>
      </c>
      <c r="C389" s="444">
        <f t="shared" ref="C389:H389" si="2">(C388)</f>
        <v>47.4</v>
      </c>
      <c r="D389" s="444">
        <f t="shared" si="2"/>
        <v>62.769230769230766</v>
      </c>
      <c r="E389" s="444">
        <f t="shared" si="2"/>
        <v>87.876923076923077</v>
      </c>
      <c r="F389" s="444">
        <f t="shared" si="2"/>
        <v>98.844444444444449</v>
      </c>
      <c r="G389" s="444">
        <f t="shared" si="2"/>
        <v>148.26666666666668</v>
      </c>
      <c r="H389" s="444">
        <f t="shared" si="2"/>
        <v>251.07692307692307</v>
      </c>
      <c r="J389" s="432"/>
    </row>
    <row r="390" spans="1:12">
      <c r="A390" s="445"/>
      <c r="B390" s="446"/>
      <c r="C390" s="447"/>
      <c r="D390" s="447"/>
      <c r="E390" s="447"/>
      <c r="F390" s="447"/>
      <c r="G390" s="447"/>
      <c r="H390" s="447"/>
      <c r="J390" s="429"/>
      <c r="K390" s="448"/>
    </row>
    <row r="391" spans="1:12">
      <c r="A391" s="449" t="s">
        <v>425</v>
      </c>
      <c r="B391" s="450">
        <f t="shared" ref="B391:H391" si="3">+MAX(B99:B379)</f>
        <v>0</v>
      </c>
      <c r="C391" s="450">
        <f t="shared" si="3"/>
        <v>48</v>
      </c>
      <c r="D391" s="450">
        <f t="shared" si="3"/>
        <v>65</v>
      </c>
      <c r="E391" s="450">
        <f t="shared" si="3"/>
        <v>91</v>
      </c>
      <c r="F391" s="450">
        <f t="shared" si="3"/>
        <v>104</v>
      </c>
      <c r="G391" s="450">
        <f t="shared" si="3"/>
        <v>156</v>
      </c>
      <c r="H391" s="450">
        <f t="shared" si="3"/>
        <v>260</v>
      </c>
      <c r="J391" s="448"/>
      <c r="K391" s="451"/>
    </row>
    <row r="392" spans="1:12">
      <c r="A392" s="449" t="s">
        <v>426</v>
      </c>
      <c r="B392" s="452">
        <f t="shared" ref="B392:H392" si="4">+MIN(B99:B379)</f>
        <v>0</v>
      </c>
      <c r="C392" s="452">
        <f t="shared" si="4"/>
        <v>47</v>
      </c>
      <c r="D392" s="452">
        <f t="shared" si="4"/>
        <v>59</v>
      </c>
      <c r="E392" s="452">
        <f t="shared" si="4"/>
        <v>82.6</v>
      </c>
      <c r="F392" s="452">
        <f t="shared" si="4"/>
        <v>94.4</v>
      </c>
      <c r="G392" s="452">
        <f t="shared" si="4"/>
        <v>141.6</v>
      </c>
      <c r="H392" s="452">
        <f t="shared" si="4"/>
        <v>236</v>
      </c>
      <c r="J392" s="448"/>
      <c r="K392" s="451"/>
    </row>
    <row r="393" spans="1:12">
      <c r="A393" s="445"/>
      <c r="B393" s="75"/>
      <c r="C393" s="75"/>
      <c r="D393" s="75"/>
      <c r="E393" s="75"/>
      <c r="F393" s="75"/>
      <c r="G393" s="75"/>
      <c r="H393" s="340"/>
      <c r="J393" s="432"/>
    </row>
    <row r="394" spans="1:12" ht="13.5" thickBot="1">
      <c r="A394" s="445"/>
      <c r="B394" s="75"/>
      <c r="C394" s="75"/>
      <c r="D394" s="75"/>
      <c r="E394" s="75"/>
      <c r="F394" s="75"/>
      <c r="G394" s="75"/>
      <c r="H394" s="340"/>
      <c r="J394" s="429"/>
    </row>
    <row r="395" spans="1:12">
      <c r="A395" s="1818" t="s">
        <v>427</v>
      </c>
      <c r="B395" s="75"/>
      <c r="C395" s="75"/>
      <c r="D395" s="75"/>
      <c r="E395" s="75"/>
      <c r="F395" s="75"/>
      <c r="G395" s="75"/>
      <c r="H395" s="340"/>
      <c r="J395" s="429"/>
    </row>
    <row r="396" spans="1:12" ht="13.5" thickBot="1">
      <c r="A396" s="1819"/>
      <c r="B396" s="75"/>
      <c r="C396" s="75"/>
      <c r="D396" s="75"/>
      <c r="E396" s="75"/>
      <c r="F396" s="75"/>
      <c r="G396" s="75"/>
      <c r="H396" s="340"/>
      <c r="J396" s="432"/>
    </row>
    <row r="397" spans="1:12">
      <c r="A397" s="445"/>
      <c r="B397" s="75"/>
      <c r="C397" s="75"/>
      <c r="D397" s="75"/>
      <c r="E397" s="75"/>
      <c r="F397" s="75"/>
      <c r="G397" s="75"/>
      <c r="H397" s="340"/>
      <c r="J397" s="432"/>
    </row>
    <row r="398" spans="1:12" ht="15.75">
      <c r="A398" s="453" t="s">
        <v>124</v>
      </c>
      <c r="B398" s="454" t="e">
        <f t="shared" ref="B398:H398" si="5">+AVERAGE(B184:B363)</f>
        <v>#DIV/0!</v>
      </c>
      <c r="C398" s="455">
        <f t="shared" si="5"/>
        <v>47.4</v>
      </c>
      <c r="D398" s="455">
        <f t="shared" si="5"/>
        <v>59.2</v>
      </c>
      <c r="E398" s="455">
        <f t="shared" si="5"/>
        <v>82.88</v>
      </c>
      <c r="F398" s="455">
        <f t="shared" si="5"/>
        <v>94.72</v>
      </c>
      <c r="G398" s="455">
        <f t="shared" si="5"/>
        <v>142.07999999999998</v>
      </c>
      <c r="H398" s="455">
        <f t="shared" si="5"/>
        <v>236.8</v>
      </c>
      <c r="J398" s="429"/>
    </row>
    <row r="399" spans="1:12" ht="15.75">
      <c r="A399" s="456" t="s">
        <v>123</v>
      </c>
      <c r="B399" s="457" t="e">
        <f>+AVERAGE(B99:B182)</f>
        <v>#DIV/0!</v>
      </c>
      <c r="C399" s="458" t="e">
        <f>+AVERAGE(C99:C182)</f>
        <v>#DIV/0!</v>
      </c>
      <c r="D399" s="459">
        <f>+AVERAGE(D11:D182)</f>
        <v>65</v>
      </c>
      <c r="E399" s="459">
        <f>+AVERAGE(E11:E182)</f>
        <v>91</v>
      </c>
      <c r="F399" s="459"/>
      <c r="G399" s="459"/>
      <c r="H399" s="459">
        <f>+AVERAGE(H11:H182)</f>
        <v>260</v>
      </c>
      <c r="J399" s="429"/>
    </row>
    <row r="400" spans="1:12" ht="15.75">
      <c r="A400" s="460" t="s">
        <v>125</v>
      </c>
      <c r="B400" s="133"/>
      <c r="C400" s="461" t="e">
        <f>+AVERAGE(C364:C379)</f>
        <v>#DIV/0!</v>
      </c>
      <c r="D400" s="461">
        <f>+AVERAGE(D364:D379)</f>
        <v>65</v>
      </c>
      <c r="E400" s="461">
        <f>+AVERAGE(E364:E379)</f>
        <v>91</v>
      </c>
      <c r="F400" s="461" t="s">
        <v>428</v>
      </c>
      <c r="G400" s="461"/>
      <c r="H400" s="461">
        <f>+AVERAGE(H364:H379)</f>
        <v>260</v>
      </c>
      <c r="J400" s="432"/>
    </row>
    <row r="401" spans="1:10">
      <c r="A401" s="445"/>
      <c r="B401" s="75"/>
      <c r="C401" s="75"/>
      <c r="D401" s="75"/>
      <c r="E401" s="75"/>
      <c r="F401" s="75"/>
      <c r="G401" s="75"/>
      <c r="H401" s="340"/>
      <c r="J401" s="432"/>
    </row>
    <row r="402" spans="1:10" ht="23.25">
      <c r="A402" s="462" t="s">
        <v>429</v>
      </c>
      <c r="B402" s="463">
        <f>COUNTIF(J11:J379,"s")</f>
        <v>53</v>
      </c>
      <c r="C402" s="464"/>
      <c r="D402" s="75"/>
      <c r="E402" s="75"/>
      <c r="F402" s="75"/>
      <c r="G402" s="75"/>
      <c r="H402" s="340"/>
      <c r="J402" s="429"/>
    </row>
    <row r="403" spans="1:10" ht="23.25">
      <c r="A403" s="465" t="s">
        <v>430</v>
      </c>
      <c r="B403" s="463">
        <f>COUNTIF(J11:J379,"n")</f>
        <v>37</v>
      </c>
      <c r="C403" s="464"/>
      <c r="D403" s="75"/>
      <c r="E403" s="75"/>
      <c r="F403" s="75"/>
      <c r="G403" s="75"/>
      <c r="H403" s="340"/>
      <c r="J403" s="429"/>
    </row>
    <row r="404" spans="1:10" ht="23.25">
      <c r="A404" s="466"/>
      <c r="B404" s="463"/>
      <c r="C404" s="464"/>
      <c r="D404" s="75"/>
      <c r="E404" s="75"/>
      <c r="F404" s="75"/>
      <c r="G404" s="75"/>
      <c r="H404" s="340"/>
      <c r="J404" s="432"/>
    </row>
    <row r="405" spans="1:10" ht="23.25">
      <c r="A405" s="465" t="s">
        <v>431</v>
      </c>
      <c r="B405" s="463">
        <f>+B403+B402</f>
        <v>90</v>
      </c>
      <c r="C405" s="464"/>
      <c r="D405" s="75"/>
      <c r="E405" s="75"/>
      <c r="F405" s="75"/>
      <c r="G405" s="75"/>
      <c r="H405" s="340"/>
      <c r="J405" s="432"/>
    </row>
    <row r="406" spans="1:10" ht="23.25">
      <c r="A406" s="467"/>
      <c r="B406" s="463"/>
      <c r="C406" s="75"/>
      <c r="D406" s="75"/>
      <c r="E406" s="75"/>
      <c r="F406" s="75"/>
      <c r="G406" s="75"/>
      <c r="H406" s="340"/>
    </row>
    <row r="407" spans="1:10" ht="23.25">
      <c r="A407" s="468" t="s">
        <v>432</v>
      </c>
      <c r="B407" s="463">
        <f>COUNTIF(J184:J363,"S")</f>
        <v>27</v>
      </c>
      <c r="C407" s="464"/>
      <c r="D407" s="75"/>
      <c r="E407" s="75"/>
      <c r="F407" s="75"/>
      <c r="G407" s="75"/>
      <c r="H407" s="340"/>
    </row>
    <row r="408" spans="1:10" ht="23.25">
      <c r="A408" s="469" t="s">
        <v>433</v>
      </c>
      <c r="B408" s="463">
        <f>COUNTIF(J11:J182,"S")</f>
        <v>22</v>
      </c>
      <c r="C408" s="464"/>
      <c r="D408" s="75"/>
      <c r="E408" s="75"/>
      <c r="F408" s="75"/>
      <c r="G408" s="75"/>
      <c r="H408" s="340"/>
    </row>
    <row r="409" spans="1:10" ht="23.25">
      <c r="A409" s="470" t="s">
        <v>434</v>
      </c>
      <c r="B409" s="463">
        <f>COUNTIF(J364:J379,"S")</f>
        <v>4</v>
      </c>
      <c r="C409" s="464"/>
      <c r="D409" s="75"/>
      <c r="E409" s="75"/>
      <c r="F409" s="75"/>
      <c r="G409" s="75"/>
      <c r="H409" s="340"/>
    </row>
    <row r="410" spans="1:10" ht="23.25">
      <c r="A410" s="471" t="s">
        <v>431</v>
      </c>
      <c r="B410" s="463">
        <f>+B408+B407+B409</f>
        <v>53</v>
      </c>
      <c r="C410" s="464"/>
      <c r="D410" s="75"/>
      <c r="E410" s="75"/>
      <c r="F410" s="75"/>
      <c r="G410" s="75"/>
      <c r="H410" s="340"/>
    </row>
    <row r="411" spans="1:10" ht="13.5" thickBot="1">
      <c r="A411" s="472"/>
      <c r="B411" s="349"/>
      <c r="C411" s="349"/>
      <c r="D411" s="349"/>
      <c r="E411" s="349"/>
      <c r="F411" s="349"/>
      <c r="G411" s="349"/>
      <c r="H411" s="351" t="s">
        <v>435</v>
      </c>
    </row>
    <row r="412" spans="1:10">
      <c r="A412" s="426"/>
    </row>
    <row r="413" spans="1:10">
      <c r="A413" s="473"/>
    </row>
    <row r="414" spans="1:10">
      <c r="A414" s="426"/>
    </row>
    <row r="415" spans="1:10">
      <c r="A415" s="426"/>
    </row>
    <row r="416" spans="1:10">
      <c r="A416" s="426"/>
    </row>
    <row r="417" spans="1:1">
      <c r="A417" s="473"/>
    </row>
    <row r="418" spans="1:1">
      <c r="A418" s="426"/>
    </row>
    <row r="419" spans="1:1">
      <c r="A419" s="426"/>
    </row>
    <row r="420" spans="1:1">
      <c r="A420" s="473"/>
    </row>
    <row r="421" spans="1:1">
      <c r="A421" s="426"/>
    </row>
    <row r="422" spans="1:1">
      <c r="A422" s="426"/>
    </row>
    <row r="423" spans="1:1">
      <c r="A423" s="473"/>
    </row>
    <row r="424" spans="1:1">
      <c r="A424" s="426"/>
    </row>
    <row r="425" spans="1:1">
      <c r="A425" s="426"/>
    </row>
    <row r="426" spans="1:1">
      <c r="A426" s="473"/>
    </row>
    <row r="427" spans="1:1">
      <c r="A427" s="426"/>
    </row>
    <row r="428" spans="1:1">
      <c r="A428" s="426"/>
    </row>
    <row r="429" spans="1:1">
      <c r="A429" s="473"/>
    </row>
    <row r="430" spans="1:1">
      <c r="A430" s="426"/>
    </row>
    <row r="431" spans="1:1">
      <c r="A431" s="426"/>
    </row>
    <row r="432" spans="1:1">
      <c r="A432" s="473"/>
    </row>
    <row r="433" spans="1:1">
      <c r="A433" s="426"/>
    </row>
    <row r="434" spans="1:1">
      <c r="A434" s="426"/>
    </row>
    <row r="435" spans="1:1">
      <c r="A435" s="473"/>
    </row>
    <row r="436" spans="1:1">
      <c r="A436" s="426"/>
    </row>
    <row r="437" spans="1:1">
      <c r="A437" s="426"/>
    </row>
    <row r="438" spans="1:1">
      <c r="A438" s="426"/>
    </row>
    <row r="439" spans="1:1">
      <c r="A439" s="426"/>
    </row>
    <row r="440" spans="1:1">
      <c r="A440" s="426"/>
    </row>
    <row r="441" spans="1:1">
      <c r="A441" s="426"/>
    </row>
    <row r="442" spans="1:1">
      <c r="A442" s="426"/>
    </row>
    <row r="443" spans="1:1">
      <c r="A443" s="426"/>
    </row>
    <row r="444" spans="1:1">
      <c r="A444" s="426"/>
    </row>
    <row r="445" spans="1:1">
      <c r="A445" s="426"/>
    </row>
    <row r="446" spans="1:1">
      <c r="A446" s="426"/>
    </row>
    <row r="447" spans="1:1">
      <c r="A447" s="473"/>
    </row>
    <row r="448" spans="1:1">
      <c r="A448" s="426"/>
    </row>
    <row r="449" spans="1:1">
      <c r="A449" s="426"/>
    </row>
    <row r="450" spans="1:1">
      <c r="A450" s="473"/>
    </row>
    <row r="451" spans="1:1" ht="12.75" customHeight="1">
      <c r="A451" s="426"/>
    </row>
    <row r="452" spans="1:1">
      <c r="A452" s="426"/>
    </row>
    <row r="453" spans="1:1">
      <c r="A453" s="473"/>
    </row>
    <row r="454" spans="1:1">
      <c r="A454" s="426"/>
    </row>
    <row r="455" spans="1:1">
      <c r="A455" s="426"/>
    </row>
    <row r="456" spans="1:1">
      <c r="A456" s="244"/>
    </row>
    <row r="457" spans="1:1">
      <c r="A457" s="244"/>
    </row>
    <row r="458" spans="1:1">
      <c r="A458" s="244"/>
    </row>
    <row r="459" spans="1:1">
      <c r="A459" s="244"/>
    </row>
    <row r="460" spans="1:1">
      <c r="A460" s="244"/>
    </row>
    <row r="461" spans="1:1">
      <c r="A461" s="244"/>
    </row>
    <row r="462" spans="1:1">
      <c r="A462" s="244"/>
    </row>
    <row r="463" spans="1:1">
      <c r="A463" s="244"/>
    </row>
    <row r="464" spans="1:1">
      <c r="A464" s="244"/>
    </row>
    <row r="465" spans="1:1">
      <c r="A465" s="244"/>
    </row>
    <row r="466" spans="1:1">
      <c r="A466" s="244"/>
    </row>
    <row r="467" spans="1:1">
      <c r="A467" s="244"/>
    </row>
    <row r="468" spans="1:1">
      <c r="A468" s="244"/>
    </row>
    <row r="469" spans="1:1">
      <c r="A469" s="244"/>
    </row>
    <row r="470" spans="1:1">
      <c r="A470" s="244"/>
    </row>
    <row r="471" spans="1:1">
      <c r="A471" s="243"/>
    </row>
    <row r="472" spans="1:1">
      <c r="A472" s="243"/>
    </row>
    <row r="473" spans="1:1">
      <c r="A473" s="243"/>
    </row>
    <row r="474" spans="1:1">
      <c r="A474" s="243"/>
    </row>
    <row r="475" spans="1:1">
      <c r="A475" s="243"/>
    </row>
    <row r="476" spans="1:1">
      <c r="A476" s="243"/>
    </row>
    <row r="477" spans="1:1" ht="5.25" customHeight="1">
      <c r="A477" s="243"/>
    </row>
    <row r="478" spans="1:1" ht="20.25" customHeight="1">
      <c r="A478" s="243"/>
    </row>
    <row r="479" spans="1:1" ht="21.75" customHeight="1">
      <c r="A479" s="243"/>
    </row>
    <row r="480" spans="1:1">
      <c r="A480" s="243"/>
    </row>
    <row r="481" spans="1:1">
      <c r="A481" s="243"/>
    </row>
    <row r="482" spans="1:1">
      <c r="A482" s="243"/>
    </row>
    <row r="483" spans="1:1">
      <c r="A483" s="243"/>
    </row>
    <row r="484" spans="1:1">
      <c r="A484" s="243"/>
    </row>
    <row r="485" spans="1:1">
      <c r="A485" s="243"/>
    </row>
    <row r="486" spans="1:1" ht="26.25" customHeight="1">
      <c r="A486" s="243"/>
    </row>
    <row r="487" spans="1:1" ht="26.25" customHeight="1">
      <c r="A487" s="243"/>
    </row>
    <row r="488" spans="1:1">
      <c r="A488" s="243"/>
    </row>
    <row r="489" spans="1:1" ht="26.25" customHeight="1">
      <c r="A489" s="243"/>
    </row>
    <row r="490" spans="1:1">
      <c r="A490" s="243"/>
    </row>
    <row r="491" spans="1:1" ht="26.25" customHeight="1">
      <c r="A491" s="243"/>
    </row>
    <row r="492" spans="1:1" ht="26.25" customHeight="1">
      <c r="A492" s="243"/>
    </row>
    <row r="493" spans="1:1">
      <c r="A493" s="243"/>
    </row>
    <row r="494" spans="1:1" ht="26.25" customHeight="1">
      <c r="A494" s="243"/>
    </row>
    <row r="495" spans="1:1">
      <c r="A495" s="243"/>
    </row>
    <row r="496" spans="1:1">
      <c r="A496" s="243"/>
    </row>
    <row r="497" spans="1:1">
      <c r="A497" s="243"/>
    </row>
    <row r="498" spans="1:1">
      <c r="A498" s="243"/>
    </row>
    <row r="499" spans="1:1">
      <c r="A499" s="243"/>
    </row>
    <row r="500" spans="1:1">
      <c r="A500" s="243"/>
    </row>
    <row r="501" spans="1:1">
      <c r="A501" s="243"/>
    </row>
    <row r="502" spans="1:1">
      <c r="A502" s="243"/>
    </row>
    <row r="503" spans="1:1">
      <c r="A503" s="243"/>
    </row>
    <row r="504" spans="1:1">
      <c r="A504" s="243"/>
    </row>
    <row r="505" spans="1:1">
      <c r="A505" s="243"/>
    </row>
    <row r="506" spans="1:1">
      <c r="A506" s="243"/>
    </row>
    <row r="507" spans="1:1">
      <c r="A507" s="243"/>
    </row>
    <row r="508" spans="1:1">
      <c r="A508" s="243"/>
    </row>
    <row r="509" spans="1:1">
      <c r="A509" s="243"/>
    </row>
    <row r="510" spans="1:1">
      <c r="A510" s="243"/>
    </row>
    <row r="511" spans="1:1">
      <c r="A511" s="243"/>
    </row>
    <row r="512" spans="1:1">
      <c r="A512" s="243"/>
    </row>
    <row r="513" spans="1:1">
      <c r="A513" s="243"/>
    </row>
    <row r="514" spans="1:1">
      <c r="A514" s="243"/>
    </row>
    <row r="515" spans="1:1">
      <c r="A515" s="243"/>
    </row>
    <row r="516" spans="1:1">
      <c r="A516" s="243"/>
    </row>
    <row r="517" spans="1:1">
      <c r="A517" s="243"/>
    </row>
    <row r="518" spans="1:1">
      <c r="A518" s="243"/>
    </row>
    <row r="519" spans="1:1">
      <c r="A519" s="243"/>
    </row>
    <row r="520" spans="1:1">
      <c r="A520" s="243"/>
    </row>
    <row r="521" spans="1:1">
      <c r="A521" s="243"/>
    </row>
    <row r="522" spans="1:1">
      <c r="A522" s="243"/>
    </row>
    <row r="523" spans="1:1">
      <c r="A523" s="243"/>
    </row>
    <row r="524" spans="1:1">
      <c r="A524" s="243"/>
    </row>
    <row r="525" spans="1:1">
      <c r="A525" s="243"/>
    </row>
    <row r="526" spans="1:1">
      <c r="A526" s="243"/>
    </row>
    <row r="527" spans="1:1">
      <c r="A527" s="243"/>
    </row>
    <row r="528" spans="1:1">
      <c r="A528" s="243"/>
    </row>
    <row r="529" spans="1:1">
      <c r="A529" s="243"/>
    </row>
    <row r="530" spans="1:1">
      <c r="A530" s="243"/>
    </row>
    <row r="531" spans="1:1">
      <c r="A531" s="243"/>
    </row>
    <row r="532" spans="1:1">
      <c r="A532" s="243"/>
    </row>
    <row r="533" spans="1:1">
      <c r="A533" s="243"/>
    </row>
    <row r="534" spans="1:1">
      <c r="A534" s="243"/>
    </row>
    <row r="535" spans="1:1">
      <c r="A535" s="243"/>
    </row>
    <row r="536" spans="1:1">
      <c r="A536" s="243"/>
    </row>
    <row r="537" spans="1:1">
      <c r="A537" s="243"/>
    </row>
    <row r="538" spans="1:1">
      <c r="A538" s="243"/>
    </row>
    <row r="539" spans="1:1">
      <c r="A539" s="243"/>
    </row>
    <row r="540" spans="1:1">
      <c r="A540" s="243"/>
    </row>
    <row r="541" spans="1:1">
      <c r="A541" s="243"/>
    </row>
    <row r="542" spans="1:1">
      <c r="A542" s="243"/>
    </row>
    <row r="543" spans="1:1">
      <c r="A543" s="243"/>
    </row>
    <row r="544" spans="1:1">
      <c r="A544" s="243"/>
    </row>
    <row r="545" spans="1:1">
      <c r="A545" s="243"/>
    </row>
    <row r="546" spans="1:1">
      <c r="A546" s="243"/>
    </row>
    <row r="547" spans="1:1">
      <c r="A547" s="243"/>
    </row>
    <row r="548" spans="1:1">
      <c r="A548" s="243"/>
    </row>
    <row r="549" spans="1:1">
      <c r="A549" s="243"/>
    </row>
    <row r="550" spans="1:1">
      <c r="A550" s="243"/>
    </row>
    <row r="551" spans="1:1">
      <c r="A551" s="243"/>
    </row>
    <row r="552" spans="1:1">
      <c r="A552" s="243"/>
    </row>
    <row r="553" spans="1:1">
      <c r="A553" s="243"/>
    </row>
    <row r="554" spans="1:1">
      <c r="A554" s="243"/>
    </row>
    <row r="555" spans="1:1">
      <c r="A555" s="243"/>
    </row>
    <row r="556" spans="1:1">
      <c r="A556" s="243"/>
    </row>
    <row r="557" spans="1:1">
      <c r="A557" s="243"/>
    </row>
    <row r="558" spans="1:1">
      <c r="A558" s="243"/>
    </row>
    <row r="559" spans="1:1">
      <c r="A559" s="243"/>
    </row>
    <row r="560" spans="1:1">
      <c r="A560" s="243"/>
    </row>
    <row r="561" spans="1:1">
      <c r="A561" s="243"/>
    </row>
    <row r="562" spans="1:1">
      <c r="A562" s="243"/>
    </row>
    <row r="563" spans="1:1">
      <c r="A563" s="243"/>
    </row>
    <row r="564" spans="1:1">
      <c r="A564" s="243"/>
    </row>
    <row r="565" spans="1:1">
      <c r="A565" s="243"/>
    </row>
    <row r="566" spans="1:1">
      <c r="A566" s="243"/>
    </row>
    <row r="567" spans="1:1">
      <c r="A567" s="243"/>
    </row>
    <row r="568" spans="1:1">
      <c r="A568" s="243"/>
    </row>
    <row r="569" spans="1:1">
      <c r="A569" s="243"/>
    </row>
    <row r="570" spans="1:1">
      <c r="A570" s="243"/>
    </row>
    <row r="571" spans="1:1">
      <c r="A571" s="243"/>
    </row>
    <row r="572" spans="1:1">
      <c r="A572" s="243"/>
    </row>
    <row r="573" spans="1:1">
      <c r="A573" s="243"/>
    </row>
    <row r="574" spans="1:1">
      <c r="A574" s="243"/>
    </row>
    <row r="575" spans="1:1">
      <c r="A575" s="243"/>
    </row>
    <row r="576" spans="1:1">
      <c r="A576" s="243"/>
    </row>
    <row r="577" spans="1:1">
      <c r="A577" s="243"/>
    </row>
    <row r="578" spans="1:1">
      <c r="A578" s="243"/>
    </row>
    <row r="579" spans="1:1">
      <c r="A579" s="243"/>
    </row>
    <row r="580" spans="1:1">
      <c r="A580" s="243"/>
    </row>
    <row r="581" spans="1:1">
      <c r="A581" s="243"/>
    </row>
    <row r="582" spans="1:1">
      <c r="A582" s="243"/>
    </row>
    <row r="583" spans="1:1">
      <c r="A583" s="243"/>
    </row>
    <row r="584" spans="1:1">
      <c r="A584" s="243"/>
    </row>
    <row r="585" spans="1:1">
      <c r="A585" s="243"/>
    </row>
    <row r="586" spans="1:1">
      <c r="A586" s="243"/>
    </row>
    <row r="587" spans="1:1">
      <c r="A587" s="243"/>
    </row>
    <row r="588" spans="1:1">
      <c r="A588" s="243"/>
    </row>
    <row r="589" spans="1:1">
      <c r="A589" s="243"/>
    </row>
    <row r="590" spans="1:1">
      <c r="A590" s="243"/>
    </row>
    <row r="591" spans="1:1">
      <c r="A591" s="243"/>
    </row>
    <row r="592" spans="1:1">
      <c r="A592" s="243"/>
    </row>
    <row r="593" spans="1:1">
      <c r="A593" s="243"/>
    </row>
    <row r="594" spans="1:1">
      <c r="A594" s="243"/>
    </row>
    <row r="595" spans="1:1">
      <c r="A595" s="243"/>
    </row>
    <row r="596" spans="1:1">
      <c r="A596" s="243"/>
    </row>
    <row r="597" spans="1:1">
      <c r="A597" s="243"/>
    </row>
    <row r="598" spans="1:1">
      <c r="A598" s="243"/>
    </row>
    <row r="599" spans="1:1">
      <c r="A599" s="243"/>
    </row>
    <row r="600" spans="1:1">
      <c r="A600" s="243"/>
    </row>
    <row r="601" spans="1:1">
      <c r="A601" s="243"/>
    </row>
    <row r="602" spans="1:1">
      <c r="A602" s="243"/>
    </row>
    <row r="603" spans="1:1">
      <c r="A603" s="243"/>
    </row>
    <row r="604" spans="1:1">
      <c r="A604" s="243"/>
    </row>
    <row r="605" spans="1:1">
      <c r="A605" s="243"/>
    </row>
    <row r="606" spans="1:1">
      <c r="A606" s="243"/>
    </row>
    <row r="607" spans="1:1">
      <c r="A607" s="243"/>
    </row>
    <row r="608" spans="1:1">
      <c r="A608" s="243"/>
    </row>
    <row r="609" spans="1:1">
      <c r="A609" s="243"/>
    </row>
    <row r="610" spans="1:1">
      <c r="A610" s="243"/>
    </row>
    <row r="611" spans="1:1">
      <c r="A611" s="243"/>
    </row>
    <row r="612" spans="1:1">
      <c r="A612" s="243"/>
    </row>
    <row r="613" spans="1:1">
      <c r="A613" s="243"/>
    </row>
    <row r="614" spans="1:1">
      <c r="A614" s="243"/>
    </row>
    <row r="615" spans="1:1">
      <c r="A615" s="243"/>
    </row>
    <row r="616" spans="1:1">
      <c r="A616" s="243"/>
    </row>
    <row r="617" spans="1:1">
      <c r="A617" s="243"/>
    </row>
    <row r="618" spans="1:1">
      <c r="A618" s="243"/>
    </row>
    <row r="619" spans="1:1">
      <c r="A619" s="243"/>
    </row>
    <row r="620" spans="1:1">
      <c r="A620" s="243"/>
    </row>
    <row r="621" spans="1:1">
      <c r="A621" s="243"/>
    </row>
    <row r="622" spans="1:1">
      <c r="A622" s="243"/>
    </row>
    <row r="623" spans="1:1">
      <c r="A623" s="243"/>
    </row>
    <row r="624" spans="1:1">
      <c r="A624" s="243"/>
    </row>
    <row r="625" spans="1:1">
      <c r="A625" s="243"/>
    </row>
    <row r="626" spans="1:1">
      <c r="A626" s="243"/>
    </row>
    <row r="627" spans="1:1">
      <c r="A627" s="243"/>
    </row>
    <row r="628" spans="1:1">
      <c r="A628" s="243"/>
    </row>
    <row r="629" spans="1:1">
      <c r="A629" s="243"/>
    </row>
    <row r="630" spans="1:1">
      <c r="A630" s="243"/>
    </row>
    <row r="631" spans="1:1">
      <c r="A631" s="243"/>
    </row>
    <row r="632" spans="1:1">
      <c r="A632" s="243"/>
    </row>
    <row r="633" spans="1:1">
      <c r="A633" s="243"/>
    </row>
    <row r="634" spans="1:1">
      <c r="A634" s="243"/>
    </row>
    <row r="635" spans="1:1">
      <c r="A635" s="243"/>
    </row>
    <row r="636" spans="1:1">
      <c r="A636" s="243"/>
    </row>
    <row r="637" spans="1:1">
      <c r="A637" s="243"/>
    </row>
    <row r="638" spans="1:1">
      <c r="A638" s="243"/>
    </row>
    <row r="639" spans="1:1">
      <c r="A639" s="243"/>
    </row>
    <row r="640" spans="1:1">
      <c r="A640" s="243"/>
    </row>
    <row r="641" spans="1:1">
      <c r="A641" s="243"/>
    </row>
    <row r="642" spans="1:1">
      <c r="A642" s="243"/>
    </row>
    <row r="643" spans="1:1">
      <c r="A643" s="243"/>
    </row>
    <row r="644" spans="1:1">
      <c r="A644" s="243"/>
    </row>
    <row r="645" spans="1:1">
      <c r="A645" s="243"/>
    </row>
    <row r="646" spans="1:1">
      <c r="A646" s="243"/>
    </row>
    <row r="647" spans="1:1">
      <c r="A647" s="243"/>
    </row>
    <row r="648" spans="1:1">
      <c r="A648" s="243"/>
    </row>
    <row r="649" spans="1:1">
      <c r="A649" s="243"/>
    </row>
    <row r="650" spans="1:1">
      <c r="A650" s="243"/>
    </row>
    <row r="651" spans="1:1">
      <c r="A651" s="243"/>
    </row>
    <row r="652" spans="1:1">
      <c r="A652" s="243"/>
    </row>
    <row r="653" spans="1:1">
      <c r="A653" s="243"/>
    </row>
    <row r="654" spans="1:1">
      <c r="A654" s="243"/>
    </row>
    <row r="655" spans="1:1">
      <c r="A655" s="243"/>
    </row>
    <row r="656" spans="1:1">
      <c r="A656" s="243"/>
    </row>
    <row r="657" spans="1:1">
      <c r="A657" s="243"/>
    </row>
    <row r="658" spans="1:1">
      <c r="A658" s="243"/>
    </row>
    <row r="659" spans="1:1">
      <c r="A659" s="243"/>
    </row>
    <row r="660" spans="1:1">
      <c r="A660" s="243"/>
    </row>
    <row r="661" spans="1:1">
      <c r="A661" s="243"/>
    </row>
    <row r="662" spans="1:1">
      <c r="A662" s="243"/>
    </row>
    <row r="663" spans="1:1">
      <c r="A663" s="243"/>
    </row>
    <row r="664" spans="1:1">
      <c r="A664" s="243"/>
    </row>
    <row r="665" spans="1:1">
      <c r="A665" s="243"/>
    </row>
    <row r="666" spans="1:1">
      <c r="A666" s="243"/>
    </row>
    <row r="667" spans="1:1">
      <c r="A667" s="243"/>
    </row>
    <row r="668" spans="1:1">
      <c r="A668" s="243"/>
    </row>
    <row r="669" spans="1:1">
      <c r="A669" s="243"/>
    </row>
    <row r="670" spans="1:1">
      <c r="A670" s="243"/>
    </row>
    <row r="671" spans="1:1">
      <c r="A671" s="243"/>
    </row>
    <row r="672" spans="1:1">
      <c r="A672" s="243"/>
    </row>
    <row r="673" spans="1:1">
      <c r="A673" s="243"/>
    </row>
    <row r="674" spans="1:1">
      <c r="A674" s="243"/>
    </row>
    <row r="675" spans="1:1">
      <c r="A675" s="243"/>
    </row>
    <row r="676" spans="1:1">
      <c r="A676" s="243"/>
    </row>
    <row r="677" spans="1:1">
      <c r="A677" s="243"/>
    </row>
    <row r="678" spans="1:1">
      <c r="A678" s="243"/>
    </row>
    <row r="679" spans="1:1">
      <c r="A679" s="243"/>
    </row>
    <row r="680" spans="1:1">
      <c r="A680" s="243"/>
    </row>
    <row r="681" spans="1:1">
      <c r="A681" s="243"/>
    </row>
    <row r="682" spans="1:1">
      <c r="A682" s="243"/>
    </row>
    <row r="683" spans="1:1">
      <c r="A683" s="243"/>
    </row>
    <row r="684" spans="1:1">
      <c r="A684" s="243"/>
    </row>
    <row r="685" spans="1:1">
      <c r="A685" s="243"/>
    </row>
    <row r="686" spans="1:1">
      <c r="A686" s="243"/>
    </row>
    <row r="687" spans="1:1">
      <c r="A687" s="243"/>
    </row>
    <row r="688" spans="1:1">
      <c r="A688" s="243"/>
    </row>
    <row r="689" spans="1:1">
      <c r="A689" s="243"/>
    </row>
    <row r="690" spans="1:1">
      <c r="A690" s="243"/>
    </row>
    <row r="691" spans="1:1">
      <c r="A691" s="243"/>
    </row>
    <row r="692" spans="1:1">
      <c r="A692" s="243"/>
    </row>
    <row r="693" spans="1:1">
      <c r="A693" s="243"/>
    </row>
    <row r="694" spans="1:1">
      <c r="A694" s="243"/>
    </row>
    <row r="695" spans="1:1">
      <c r="A695" s="243"/>
    </row>
    <row r="696" spans="1:1">
      <c r="A696" s="243"/>
    </row>
    <row r="697" spans="1:1">
      <c r="A697" s="243"/>
    </row>
    <row r="698" spans="1:1">
      <c r="A698" s="243"/>
    </row>
    <row r="699" spans="1:1">
      <c r="A699" s="243"/>
    </row>
    <row r="700" spans="1:1">
      <c r="A700" s="243"/>
    </row>
    <row r="701" spans="1:1">
      <c r="A701" s="243"/>
    </row>
    <row r="702" spans="1:1">
      <c r="A702" s="243"/>
    </row>
    <row r="703" spans="1:1">
      <c r="A703" s="243"/>
    </row>
    <row r="704" spans="1:1">
      <c r="A704" s="243"/>
    </row>
    <row r="705" spans="1:1">
      <c r="A705" s="243"/>
    </row>
    <row r="706" spans="1:1">
      <c r="A706" s="243"/>
    </row>
    <row r="707" spans="1:1">
      <c r="A707" s="243"/>
    </row>
    <row r="708" spans="1:1">
      <c r="A708" s="243"/>
    </row>
    <row r="709" spans="1:1">
      <c r="A709" s="243"/>
    </row>
    <row r="710" spans="1:1">
      <c r="A710" s="243"/>
    </row>
    <row r="711" spans="1:1">
      <c r="A711" s="243"/>
    </row>
    <row r="712" spans="1:1">
      <c r="A712" s="243"/>
    </row>
    <row r="713" spans="1:1">
      <c r="A713" s="243"/>
    </row>
    <row r="714" spans="1:1">
      <c r="A714" s="243"/>
    </row>
    <row r="715" spans="1:1">
      <c r="A715" s="243"/>
    </row>
    <row r="716" spans="1:1">
      <c r="A716" s="243"/>
    </row>
    <row r="717" spans="1:1">
      <c r="A717" s="243"/>
    </row>
    <row r="718" spans="1:1">
      <c r="A718" s="243"/>
    </row>
    <row r="719" spans="1:1">
      <c r="A719" s="243"/>
    </row>
    <row r="720" spans="1:1">
      <c r="A720" s="243"/>
    </row>
    <row r="721" spans="1:1">
      <c r="A721" s="243"/>
    </row>
    <row r="722" spans="1:1">
      <c r="A722" s="243"/>
    </row>
    <row r="723" spans="1:1">
      <c r="A723" s="243"/>
    </row>
    <row r="724" spans="1:1">
      <c r="A724" s="243"/>
    </row>
    <row r="725" spans="1:1">
      <c r="A725" s="243"/>
    </row>
    <row r="726" spans="1:1">
      <c r="A726" s="243"/>
    </row>
    <row r="727" spans="1:1">
      <c r="A727" s="243"/>
    </row>
    <row r="728" spans="1:1">
      <c r="A728" s="243"/>
    </row>
    <row r="729" spans="1:1">
      <c r="A729" s="243"/>
    </row>
    <row r="730" spans="1:1">
      <c r="A730" s="243"/>
    </row>
    <row r="731" spans="1:1">
      <c r="A731" s="243"/>
    </row>
    <row r="732" spans="1:1">
      <c r="A732" s="243"/>
    </row>
    <row r="733" spans="1:1">
      <c r="A733" s="243"/>
    </row>
    <row r="734" spans="1:1">
      <c r="A734" s="243"/>
    </row>
    <row r="735" spans="1:1">
      <c r="A735" s="243"/>
    </row>
    <row r="736" spans="1:1">
      <c r="A736" s="243"/>
    </row>
    <row r="737" spans="1:1">
      <c r="A737" s="243"/>
    </row>
    <row r="738" spans="1:1">
      <c r="A738" s="243"/>
    </row>
    <row r="739" spans="1:1">
      <c r="A739" s="243"/>
    </row>
    <row r="740" spans="1:1">
      <c r="A740" s="243"/>
    </row>
    <row r="741" spans="1:1">
      <c r="A741" s="243"/>
    </row>
    <row r="742" spans="1:1">
      <c r="A742" s="243"/>
    </row>
    <row r="743" spans="1:1">
      <c r="A743" s="243"/>
    </row>
    <row r="744" spans="1:1">
      <c r="A744" s="243"/>
    </row>
    <row r="745" spans="1:1">
      <c r="A745" s="243"/>
    </row>
    <row r="746" spans="1:1">
      <c r="A746" s="243"/>
    </row>
    <row r="747" spans="1:1">
      <c r="A747" s="243"/>
    </row>
    <row r="748" spans="1:1">
      <c r="A748" s="243"/>
    </row>
    <row r="749" spans="1:1">
      <c r="A749" s="243"/>
    </row>
    <row r="750" spans="1:1">
      <c r="A750" s="243"/>
    </row>
    <row r="751" spans="1:1">
      <c r="A751" s="243"/>
    </row>
    <row r="752" spans="1:1">
      <c r="A752" s="243"/>
    </row>
    <row r="753" spans="1:1">
      <c r="A753" s="243"/>
    </row>
    <row r="754" spans="1:1">
      <c r="A754" s="243"/>
    </row>
    <row r="755" spans="1:1">
      <c r="A755" s="243"/>
    </row>
    <row r="756" spans="1:1">
      <c r="A756" s="243"/>
    </row>
    <row r="757" spans="1:1">
      <c r="A757" s="243"/>
    </row>
    <row r="758" spans="1:1">
      <c r="A758" s="243"/>
    </row>
    <row r="759" spans="1:1">
      <c r="A759" s="243"/>
    </row>
    <row r="760" spans="1:1">
      <c r="A760" s="243"/>
    </row>
    <row r="761" spans="1:1">
      <c r="A761" s="243"/>
    </row>
    <row r="762" spans="1:1">
      <c r="A762" s="243"/>
    </row>
    <row r="763" spans="1:1">
      <c r="A763" s="243"/>
    </row>
    <row r="764" spans="1:1">
      <c r="A764" s="243"/>
    </row>
    <row r="765" spans="1:1">
      <c r="A765" s="243"/>
    </row>
    <row r="766" spans="1:1">
      <c r="A766" s="243"/>
    </row>
    <row r="767" spans="1:1">
      <c r="A767" s="243"/>
    </row>
    <row r="768" spans="1:1">
      <c r="A768" s="243"/>
    </row>
    <row r="769" spans="1:1">
      <c r="A769" s="243"/>
    </row>
    <row r="770" spans="1:1">
      <c r="A770" s="243"/>
    </row>
    <row r="771" spans="1:1">
      <c r="A771" s="243"/>
    </row>
    <row r="772" spans="1:1">
      <c r="A772" s="243"/>
    </row>
    <row r="773" spans="1:1">
      <c r="A773" s="243"/>
    </row>
    <row r="774" spans="1:1">
      <c r="A774" s="243"/>
    </row>
    <row r="775" spans="1:1">
      <c r="A775" s="243"/>
    </row>
    <row r="776" spans="1:1">
      <c r="A776" s="243"/>
    </row>
    <row r="777" spans="1:1">
      <c r="A777" s="243"/>
    </row>
    <row r="778" spans="1:1">
      <c r="A778" s="243"/>
    </row>
    <row r="779" spans="1:1">
      <c r="A779" s="243"/>
    </row>
    <row r="780" spans="1:1">
      <c r="A780" s="243"/>
    </row>
    <row r="781" spans="1:1">
      <c r="A781" s="243"/>
    </row>
    <row r="782" spans="1:1">
      <c r="A782" s="243"/>
    </row>
    <row r="783" spans="1:1">
      <c r="A783" s="243"/>
    </row>
    <row r="784" spans="1:1">
      <c r="A784" s="243"/>
    </row>
    <row r="785" spans="1:1">
      <c r="A785" s="243"/>
    </row>
    <row r="786" spans="1:1">
      <c r="A786" s="243"/>
    </row>
    <row r="787" spans="1:1">
      <c r="A787" s="243"/>
    </row>
    <row r="788" spans="1:1">
      <c r="A788" s="243"/>
    </row>
    <row r="789" spans="1:1">
      <c r="A789" s="243"/>
    </row>
    <row r="790" spans="1:1">
      <c r="A790" s="243"/>
    </row>
    <row r="791" spans="1:1">
      <c r="A791" s="243"/>
    </row>
    <row r="792" spans="1:1">
      <c r="A792" s="243"/>
    </row>
    <row r="793" spans="1:1">
      <c r="A793" s="243"/>
    </row>
    <row r="794" spans="1:1">
      <c r="A794" s="243"/>
    </row>
    <row r="795" spans="1:1">
      <c r="A795" s="243"/>
    </row>
    <row r="796" spans="1:1">
      <c r="A796" s="243"/>
    </row>
    <row r="797" spans="1:1">
      <c r="A797" s="243"/>
    </row>
    <row r="798" spans="1:1">
      <c r="A798" s="243"/>
    </row>
    <row r="799" spans="1:1">
      <c r="A799" s="243"/>
    </row>
    <row r="800" spans="1:1">
      <c r="A800" s="243"/>
    </row>
    <row r="801" spans="1:1">
      <c r="A801" s="243"/>
    </row>
    <row r="802" spans="1:1">
      <c r="A802" s="243"/>
    </row>
    <row r="803" spans="1:1">
      <c r="A803" s="243"/>
    </row>
    <row r="804" spans="1:1">
      <c r="A804" s="243"/>
    </row>
    <row r="805" spans="1:1">
      <c r="A805" s="243"/>
    </row>
    <row r="806" spans="1:1">
      <c r="A806" s="243"/>
    </row>
    <row r="807" spans="1:1">
      <c r="A807" s="243"/>
    </row>
    <row r="808" spans="1:1">
      <c r="A808" s="243"/>
    </row>
    <row r="809" spans="1:1">
      <c r="A809" s="243"/>
    </row>
    <row r="810" spans="1:1">
      <c r="A810" s="243"/>
    </row>
    <row r="811" spans="1:1">
      <c r="A811" s="243"/>
    </row>
    <row r="812" spans="1:1">
      <c r="A812" s="243"/>
    </row>
    <row r="813" spans="1:1">
      <c r="A813" s="243"/>
    </row>
    <row r="814" spans="1:1">
      <c r="A814" s="243"/>
    </row>
    <row r="815" spans="1:1">
      <c r="A815" s="243"/>
    </row>
    <row r="816" spans="1:1">
      <c r="A816" s="243"/>
    </row>
    <row r="817" spans="1:1">
      <c r="A817" s="243"/>
    </row>
    <row r="818" spans="1:1">
      <c r="A818" s="243"/>
    </row>
    <row r="819" spans="1:1">
      <c r="A819" s="243"/>
    </row>
    <row r="820" spans="1:1">
      <c r="A820" s="243"/>
    </row>
    <row r="821" spans="1:1">
      <c r="A821" s="243"/>
    </row>
    <row r="822" spans="1:1">
      <c r="A822" s="243"/>
    </row>
    <row r="823" spans="1:1">
      <c r="A823" s="243"/>
    </row>
    <row r="824" spans="1:1">
      <c r="A824" s="243"/>
    </row>
    <row r="825" spans="1:1">
      <c r="A825" s="243"/>
    </row>
    <row r="826" spans="1:1">
      <c r="A826" s="243"/>
    </row>
    <row r="827" spans="1:1">
      <c r="A827" s="243"/>
    </row>
    <row r="828" spans="1:1">
      <c r="A828" s="243"/>
    </row>
    <row r="829" spans="1:1">
      <c r="A829" s="243"/>
    </row>
    <row r="830" spans="1:1">
      <c r="A830" s="243"/>
    </row>
    <row r="831" spans="1:1">
      <c r="A831" s="243"/>
    </row>
    <row r="832" spans="1:1">
      <c r="A832" s="243"/>
    </row>
    <row r="833" spans="1:1">
      <c r="A833" s="243"/>
    </row>
    <row r="834" spans="1:1">
      <c r="A834" s="243"/>
    </row>
    <row r="835" spans="1:1">
      <c r="A835" s="243"/>
    </row>
    <row r="836" spans="1:1">
      <c r="A836" s="243"/>
    </row>
    <row r="837" spans="1:1">
      <c r="A837" s="243"/>
    </row>
    <row r="838" spans="1:1">
      <c r="A838" s="243"/>
    </row>
    <row r="839" spans="1:1">
      <c r="A839" s="243"/>
    </row>
    <row r="840" spans="1:1">
      <c r="A840" s="243"/>
    </row>
    <row r="841" spans="1:1">
      <c r="A841" s="243"/>
    </row>
    <row r="842" spans="1:1">
      <c r="A842" s="243"/>
    </row>
    <row r="843" spans="1:1">
      <c r="A843" s="243"/>
    </row>
    <row r="844" spans="1:1">
      <c r="A844" s="243"/>
    </row>
    <row r="845" spans="1:1">
      <c r="A845" s="243"/>
    </row>
    <row r="846" spans="1:1">
      <c r="A846" s="243"/>
    </row>
    <row r="847" spans="1:1">
      <c r="A847" s="243"/>
    </row>
    <row r="848" spans="1:1">
      <c r="A848" s="243"/>
    </row>
    <row r="849" spans="1:1">
      <c r="A849" s="243"/>
    </row>
    <row r="850" spans="1:1">
      <c r="A850" s="243"/>
    </row>
    <row r="851" spans="1:1">
      <c r="A851" s="243"/>
    </row>
    <row r="852" spans="1:1">
      <c r="A852" s="243"/>
    </row>
    <row r="853" spans="1:1">
      <c r="A853" s="243"/>
    </row>
    <row r="854" spans="1:1">
      <c r="A854" s="243"/>
    </row>
    <row r="855" spans="1:1">
      <c r="A855" s="243"/>
    </row>
    <row r="856" spans="1:1">
      <c r="A856" s="243"/>
    </row>
    <row r="857" spans="1:1">
      <c r="A857" s="243"/>
    </row>
    <row r="858" spans="1:1">
      <c r="A858" s="243"/>
    </row>
    <row r="859" spans="1:1">
      <c r="A859" s="243"/>
    </row>
    <row r="860" spans="1:1">
      <c r="A860" s="243"/>
    </row>
    <row r="861" spans="1:1">
      <c r="A861" s="243"/>
    </row>
    <row r="862" spans="1:1">
      <c r="A862" s="243"/>
    </row>
    <row r="863" spans="1:1">
      <c r="A863" s="243"/>
    </row>
    <row r="864" spans="1:1">
      <c r="A864" s="243"/>
    </row>
    <row r="865" spans="1:1">
      <c r="A865" s="243"/>
    </row>
    <row r="866" spans="1:1">
      <c r="A866" s="243"/>
    </row>
    <row r="867" spans="1:1">
      <c r="A867" s="243"/>
    </row>
    <row r="868" spans="1:1">
      <c r="A868" s="243"/>
    </row>
    <row r="869" spans="1:1">
      <c r="A869" s="243"/>
    </row>
    <row r="870" spans="1:1">
      <c r="A870" s="243"/>
    </row>
    <row r="871" spans="1:1">
      <c r="A871" s="243"/>
    </row>
    <row r="872" spans="1:1">
      <c r="A872" s="243"/>
    </row>
    <row r="873" spans="1:1">
      <c r="A873" s="243"/>
    </row>
    <row r="874" spans="1:1">
      <c r="A874" s="243"/>
    </row>
    <row r="875" spans="1:1">
      <c r="A875" s="243"/>
    </row>
    <row r="876" spans="1:1">
      <c r="A876" s="243"/>
    </row>
    <row r="877" spans="1:1">
      <c r="A877" s="243"/>
    </row>
    <row r="878" spans="1:1">
      <c r="A878" s="243"/>
    </row>
    <row r="879" spans="1:1">
      <c r="A879" s="243"/>
    </row>
    <row r="880" spans="1:1">
      <c r="A880" s="243"/>
    </row>
    <row r="881" spans="1:1">
      <c r="A881" s="243"/>
    </row>
    <row r="882" spans="1:1">
      <c r="A882" s="243"/>
    </row>
    <row r="883" spans="1:1">
      <c r="A883" s="243"/>
    </row>
    <row r="884" spans="1:1">
      <c r="A884" s="243"/>
    </row>
    <row r="885" spans="1:1">
      <c r="A885" s="243"/>
    </row>
    <row r="886" spans="1:1">
      <c r="A886" s="243"/>
    </row>
    <row r="887" spans="1:1">
      <c r="A887" s="243"/>
    </row>
    <row r="888" spans="1:1">
      <c r="A888" s="243"/>
    </row>
    <row r="889" spans="1:1">
      <c r="A889" s="243"/>
    </row>
    <row r="890" spans="1:1">
      <c r="A890" s="243"/>
    </row>
    <row r="891" spans="1:1">
      <c r="A891" s="243"/>
    </row>
    <row r="892" spans="1:1">
      <c r="A892" s="243"/>
    </row>
    <row r="893" spans="1:1">
      <c r="A893" s="243"/>
    </row>
    <row r="894" spans="1:1">
      <c r="A894" s="243"/>
    </row>
    <row r="895" spans="1:1">
      <c r="A895" s="243"/>
    </row>
    <row r="896" spans="1:1">
      <c r="A896" s="243"/>
    </row>
    <row r="897" spans="1:1">
      <c r="A897" s="243"/>
    </row>
    <row r="898" spans="1:1">
      <c r="A898" s="243"/>
    </row>
    <row r="899" spans="1:1">
      <c r="A899" s="243"/>
    </row>
    <row r="900" spans="1:1">
      <c r="A900" s="243"/>
    </row>
    <row r="901" spans="1:1">
      <c r="A901" s="243"/>
    </row>
    <row r="902" spans="1:1">
      <c r="A902" s="243"/>
    </row>
    <row r="903" spans="1:1">
      <c r="A903" s="243"/>
    </row>
    <row r="904" spans="1:1">
      <c r="A904" s="243"/>
    </row>
    <row r="905" spans="1:1">
      <c r="A905" s="243"/>
    </row>
    <row r="906" spans="1:1">
      <c r="A906" s="243"/>
    </row>
    <row r="907" spans="1:1">
      <c r="A907" s="243"/>
    </row>
    <row r="908" spans="1:1">
      <c r="A908" s="243"/>
    </row>
    <row r="909" spans="1:1">
      <c r="A909" s="243"/>
    </row>
    <row r="910" spans="1:1">
      <c r="A910" s="243"/>
    </row>
    <row r="911" spans="1:1">
      <c r="A911" s="243"/>
    </row>
    <row r="912" spans="1:1">
      <c r="A912" s="243"/>
    </row>
    <row r="913" spans="1:1">
      <c r="A913" s="243"/>
    </row>
    <row r="914" spans="1:1">
      <c r="A914" s="243"/>
    </row>
    <row r="915" spans="1:1">
      <c r="A915" s="243"/>
    </row>
    <row r="916" spans="1:1">
      <c r="A916" s="243"/>
    </row>
    <row r="917" spans="1:1">
      <c r="A917" s="243"/>
    </row>
    <row r="918" spans="1:1">
      <c r="A918" s="243"/>
    </row>
    <row r="919" spans="1:1">
      <c r="A919" s="243"/>
    </row>
    <row r="920" spans="1:1">
      <c r="A920" s="243"/>
    </row>
    <row r="921" spans="1:1">
      <c r="A921" s="243"/>
    </row>
    <row r="922" spans="1:1">
      <c r="A922" s="243"/>
    </row>
    <row r="923" spans="1:1">
      <c r="A923" s="243"/>
    </row>
    <row r="924" spans="1:1">
      <c r="A924" s="243"/>
    </row>
    <row r="925" spans="1:1">
      <c r="A925" s="243"/>
    </row>
    <row r="926" spans="1:1">
      <c r="A926" s="243"/>
    </row>
    <row r="927" spans="1:1">
      <c r="A927" s="243"/>
    </row>
    <row r="928" spans="1:1">
      <c r="A928" s="243"/>
    </row>
    <row r="929" spans="1:1">
      <c r="A929" s="243"/>
    </row>
    <row r="930" spans="1:1">
      <c r="A930" s="243"/>
    </row>
    <row r="931" spans="1:1">
      <c r="A931" s="243"/>
    </row>
    <row r="932" spans="1:1">
      <c r="A932" s="243"/>
    </row>
    <row r="933" spans="1:1">
      <c r="A933" s="243"/>
    </row>
    <row r="934" spans="1:1">
      <c r="A934" s="243"/>
    </row>
    <row r="935" spans="1:1">
      <c r="A935" s="243"/>
    </row>
    <row r="936" spans="1:1">
      <c r="A936" s="243"/>
    </row>
    <row r="937" spans="1:1">
      <c r="A937" s="243"/>
    </row>
    <row r="938" spans="1:1">
      <c r="A938" s="243"/>
    </row>
    <row r="939" spans="1:1">
      <c r="A939" s="243"/>
    </row>
    <row r="940" spans="1:1">
      <c r="A940" s="243"/>
    </row>
    <row r="941" spans="1:1">
      <c r="A941" s="243"/>
    </row>
    <row r="942" spans="1:1">
      <c r="A942" s="243"/>
    </row>
    <row r="943" spans="1:1">
      <c r="A943" s="243"/>
    </row>
    <row r="944" spans="1:1">
      <c r="A944" s="243"/>
    </row>
    <row r="945" spans="1:1">
      <c r="A945" s="243"/>
    </row>
    <row r="946" spans="1:1">
      <c r="A946" s="243"/>
    </row>
    <row r="947" spans="1:1">
      <c r="A947" s="243"/>
    </row>
    <row r="948" spans="1:1">
      <c r="A948" s="243"/>
    </row>
    <row r="949" spans="1:1">
      <c r="A949" s="243"/>
    </row>
    <row r="950" spans="1:1">
      <c r="A950" s="243"/>
    </row>
    <row r="951" spans="1:1">
      <c r="A951" s="243"/>
    </row>
    <row r="952" spans="1:1">
      <c r="A952" s="243"/>
    </row>
    <row r="953" spans="1:1">
      <c r="A953" s="243"/>
    </row>
    <row r="954" spans="1:1">
      <c r="A954" s="243"/>
    </row>
    <row r="955" spans="1:1">
      <c r="A955" s="243"/>
    </row>
    <row r="956" spans="1:1">
      <c r="A956" s="243"/>
    </row>
    <row r="957" spans="1:1">
      <c r="A957" s="243"/>
    </row>
    <row r="958" spans="1:1">
      <c r="A958" s="243"/>
    </row>
    <row r="959" spans="1:1">
      <c r="A959" s="243"/>
    </row>
    <row r="960" spans="1:1">
      <c r="A960" s="243"/>
    </row>
    <row r="961" spans="1:1">
      <c r="A961" s="243"/>
    </row>
    <row r="962" spans="1:1">
      <c r="A962" s="243"/>
    </row>
    <row r="963" spans="1:1">
      <c r="A963" s="243"/>
    </row>
    <row r="964" spans="1:1">
      <c r="A964" s="243"/>
    </row>
    <row r="965" spans="1:1">
      <c r="A965" s="243"/>
    </row>
    <row r="966" spans="1:1">
      <c r="A966" s="243"/>
    </row>
    <row r="967" spans="1:1">
      <c r="A967" s="243"/>
    </row>
    <row r="968" spans="1:1">
      <c r="A968" s="243"/>
    </row>
    <row r="969" spans="1:1">
      <c r="A969" s="243"/>
    </row>
    <row r="970" spans="1:1">
      <c r="A970" s="243"/>
    </row>
    <row r="971" spans="1:1">
      <c r="A971" s="243"/>
    </row>
    <row r="972" spans="1:1">
      <c r="A972" s="243"/>
    </row>
    <row r="973" spans="1:1">
      <c r="A973" s="243"/>
    </row>
    <row r="974" spans="1:1">
      <c r="A974" s="243"/>
    </row>
    <row r="975" spans="1:1">
      <c r="A975" s="243"/>
    </row>
    <row r="976" spans="1:1">
      <c r="A976" s="243"/>
    </row>
    <row r="977" spans="1:1">
      <c r="A977" s="243"/>
    </row>
    <row r="978" spans="1:1">
      <c r="A978" s="243"/>
    </row>
    <row r="979" spans="1:1">
      <c r="A979" s="243"/>
    </row>
    <row r="980" spans="1:1">
      <c r="A980" s="243"/>
    </row>
    <row r="981" spans="1:1">
      <c r="A981" s="243"/>
    </row>
    <row r="982" spans="1:1">
      <c r="A982" s="243"/>
    </row>
    <row r="983" spans="1:1">
      <c r="A983" s="243"/>
    </row>
    <row r="984" spans="1:1">
      <c r="A984" s="243"/>
    </row>
    <row r="985" spans="1:1">
      <c r="A985" s="243"/>
    </row>
    <row r="986" spans="1:1">
      <c r="A986" s="243"/>
    </row>
    <row r="987" spans="1:1">
      <c r="A987" s="243"/>
    </row>
    <row r="988" spans="1:1">
      <c r="A988" s="243"/>
    </row>
    <row r="989" spans="1:1">
      <c r="A989" s="243"/>
    </row>
    <row r="990" spans="1:1">
      <c r="A990" s="243"/>
    </row>
    <row r="991" spans="1:1">
      <c r="A991" s="243"/>
    </row>
    <row r="992" spans="1:1">
      <c r="A992" s="243"/>
    </row>
    <row r="993" spans="1:1">
      <c r="A993" s="243"/>
    </row>
    <row r="994" spans="1:1">
      <c r="A994" s="243"/>
    </row>
    <row r="995" spans="1:1">
      <c r="A995" s="243"/>
    </row>
    <row r="996" spans="1:1">
      <c r="A996" s="243"/>
    </row>
    <row r="997" spans="1:1">
      <c r="A997" s="243"/>
    </row>
    <row r="998" spans="1:1">
      <c r="A998" s="243"/>
    </row>
    <row r="999" spans="1:1">
      <c r="A999" s="243"/>
    </row>
    <row r="1000" spans="1:1">
      <c r="A1000" s="243"/>
    </row>
    <row r="1001" spans="1:1">
      <c r="A1001" s="243"/>
    </row>
    <row r="1002" spans="1:1">
      <c r="A1002" s="243"/>
    </row>
    <row r="1003" spans="1:1">
      <c r="A1003" s="243"/>
    </row>
    <row r="1004" spans="1:1">
      <c r="A1004" s="243"/>
    </row>
    <row r="1005" spans="1:1">
      <c r="A1005" s="243"/>
    </row>
    <row r="1006" spans="1:1">
      <c r="A1006" s="243"/>
    </row>
    <row r="1007" spans="1:1">
      <c r="A1007" s="243"/>
    </row>
    <row r="1008" spans="1:1">
      <c r="A1008" s="243"/>
    </row>
    <row r="1009" spans="1:1">
      <c r="A1009" s="243"/>
    </row>
    <row r="1010" spans="1:1">
      <c r="A1010" s="243"/>
    </row>
    <row r="1011" spans="1:1">
      <c r="A1011" s="243"/>
    </row>
    <row r="1012" spans="1:1">
      <c r="A1012" s="243"/>
    </row>
    <row r="1013" spans="1:1">
      <c r="A1013" s="243"/>
    </row>
    <row r="1014" spans="1:1">
      <c r="A1014" s="243"/>
    </row>
    <row r="1015" spans="1:1">
      <c r="A1015" s="243"/>
    </row>
    <row r="1016" spans="1:1">
      <c r="A1016" s="243"/>
    </row>
    <row r="1017" spans="1:1">
      <c r="A1017" s="243"/>
    </row>
    <row r="1018" spans="1:1">
      <c r="A1018" s="243"/>
    </row>
    <row r="1019" spans="1:1">
      <c r="A1019" s="243"/>
    </row>
    <row r="1020" spans="1:1">
      <c r="A1020" s="243"/>
    </row>
    <row r="1021" spans="1:1">
      <c r="A1021" s="243"/>
    </row>
    <row r="1022" spans="1:1">
      <c r="A1022" s="243"/>
    </row>
    <row r="1023" spans="1:1">
      <c r="A1023" s="243"/>
    </row>
    <row r="1024" spans="1:1">
      <c r="A1024" s="243"/>
    </row>
    <row r="1025" spans="1:1">
      <c r="A1025" s="243"/>
    </row>
    <row r="1026" spans="1:1">
      <c r="A1026" s="243"/>
    </row>
    <row r="1027" spans="1:1">
      <c r="A1027" s="243"/>
    </row>
    <row r="1028" spans="1:1">
      <c r="A1028" s="243"/>
    </row>
    <row r="1029" spans="1:1">
      <c r="A1029" s="243"/>
    </row>
    <row r="1030" spans="1:1">
      <c r="A1030" s="243"/>
    </row>
    <row r="1031" spans="1:1">
      <c r="A1031" s="243"/>
    </row>
    <row r="1032" spans="1:1">
      <c r="A1032" s="243"/>
    </row>
    <row r="1033" spans="1:1">
      <c r="A1033" s="243"/>
    </row>
    <row r="1034" spans="1:1">
      <c r="A1034" s="243"/>
    </row>
    <row r="1035" spans="1:1">
      <c r="A1035" s="243"/>
    </row>
    <row r="1036" spans="1:1">
      <c r="A1036" s="243"/>
    </row>
    <row r="1037" spans="1:1">
      <c r="A1037" s="243"/>
    </row>
    <row r="1038" spans="1:1">
      <c r="A1038" s="243"/>
    </row>
    <row r="1039" spans="1:1">
      <c r="A1039" s="243"/>
    </row>
    <row r="1040" spans="1:1">
      <c r="A1040" s="243"/>
    </row>
    <row r="1041" spans="1:1">
      <c r="A1041" s="243"/>
    </row>
    <row r="1042" spans="1:1">
      <c r="A1042" s="243"/>
    </row>
    <row r="1043" spans="1:1">
      <c r="A1043" s="243"/>
    </row>
    <row r="1044" spans="1:1">
      <c r="A1044" s="243"/>
    </row>
    <row r="1045" spans="1:1">
      <c r="A1045" s="243"/>
    </row>
    <row r="1046" spans="1:1">
      <c r="A1046" s="243"/>
    </row>
    <row r="1047" spans="1:1">
      <c r="A1047" s="243"/>
    </row>
    <row r="1048" spans="1:1">
      <c r="A1048" s="243"/>
    </row>
    <row r="1049" spans="1:1">
      <c r="A1049" s="243"/>
    </row>
    <row r="1050" spans="1:1">
      <c r="A1050" s="243"/>
    </row>
    <row r="1051" spans="1:1">
      <c r="A1051" s="243"/>
    </row>
    <row r="1052" spans="1:1">
      <c r="A1052" s="243"/>
    </row>
    <row r="1053" spans="1:1">
      <c r="A1053" s="243"/>
    </row>
    <row r="1054" spans="1:1">
      <c r="A1054" s="243"/>
    </row>
    <row r="1055" spans="1:1">
      <c r="A1055" s="243"/>
    </row>
    <row r="1056" spans="1:1">
      <c r="A1056" s="243"/>
    </row>
    <row r="1057" spans="1:1">
      <c r="A1057" s="243"/>
    </row>
    <row r="1058" spans="1:1">
      <c r="A1058" s="243"/>
    </row>
    <row r="1059" spans="1:1">
      <c r="A1059" s="243"/>
    </row>
    <row r="1060" spans="1:1">
      <c r="A1060" s="243"/>
    </row>
    <row r="1061" spans="1:1">
      <c r="A1061" s="243"/>
    </row>
    <row r="1062" spans="1:1">
      <c r="A1062" s="243"/>
    </row>
    <row r="1063" spans="1:1">
      <c r="A1063" s="243"/>
    </row>
    <row r="1064" spans="1:1">
      <c r="A1064" s="243"/>
    </row>
    <row r="1065" spans="1:1">
      <c r="A1065" s="243"/>
    </row>
    <row r="1066" spans="1:1">
      <c r="A1066" s="243"/>
    </row>
    <row r="1067" spans="1:1">
      <c r="A1067" s="243"/>
    </row>
    <row r="1068" spans="1:1">
      <c r="A1068" s="243"/>
    </row>
    <row r="1069" spans="1:1">
      <c r="A1069" s="243"/>
    </row>
    <row r="1070" spans="1:1">
      <c r="A1070" s="243"/>
    </row>
    <row r="1071" spans="1:1">
      <c r="A1071" s="243"/>
    </row>
    <row r="1072" spans="1:1">
      <c r="A1072" s="243"/>
    </row>
    <row r="1073" spans="1:1">
      <c r="A1073" s="243"/>
    </row>
    <row r="1074" spans="1:1">
      <c r="A1074" s="243"/>
    </row>
    <row r="1075" spans="1:1">
      <c r="A1075" s="243"/>
    </row>
    <row r="1076" spans="1:1">
      <c r="A1076" s="243"/>
    </row>
    <row r="1077" spans="1:1">
      <c r="A1077" s="243"/>
    </row>
    <row r="1078" spans="1:1">
      <c r="A1078" s="243"/>
    </row>
    <row r="1079" spans="1:1">
      <c r="A1079" s="243"/>
    </row>
    <row r="1080" spans="1:1">
      <c r="A1080" s="243"/>
    </row>
    <row r="1081" spans="1:1">
      <c r="A1081" s="243"/>
    </row>
    <row r="1082" spans="1:1">
      <c r="A1082" s="243"/>
    </row>
    <row r="1083" spans="1:1">
      <c r="A1083" s="243"/>
    </row>
    <row r="1084" spans="1:1">
      <c r="A1084" s="243"/>
    </row>
    <row r="1085" spans="1:1">
      <c r="A1085" s="243"/>
    </row>
    <row r="1086" spans="1:1">
      <c r="A1086" s="243"/>
    </row>
    <row r="1087" spans="1:1">
      <c r="A1087" s="243"/>
    </row>
    <row r="1088" spans="1:1">
      <c r="A1088" s="243"/>
    </row>
    <row r="1089" spans="1:1">
      <c r="A1089" s="243"/>
    </row>
    <row r="1090" spans="1:1">
      <c r="A1090" s="243"/>
    </row>
    <row r="1091" spans="1:1">
      <c r="A1091" s="243"/>
    </row>
    <row r="1092" spans="1:1">
      <c r="A1092" s="243"/>
    </row>
    <row r="1093" spans="1:1">
      <c r="A1093" s="243"/>
    </row>
    <row r="1094" spans="1:1">
      <c r="A1094" s="243"/>
    </row>
    <row r="1095" spans="1:1">
      <c r="A1095" s="243"/>
    </row>
    <row r="1096" spans="1:1">
      <c r="A1096" s="243"/>
    </row>
    <row r="1097" spans="1:1">
      <c r="A1097" s="243"/>
    </row>
    <row r="1098" spans="1:1">
      <c r="A1098" s="243"/>
    </row>
    <row r="1099" spans="1:1">
      <c r="A1099" s="243"/>
    </row>
    <row r="1100" spans="1:1">
      <c r="A1100" s="243"/>
    </row>
    <row r="1101" spans="1:1">
      <c r="A1101" s="243"/>
    </row>
    <row r="1102" spans="1:1">
      <c r="A1102" s="243"/>
    </row>
    <row r="1103" spans="1:1">
      <c r="A1103" s="243"/>
    </row>
    <row r="1104" spans="1:1">
      <c r="A1104" s="243"/>
    </row>
    <row r="1105" spans="1:1">
      <c r="A1105" s="243"/>
    </row>
    <row r="1106" spans="1:1">
      <c r="A1106" s="243"/>
    </row>
    <row r="1107" spans="1:1">
      <c r="A1107" s="243"/>
    </row>
    <row r="1108" spans="1:1">
      <c r="A1108" s="243"/>
    </row>
    <row r="1109" spans="1:1">
      <c r="A1109" s="243"/>
    </row>
    <row r="1110" spans="1:1">
      <c r="A1110" s="243"/>
    </row>
    <row r="1111" spans="1:1">
      <c r="A1111" s="243"/>
    </row>
    <row r="1112" spans="1:1">
      <c r="A1112" s="243"/>
    </row>
    <row r="1113" spans="1:1">
      <c r="A1113" s="243"/>
    </row>
    <row r="1114" spans="1:1">
      <c r="A1114" s="243"/>
    </row>
    <row r="1115" spans="1:1">
      <c r="A1115" s="243"/>
    </row>
    <row r="1116" spans="1:1">
      <c r="A1116" s="243"/>
    </row>
    <row r="1117" spans="1:1">
      <c r="A1117" s="243"/>
    </row>
    <row r="1118" spans="1:1">
      <c r="A1118" s="243"/>
    </row>
    <row r="1119" spans="1:1">
      <c r="A1119" s="243"/>
    </row>
    <row r="1120" spans="1:1">
      <c r="A1120" s="243"/>
    </row>
    <row r="1121" spans="1:1">
      <c r="A1121" s="243"/>
    </row>
    <row r="1122" spans="1:1">
      <c r="A1122" s="243"/>
    </row>
    <row r="1123" spans="1:1">
      <c r="A1123" s="243"/>
    </row>
    <row r="1124" spans="1:1">
      <c r="A1124" s="243"/>
    </row>
    <row r="1125" spans="1:1">
      <c r="A1125" s="243"/>
    </row>
    <row r="1126" spans="1:1">
      <c r="A1126" s="243"/>
    </row>
    <row r="1127" spans="1:1">
      <c r="A1127" s="243"/>
    </row>
    <row r="1128" spans="1:1">
      <c r="A1128" s="243"/>
    </row>
    <row r="1129" spans="1:1">
      <c r="A1129" s="243"/>
    </row>
    <row r="1130" spans="1:1">
      <c r="A1130" s="243"/>
    </row>
    <row r="1131" spans="1:1">
      <c r="A1131" s="243"/>
    </row>
    <row r="1132" spans="1:1">
      <c r="A1132" s="243"/>
    </row>
    <row r="1133" spans="1:1">
      <c r="A1133" s="243"/>
    </row>
    <row r="1134" spans="1:1">
      <c r="A1134" s="243"/>
    </row>
    <row r="1135" spans="1:1">
      <c r="A1135" s="243"/>
    </row>
    <row r="1136" spans="1:1">
      <c r="A1136" s="243"/>
    </row>
    <row r="1137" spans="1:1">
      <c r="A1137" s="243"/>
    </row>
    <row r="1138" spans="1:1">
      <c r="A1138" s="243"/>
    </row>
    <row r="1139" spans="1:1">
      <c r="A1139" s="243"/>
    </row>
    <row r="1140" spans="1:1">
      <c r="A1140" s="243"/>
    </row>
    <row r="1141" spans="1:1">
      <c r="A1141" s="243"/>
    </row>
    <row r="1142" spans="1:1">
      <c r="A1142" s="243"/>
    </row>
    <row r="1143" spans="1:1">
      <c r="A1143" s="243"/>
    </row>
    <row r="1144" spans="1:1">
      <c r="A1144" s="243"/>
    </row>
    <row r="1145" spans="1:1">
      <c r="A1145" s="243"/>
    </row>
    <row r="1146" spans="1:1">
      <c r="A1146" s="243"/>
    </row>
    <row r="1147" spans="1:1">
      <c r="A1147" s="243"/>
    </row>
    <row r="1148" spans="1:1">
      <c r="A1148" s="243"/>
    </row>
    <row r="1149" spans="1:1">
      <c r="A1149" s="243"/>
    </row>
    <row r="1150" spans="1:1">
      <c r="A1150" s="243"/>
    </row>
    <row r="1151" spans="1:1">
      <c r="A1151" s="243"/>
    </row>
    <row r="1152" spans="1:1">
      <c r="A1152" s="243"/>
    </row>
    <row r="1153" spans="1:1">
      <c r="A1153" s="243"/>
    </row>
    <row r="1154" spans="1:1">
      <c r="A1154" s="243"/>
    </row>
    <row r="1155" spans="1:1">
      <c r="A1155" s="243"/>
    </row>
    <row r="1156" spans="1:1">
      <c r="A1156" s="243"/>
    </row>
    <row r="1157" spans="1:1">
      <c r="A1157" s="243"/>
    </row>
    <row r="1158" spans="1:1">
      <c r="A1158" s="243"/>
    </row>
    <row r="1159" spans="1:1">
      <c r="A1159" s="243"/>
    </row>
    <row r="1160" spans="1:1">
      <c r="A1160" s="243"/>
    </row>
    <row r="1161" spans="1:1">
      <c r="A1161" s="243"/>
    </row>
    <row r="1162" spans="1:1">
      <c r="A1162" s="243"/>
    </row>
    <row r="1163" spans="1:1">
      <c r="A1163" s="243"/>
    </row>
    <row r="1164" spans="1:1">
      <c r="A1164" s="243"/>
    </row>
    <row r="1165" spans="1:1">
      <c r="A1165" s="243"/>
    </row>
    <row r="1166" spans="1:1">
      <c r="A1166" s="243"/>
    </row>
    <row r="1167" spans="1:1">
      <c r="A1167" s="243"/>
    </row>
    <row r="1168" spans="1:1">
      <c r="A1168" s="243"/>
    </row>
    <row r="1169" spans="1:1">
      <c r="A1169" s="243"/>
    </row>
    <row r="1170" spans="1:1">
      <c r="A1170" s="243"/>
    </row>
    <row r="1171" spans="1:1">
      <c r="A1171" s="243"/>
    </row>
    <row r="1172" spans="1:1">
      <c r="A1172" s="243"/>
    </row>
    <row r="1173" spans="1:1">
      <c r="A1173" s="243"/>
    </row>
    <row r="1174" spans="1:1">
      <c r="A1174" s="243"/>
    </row>
    <row r="1175" spans="1:1">
      <c r="A1175" s="243"/>
    </row>
    <row r="1176" spans="1:1">
      <c r="A1176" s="243"/>
    </row>
    <row r="1177" spans="1:1">
      <c r="A1177" s="243"/>
    </row>
    <row r="1178" spans="1:1">
      <c r="A1178" s="243"/>
    </row>
    <row r="1179" spans="1:1">
      <c r="A1179" s="243"/>
    </row>
    <row r="1180" spans="1:1">
      <c r="A1180" s="243"/>
    </row>
    <row r="1181" spans="1:1">
      <c r="A1181" s="243"/>
    </row>
    <row r="1182" spans="1:1">
      <c r="A1182" s="243"/>
    </row>
    <row r="1183" spans="1:1">
      <c r="A1183" s="243"/>
    </row>
    <row r="1184" spans="1:1">
      <c r="A1184" s="243"/>
    </row>
    <row r="1185" spans="1:1">
      <c r="A1185" s="243"/>
    </row>
    <row r="1186" spans="1:1">
      <c r="A1186" s="243"/>
    </row>
    <row r="1187" spans="1:1">
      <c r="A1187" s="243"/>
    </row>
    <row r="1188" spans="1:1">
      <c r="A1188" s="243"/>
    </row>
    <row r="1189" spans="1:1">
      <c r="A1189" s="243"/>
    </row>
    <row r="1190" spans="1:1">
      <c r="A1190" s="243"/>
    </row>
    <row r="1191" spans="1:1">
      <c r="A1191" s="243"/>
    </row>
    <row r="1192" spans="1:1">
      <c r="A1192" s="243"/>
    </row>
    <row r="1193" spans="1:1">
      <c r="A1193" s="243"/>
    </row>
    <row r="1194" spans="1:1">
      <c r="A1194" s="243"/>
    </row>
    <row r="1195" spans="1:1">
      <c r="A1195" s="243"/>
    </row>
    <row r="1196" spans="1:1">
      <c r="A1196" s="243"/>
    </row>
    <row r="1197" spans="1:1">
      <c r="A1197" s="243"/>
    </row>
    <row r="1198" spans="1:1">
      <c r="A1198" s="243"/>
    </row>
    <row r="1199" spans="1:1">
      <c r="A1199" s="243"/>
    </row>
    <row r="1200" spans="1:1">
      <c r="A1200" s="243"/>
    </row>
    <row r="1201" spans="1:1">
      <c r="A1201" s="243"/>
    </row>
    <row r="1202" spans="1:1">
      <c r="A1202" s="243"/>
    </row>
    <row r="1203" spans="1:1">
      <c r="A1203" s="243"/>
    </row>
    <row r="1204" spans="1:1">
      <c r="A1204" s="243"/>
    </row>
    <row r="1205" spans="1:1">
      <c r="A1205" s="243"/>
    </row>
    <row r="1206" spans="1:1">
      <c r="A1206" s="243"/>
    </row>
    <row r="1207" spans="1:1">
      <c r="A1207" s="243"/>
    </row>
    <row r="1208" spans="1:1">
      <c r="A1208" s="243"/>
    </row>
    <row r="1209" spans="1:1">
      <c r="A1209" s="243"/>
    </row>
    <row r="1210" spans="1:1">
      <c r="A1210" s="243"/>
    </row>
    <row r="1211" spans="1:1">
      <c r="A1211" s="243"/>
    </row>
    <row r="1212" spans="1:1">
      <c r="A1212" s="243"/>
    </row>
    <row r="1213" spans="1:1">
      <c r="A1213" s="243"/>
    </row>
    <row r="1214" spans="1:1">
      <c r="A1214" s="243"/>
    </row>
    <row r="1215" spans="1:1">
      <c r="A1215" s="243"/>
    </row>
    <row r="1216" spans="1:1">
      <c r="A1216" s="243"/>
    </row>
    <row r="1217" spans="1:1">
      <c r="A1217" s="243"/>
    </row>
    <row r="1218" spans="1:1">
      <c r="A1218" s="243"/>
    </row>
    <row r="1219" spans="1:1">
      <c r="A1219" s="243"/>
    </row>
    <row r="1220" spans="1:1">
      <c r="A1220" s="243"/>
    </row>
    <row r="1221" spans="1:1">
      <c r="A1221" s="243"/>
    </row>
    <row r="1222" spans="1:1">
      <c r="A1222" s="243"/>
    </row>
    <row r="1223" spans="1:1">
      <c r="A1223" s="243"/>
    </row>
    <row r="1224" spans="1:1">
      <c r="A1224" s="243"/>
    </row>
    <row r="1225" spans="1:1">
      <c r="A1225" s="243"/>
    </row>
    <row r="1226" spans="1:1">
      <c r="A1226" s="243"/>
    </row>
    <row r="1227" spans="1:1">
      <c r="A1227" s="243"/>
    </row>
    <row r="1228" spans="1:1">
      <c r="A1228" s="243"/>
    </row>
    <row r="1229" spans="1:1">
      <c r="A1229" s="243"/>
    </row>
    <row r="1230" spans="1:1">
      <c r="A1230" s="243"/>
    </row>
    <row r="1231" spans="1:1">
      <c r="A1231" s="243"/>
    </row>
    <row r="1232" spans="1:1">
      <c r="A1232" s="243"/>
    </row>
    <row r="1233" spans="1:1">
      <c r="A1233" s="243"/>
    </row>
    <row r="1234" spans="1:1">
      <c r="A1234" s="243"/>
    </row>
    <row r="1235" spans="1:1">
      <c r="A1235" s="243"/>
    </row>
    <row r="1236" spans="1:1">
      <c r="A1236" s="243"/>
    </row>
    <row r="1237" spans="1:1">
      <c r="A1237" s="243"/>
    </row>
    <row r="1238" spans="1:1">
      <c r="A1238" s="243"/>
    </row>
    <row r="1239" spans="1:1">
      <c r="A1239" s="243"/>
    </row>
    <row r="1240" spans="1:1">
      <c r="A1240" s="243"/>
    </row>
    <row r="1241" spans="1:1">
      <c r="A1241" s="243"/>
    </row>
    <row r="1242" spans="1:1">
      <c r="A1242" s="243"/>
    </row>
    <row r="1243" spans="1:1">
      <c r="A1243" s="243"/>
    </row>
    <row r="1244" spans="1:1">
      <c r="A1244" s="243"/>
    </row>
    <row r="1245" spans="1:1">
      <c r="A1245" s="243"/>
    </row>
    <row r="1246" spans="1:1">
      <c r="A1246" s="243"/>
    </row>
    <row r="1247" spans="1:1">
      <c r="A1247" s="243"/>
    </row>
    <row r="1248" spans="1:1">
      <c r="A1248" s="243"/>
    </row>
    <row r="1249" spans="1:1">
      <c r="A1249" s="243"/>
    </row>
    <row r="1250" spans="1:1">
      <c r="A1250" s="243"/>
    </row>
    <row r="1251" spans="1:1">
      <c r="A1251" s="243"/>
    </row>
    <row r="1252" spans="1:1">
      <c r="A1252" s="243"/>
    </row>
    <row r="1253" spans="1:1">
      <c r="A1253" s="243"/>
    </row>
    <row r="1254" spans="1:1">
      <c r="A1254" s="243"/>
    </row>
    <row r="1255" spans="1:1">
      <c r="A1255" s="243"/>
    </row>
    <row r="1256" spans="1:1">
      <c r="A1256" s="243"/>
    </row>
    <row r="1257" spans="1:1">
      <c r="A1257" s="243"/>
    </row>
    <row r="1258" spans="1:1">
      <c r="A1258" s="243"/>
    </row>
    <row r="1259" spans="1:1">
      <c r="A1259" s="243"/>
    </row>
    <row r="1260" spans="1:1">
      <c r="A1260" s="243"/>
    </row>
    <row r="1261" spans="1:1">
      <c r="A1261" s="243"/>
    </row>
    <row r="1262" spans="1:1">
      <c r="A1262" s="243"/>
    </row>
    <row r="1263" spans="1:1">
      <c r="A1263" s="243"/>
    </row>
    <row r="1264" spans="1:1">
      <c r="A1264" s="243"/>
    </row>
    <row r="1265" spans="1:1">
      <c r="A1265" s="243"/>
    </row>
    <row r="1266" spans="1:1">
      <c r="A1266" s="243"/>
    </row>
    <row r="1267" spans="1:1">
      <c r="A1267" s="243"/>
    </row>
    <row r="1268" spans="1:1">
      <c r="A1268" s="243"/>
    </row>
    <row r="1269" spans="1:1">
      <c r="A1269" s="243"/>
    </row>
    <row r="1270" spans="1:1">
      <c r="A1270" s="243"/>
    </row>
    <row r="1271" spans="1:1">
      <c r="A1271" s="243"/>
    </row>
    <row r="1272" spans="1:1">
      <c r="A1272" s="243"/>
    </row>
    <row r="1273" spans="1:1">
      <c r="A1273" s="243"/>
    </row>
    <row r="1274" spans="1:1">
      <c r="A1274" s="243"/>
    </row>
    <row r="1275" spans="1:1">
      <c r="A1275" s="243"/>
    </row>
    <row r="1276" spans="1:1">
      <c r="A1276" s="243"/>
    </row>
    <row r="1277" spans="1:1">
      <c r="A1277" s="243"/>
    </row>
    <row r="1278" spans="1:1">
      <c r="A1278" s="243"/>
    </row>
    <row r="1279" spans="1:1">
      <c r="A1279" s="243"/>
    </row>
    <row r="1280" spans="1:1">
      <c r="A1280" s="243"/>
    </row>
    <row r="1281" spans="1:1">
      <c r="A1281" s="243"/>
    </row>
    <row r="1282" spans="1:1">
      <c r="A1282" s="243"/>
    </row>
    <row r="1283" spans="1:1">
      <c r="A1283" s="243"/>
    </row>
    <row r="1284" spans="1:1">
      <c r="A1284" s="243"/>
    </row>
    <row r="1285" spans="1:1">
      <c r="A1285" s="243"/>
    </row>
    <row r="1286" spans="1:1">
      <c r="A1286" s="243"/>
    </row>
    <row r="1287" spans="1:1">
      <c r="A1287" s="243"/>
    </row>
    <row r="1288" spans="1:1">
      <c r="A1288" s="243"/>
    </row>
    <row r="1289" spans="1:1">
      <c r="A1289" s="243"/>
    </row>
    <row r="1290" spans="1:1">
      <c r="A1290" s="243"/>
    </row>
    <row r="1291" spans="1:1">
      <c r="A1291" s="243"/>
    </row>
    <row r="1292" spans="1:1">
      <c r="A1292" s="243"/>
    </row>
    <row r="1293" spans="1:1">
      <c r="A1293" s="243"/>
    </row>
    <row r="1294" spans="1:1">
      <c r="A1294" s="243"/>
    </row>
    <row r="1295" spans="1:1">
      <c r="A1295" s="243"/>
    </row>
    <row r="1296" spans="1:1">
      <c r="A1296" s="243"/>
    </row>
    <row r="1297" spans="1:1">
      <c r="A1297" s="243"/>
    </row>
    <row r="1298" spans="1:1">
      <c r="A1298" s="243"/>
    </row>
    <row r="1299" spans="1:1">
      <c r="A1299" s="243"/>
    </row>
    <row r="1300" spans="1:1">
      <c r="A1300" s="243"/>
    </row>
    <row r="1301" spans="1:1">
      <c r="A1301" s="243"/>
    </row>
    <row r="1302" spans="1:1">
      <c r="A1302" s="243"/>
    </row>
    <row r="1303" spans="1:1">
      <c r="A1303" s="243"/>
    </row>
    <row r="1304" spans="1:1">
      <c r="A1304" s="243"/>
    </row>
    <row r="1305" spans="1:1">
      <c r="A1305" s="243"/>
    </row>
    <row r="1306" spans="1:1">
      <c r="A1306" s="243"/>
    </row>
    <row r="1307" spans="1:1">
      <c r="A1307" s="243"/>
    </row>
    <row r="1308" spans="1:1">
      <c r="A1308" s="243"/>
    </row>
    <row r="1309" spans="1:1">
      <c r="A1309" s="243"/>
    </row>
    <row r="1310" spans="1:1">
      <c r="A1310" s="243"/>
    </row>
    <row r="1311" spans="1:1">
      <c r="A1311" s="243"/>
    </row>
    <row r="1312" spans="1:1">
      <c r="A1312" s="243"/>
    </row>
    <row r="1313" spans="1:1">
      <c r="A1313" s="243"/>
    </row>
    <row r="1314" spans="1:1">
      <c r="A1314" s="243"/>
    </row>
    <row r="1315" spans="1:1">
      <c r="A1315" s="243"/>
    </row>
    <row r="1316" spans="1:1">
      <c r="A1316" s="243"/>
    </row>
    <row r="1317" spans="1:1">
      <c r="A1317" s="243"/>
    </row>
    <row r="1318" spans="1:1">
      <c r="A1318" s="243"/>
    </row>
    <row r="1319" spans="1:1">
      <c r="A1319" s="243"/>
    </row>
    <row r="1320" spans="1:1">
      <c r="A1320" s="243"/>
    </row>
    <row r="1321" spans="1:1">
      <c r="A1321" s="243"/>
    </row>
    <row r="1322" spans="1:1">
      <c r="A1322" s="243"/>
    </row>
    <row r="1323" spans="1:1">
      <c r="A1323" s="243"/>
    </row>
    <row r="1324" spans="1:1">
      <c r="A1324" s="243"/>
    </row>
    <row r="1325" spans="1:1">
      <c r="A1325" s="243"/>
    </row>
    <row r="1326" spans="1:1">
      <c r="A1326" s="243"/>
    </row>
    <row r="1327" spans="1:1">
      <c r="A1327" s="243"/>
    </row>
    <row r="1328" spans="1:1">
      <c r="A1328" s="243"/>
    </row>
    <row r="1329" spans="1:1">
      <c r="A1329" s="243"/>
    </row>
    <row r="1330" spans="1:1">
      <c r="A1330" s="243"/>
    </row>
    <row r="1331" spans="1:1">
      <c r="A1331" s="243"/>
    </row>
    <row r="1332" spans="1:1">
      <c r="A1332" s="243"/>
    </row>
    <row r="1333" spans="1:1">
      <c r="A1333" s="243"/>
    </row>
    <row r="1334" spans="1:1">
      <c r="A1334" s="243"/>
    </row>
    <row r="1335" spans="1:1">
      <c r="A1335" s="243"/>
    </row>
    <row r="1336" spans="1:1">
      <c r="A1336" s="243"/>
    </row>
    <row r="1337" spans="1:1">
      <c r="A1337" s="243"/>
    </row>
    <row r="1338" spans="1:1">
      <c r="A1338" s="243"/>
    </row>
    <row r="1339" spans="1:1">
      <c r="A1339" s="243"/>
    </row>
    <row r="1340" spans="1:1">
      <c r="A1340" s="243"/>
    </row>
    <row r="1341" spans="1:1">
      <c r="A1341" s="243"/>
    </row>
    <row r="1342" spans="1:1">
      <c r="A1342" s="243"/>
    </row>
    <row r="1343" spans="1:1">
      <c r="A1343" s="243"/>
    </row>
    <row r="1344" spans="1:1">
      <c r="A1344" s="243"/>
    </row>
    <row r="1345" spans="1:1">
      <c r="A1345" s="243"/>
    </row>
    <row r="1346" spans="1:1">
      <c r="A1346" s="243"/>
    </row>
    <row r="1347" spans="1:1">
      <c r="A1347" s="243"/>
    </row>
    <row r="1348" spans="1:1">
      <c r="A1348" s="243"/>
    </row>
    <row r="1349" spans="1:1">
      <c r="A1349" s="243"/>
    </row>
    <row r="1350" spans="1:1">
      <c r="A1350" s="243"/>
    </row>
    <row r="1351" spans="1:1">
      <c r="A1351" s="243"/>
    </row>
    <row r="1352" spans="1:1">
      <c r="A1352" s="243"/>
    </row>
    <row r="1353" spans="1:1">
      <c r="A1353" s="243"/>
    </row>
    <row r="1354" spans="1:1">
      <c r="A1354" s="243"/>
    </row>
    <row r="1355" spans="1:1">
      <c r="A1355" s="243"/>
    </row>
    <row r="1356" spans="1:1">
      <c r="A1356" s="243"/>
    </row>
    <row r="1357" spans="1:1">
      <c r="A1357" s="243"/>
    </row>
    <row r="1358" spans="1:1">
      <c r="A1358" s="243"/>
    </row>
    <row r="1359" spans="1:1">
      <c r="A1359" s="243"/>
    </row>
    <row r="1360" spans="1:1">
      <c r="A1360" s="243"/>
    </row>
    <row r="1361" spans="1:1">
      <c r="A1361" s="243"/>
    </row>
    <row r="1362" spans="1:1">
      <c r="A1362" s="243"/>
    </row>
    <row r="1363" spans="1:1">
      <c r="A1363" s="243"/>
    </row>
    <row r="1364" spans="1:1">
      <c r="A1364" s="243"/>
    </row>
    <row r="1365" spans="1:1">
      <c r="A1365" s="243"/>
    </row>
    <row r="1366" spans="1:1">
      <c r="A1366" s="243"/>
    </row>
    <row r="1367" spans="1:1">
      <c r="A1367" s="243"/>
    </row>
    <row r="1368" spans="1:1">
      <c r="A1368" s="243"/>
    </row>
    <row r="1369" spans="1:1">
      <c r="A1369" s="243"/>
    </row>
    <row r="1370" spans="1:1">
      <c r="A1370" s="243"/>
    </row>
    <row r="1371" spans="1:1">
      <c r="A1371" s="243"/>
    </row>
    <row r="1372" spans="1:1">
      <c r="A1372" s="243"/>
    </row>
    <row r="1373" spans="1:1">
      <c r="A1373" s="243"/>
    </row>
    <row r="1374" spans="1:1">
      <c r="A1374" s="243"/>
    </row>
    <row r="1375" spans="1:1">
      <c r="A1375" s="243"/>
    </row>
    <row r="1376" spans="1:1">
      <c r="A1376" s="243"/>
    </row>
    <row r="1377" spans="1:1">
      <c r="A1377" s="243"/>
    </row>
    <row r="1378" spans="1:1">
      <c r="A1378" s="243"/>
    </row>
    <row r="1379" spans="1:1">
      <c r="A1379" s="243"/>
    </row>
    <row r="1380" spans="1:1">
      <c r="A1380" s="243"/>
    </row>
    <row r="1381" spans="1:1">
      <c r="A1381" s="243"/>
    </row>
    <row r="1382" spans="1:1">
      <c r="A1382" s="243"/>
    </row>
    <row r="1383" spans="1:1">
      <c r="A1383" s="243"/>
    </row>
    <row r="1384" spans="1:1">
      <c r="A1384" s="243"/>
    </row>
    <row r="1385" spans="1:1">
      <c r="A1385" s="243"/>
    </row>
    <row r="1386" spans="1:1">
      <c r="A1386" s="243"/>
    </row>
    <row r="1387" spans="1:1">
      <c r="A1387" s="243"/>
    </row>
    <row r="1388" spans="1:1">
      <c r="A1388" s="243"/>
    </row>
    <row r="1389" spans="1:1">
      <c r="A1389" s="243"/>
    </row>
    <row r="1390" spans="1:1">
      <c r="A1390" s="243"/>
    </row>
    <row r="1391" spans="1:1">
      <c r="A1391" s="243"/>
    </row>
    <row r="1392" spans="1:1">
      <c r="A1392" s="243"/>
    </row>
    <row r="1393" spans="1:1">
      <c r="A1393" s="243"/>
    </row>
    <row r="1394" spans="1:1">
      <c r="A1394" s="243"/>
    </row>
    <row r="1395" spans="1:1">
      <c r="A1395" s="243"/>
    </row>
    <row r="1396" spans="1:1">
      <c r="A1396" s="243"/>
    </row>
    <row r="1397" spans="1:1">
      <c r="A1397" s="243"/>
    </row>
    <row r="1398" spans="1:1">
      <c r="A1398" s="243"/>
    </row>
    <row r="1399" spans="1:1">
      <c r="A1399" s="243"/>
    </row>
    <row r="1400" spans="1:1">
      <c r="A1400" s="243"/>
    </row>
    <row r="1401" spans="1:1">
      <c r="A1401" s="243"/>
    </row>
    <row r="1402" spans="1:1">
      <c r="A1402" s="243"/>
    </row>
    <row r="1403" spans="1:1">
      <c r="A1403" s="243"/>
    </row>
    <row r="1404" spans="1:1">
      <c r="A1404" s="243"/>
    </row>
    <row r="1405" spans="1:1">
      <c r="A1405" s="243"/>
    </row>
    <row r="1406" spans="1:1">
      <c r="A1406" s="243"/>
    </row>
    <row r="1407" spans="1:1">
      <c r="A1407" s="243"/>
    </row>
    <row r="1408" spans="1:1">
      <c r="A1408" s="243"/>
    </row>
    <row r="1409" spans="1:1">
      <c r="A1409" s="243"/>
    </row>
    <row r="1410" spans="1:1">
      <c r="A1410" s="243"/>
    </row>
    <row r="1411" spans="1:1">
      <c r="A1411" s="243"/>
    </row>
    <row r="1412" spans="1:1">
      <c r="A1412" s="243"/>
    </row>
    <row r="1413" spans="1:1">
      <c r="A1413" s="243"/>
    </row>
    <row r="1414" spans="1:1">
      <c r="A1414" s="243"/>
    </row>
    <row r="1415" spans="1:1">
      <c r="A1415" s="243"/>
    </row>
    <row r="1416" spans="1:1">
      <c r="A1416" s="243"/>
    </row>
    <row r="1417" spans="1:1">
      <c r="A1417" s="243"/>
    </row>
    <row r="1418" spans="1:1">
      <c r="A1418" s="243"/>
    </row>
    <row r="1419" spans="1:1">
      <c r="A1419" s="243"/>
    </row>
    <row r="1420" spans="1:1">
      <c r="A1420" s="243"/>
    </row>
    <row r="1421" spans="1:1">
      <c r="A1421" s="243"/>
    </row>
    <row r="1422" spans="1:1">
      <c r="A1422" s="243"/>
    </row>
    <row r="1423" spans="1:1">
      <c r="A1423" s="243"/>
    </row>
    <row r="1424" spans="1:1">
      <c r="A1424" s="243"/>
    </row>
    <row r="1425" spans="1:1">
      <c r="A1425" s="243"/>
    </row>
    <row r="1426" spans="1:1">
      <c r="A1426" s="243"/>
    </row>
    <row r="1427" spans="1:1">
      <c r="A1427" s="243"/>
    </row>
    <row r="1428" spans="1:1">
      <c r="A1428" s="243"/>
    </row>
    <row r="1429" spans="1:1">
      <c r="A1429" s="243"/>
    </row>
    <row r="1430" spans="1:1">
      <c r="A1430" s="243"/>
    </row>
    <row r="1431" spans="1:1">
      <c r="A1431" s="243"/>
    </row>
    <row r="1432" spans="1:1">
      <c r="A1432" s="243"/>
    </row>
    <row r="1433" spans="1:1">
      <c r="A1433" s="243"/>
    </row>
    <row r="1434" spans="1:1">
      <c r="A1434" s="243"/>
    </row>
    <row r="1435" spans="1:1">
      <c r="A1435" s="243"/>
    </row>
    <row r="1436" spans="1:1">
      <c r="A1436" s="243"/>
    </row>
    <row r="1437" spans="1:1">
      <c r="A1437" s="243"/>
    </row>
    <row r="1438" spans="1:1">
      <c r="A1438" s="243"/>
    </row>
    <row r="1439" spans="1:1">
      <c r="A1439" s="243"/>
    </row>
    <row r="1440" spans="1:1">
      <c r="A1440" s="243"/>
    </row>
    <row r="1441" spans="1:1">
      <c r="A1441" s="243"/>
    </row>
    <row r="1442" spans="1:1">
      <c r="A1442" s="243"/>
    </row>
    <row r="1443" spans="1:1">
      <c r="A1443" s="243"/>
    </row>
    <row r="1444" spans="1:1">
      <c r="A1444" s="243"/>
    </row>
    <row r="1445" spans="1:1">
      <c r="A1445" s="243"/>
    </row>
    <row r="1446" spans="1:1">
      <c r="A1446" s="243"/>
    </row>
    <row r="1447" spans="1:1">
      <c r="A1447" s="243"/>
    </row>
    <row r="1448" spans="1:1">
      <c r="A1448" s="243"/>
    </row>
    <row r="1449" spans="1:1">
      <c r="A1449" s="243"/>
    </row>
    <row r="1450" spans="1:1">
      <c r="A1450" s="243"/>
    </row>
    <row r="1451" spans="1:1">
      <c r="A1451" s="243"/>
    </row>
    <row r="1452" spans="1:1">
      <c r="A1452" s="243"/>
    </row>
    <row r="1453" spans="1:1">
      <c r="A1453" s="243"/>
    </row>
    <row r="1454" spans="1:1">
      <c r="A1454" s="243"/>
    </row>
    <row r="1455" spans="1:1">
      <c r="A1455" s="243"/>
    </row>
    <row r="1456" spans="1:1">
      <c r="A1456" s="243"/>
    </row>
    <row r="1457" spans="1:1">
      <c r="A1457" s="243"/>
    </row>
    <row r="1458" spans="1:1">
      <c r="A1458" s="243"/>
    </row>
    <row r="1459" spans="1:1">
      <c r="A1459" s="243"/>
    </row>
    <row r="1460" spans="1:1">
      <c r="A1460" s="243"/>
    </row>
    <row r="1461" spans="1:1">
      <c r="A1461" s="243"/>
    </row>
    <row r="1462" spans="1:1">
      <c r="A1462" s="243"/>
    </row>
    <row r="1463" spans="1:1">
      <c r="A1463" s="243"/>
    </row>
    <row r="1464" spans="1:1">
      <c r="A1464" s="243"/>
    </row>
    <row r="1465" spans="1:1">
      <c r="A1465" s="243"/>
    </row>
    <row r="1466" spans="1:1">
      <c r="A1466" s="243"/>
    </row>
    <row r="1467" spans="1:1">
      <c r="A1467" s="243"/>
    </row>
    <row r="1468" spans="1:1">
      <c r="A1468" s="243"/>
    </row>
    <row r="1469" spans="1:1">
      <c r="A1469" s="243"/>
    </row>
    <row r="1470" spans="1:1">
      <c r="A1470" s="243"/>
    </row>
    <row r="1471" spans="1:1">
      <c r="A1471" s="243"/>
    </row>
    <row r="1472" spans="1:1">
      <c r="A1472" s="243"/>
    </row>
    <row r="1473" spans="1:1">
      <c r="A1473" s="243"/>
    </row>
    <row r="1474" spans="1:1">
      <c r="A1474" s="243"/>
    </row>
    <row r="1475" spans="1:1">
      <c r="A1475" s="243"/>
    </row>
    <row r="1476" spans="1:1">
      <c r="A1476" s="243"/>
    </row>
    <row r="1477" spans="1:1">
      <c r="A1477" s="243"/>
    </row>
    <row r="1478" spans="1:1">
      <c r="A1478" s="243"/>
    </row>
    <row r="1479" spans="1:1">
      <c r="A1479" s="243"/>
    </row>
    <row r="1480" spans="1:1">
      <c r="A1480" s="243"/>
    </row>
    <row r="1481" spans="1:1">
      <c r="A1481" s="243"/>
    </row>
    <row r="1482" spans="1:1">
      <c r="A1482" s="243"/>
    </row>
    <row r="1483" spans="1:1">
      <c r="A1483" s="243"/>
    </row>
    <row r="1484" spans="1:1">
      <c r="A1484" s="243"/>
    </row>
    <row r="1485" spans="1:1">
      <c r="A1485" s="243"/>
    </row>
    <row r="1486" spans="1:1">
      <c r="A1486" s="243"/>
    </row>
    <row r="1487" spans="1:1">
      <c r="A1487" s="243"/>
    </row>
    <row r="1488" spans="1:1">
      <c r="A1488" s="243"/>
    </row>
    <row r="1489" spans="1:1">
      <c r="A1489" s="243"/>
    </row>
    <row r="1490" spans="1:1">
      <c r="A1490" s="243"/>
    </row>
    <row r="1491" spans="1:1">
      <c r="A1491" s="243"/>
    </row>
    <row r="1492" spans="1:1">
      <c r="A1492" s="243"/>
    </row>
    <row r="1493" spans="1:1">
      <c r="A1493" s="243"/>
    </row>
    <row r="1494" spans="1:1">
      <c r="A1494" s="243"/>
    </row>
    <row r="1495" spans="1:1">
      <c r="A1495" s="243"/>
    </row>
    <row r="1496" spans="1:1">
      <c r="A1496" s="243"/>
    </row>
    <row r="1497" spans="1:1">
      <c r="A1497" s="243"/>
    </row>
    <row r="1498" spans="1:1">
      <c r="A1498" s="243"/>
    </row>
    <row r="1499" spans="1:1">
      <c r="A1499" s="243"/>
    </row>
    <row r="1500" spans="1:1">
      <c r="A1500" s="243"/>
    </row>
    <row r="1501" spans="1:1">
      <c r="A1501" s="243"/>
    </row>
    <row r="1502" spans="1:1">
      <c r="A1502" s="243"/>
    </row>
    <row r="1503" spans="1:1">
      <c r="A1503" s="243"/>
    </row>
    <row r="1504" spans="1:1">
      <c r="A1504" s="243"/>
    </row>
    <row r="1505" spans="1:1">
      <c r="A1505" s="243"/>
    </row>
    <row r="1506" spans="1:1">
      <c r="A1506" s="243"/>
    </row>
    <row r="1507" spans="1:1">
      <c r="A1507" s="243"/>
    </row>
    <row r="1508" spans="1:1">
      <c r="A1508" s="243"/>
    </row>
    <row r="1509" spans="1:1">
      <c r="A1509" s="243"/>
    </row>
    <row r="1510" spans="1:1">
      <c r="A1510" s="243"/>
    </row>
    <row r="1511" spans="1:1">
      <c r="A1511" s="243"/>
    </row>
    <row r="1512" spans="1:1">
      <c r="A1512" s="243"/>
    </row>
    <row r="1513" spans="1:1">
      <c r="A1513" s="243"/>
    </row>
    <row r="1514" spans="1:1">
      <c r="A1514" s="243"/>
    </row>
    <row r="1515" spans="1:1">
      <c r="A1515" s="243"/>
    </row>
    <row r="1516" spans="1:1">
      <c r="A1516" s="243"/>
    </row>
    <row r="1517" spans="1:1">
      <c r="A1517" s="243"/>
    </row>
    <row r="1518" spans="1:1">
      <c r="A1518" s="243"/>
    </row>
    <row r="1519" spans="1:1">
      <c r="A1519" s="243"/>
    </row>
    <row r="1520" spans="1:1">
      <c r="A1520" s="243"/>
    </row>
    <row r="1521" spans="1:1">
      <c r="A1521" s="243"/>
    </row>
    <row r="1522" spans="1:1">
      <c r="A1522" s="243"/>
    </row>
    <row r="1523" spans="1:1">
      <c r="A1523" s="243"/>
    </row>
    <row r="1524" spans="1:1">
      <c r="A1524" s="243"/>
    </row>
    <row r="1525" spans="1:1">
      <c r="A1525" s="243"/>
    </row>
    <row r="1526" spans="1:1">
      <c r="A1526" s="243"/>
    </row>
    <row r="1527" spans="1:1">
      <c r="A1527" s="243"/>
    </row>
    <row r="1528" spans="1:1">
      <c r="A1528" s="243"/>
    </row>
    <row r="1529" spans="1:1">
      <c r="A1529" s="243"/>
    </row>
    <row r="1530" spans="1:1">
      <c r="A1530" s="243"/>
    </row>
    <row r="1531" spans="1:1">
      <c r="A1531" s="243"/>
    </row>
    <row r="1532" spans="1:1">
      <c r="A1532" s="243"/>
    </row>
    <row r="1533" spans="1:1">
      <c r="A1533" s="243"/>
    </row>
    <row r="1534" spans="1:1">
      <c r="A1534" s="243"/>
    </row>
    <row r="1535" spans="1:1">
      <c r="A1535" s="243"/>
    </row>
    <row r="1536" spans="1:1">
      <c r="A1536" s="243"/>
    </row>
    <row r="1537" spans="1:1">
      <c r="A1537" s="243"/>
    </row>
    <row r="1538" spans="1:1">
      <c r="A1538" s="243"/>
    </row>
    <row r="1539" spans="1:1">
      <c r="A1539" s="243"/>
    </row>
    <row r="1540" spans="1:1">
      <c r="A1540" s="243"/>
    </row>
    <row r="1541" spans="1:1">
      <c r="A1541" s="243"/>
    </row>
    <row r="1542" spans="1:1">
      <c r="A1542" s="243"/>
    </row>
    <row r="1543" spans="1:1">
      <c r="A1543" s="243"/>
    </row>
    <row r="1544" spans="1:1">
      <c r="A1544" s="243"/>
    </row>
    <row r="1545" spans="1:1">
      <c r="A1545" s="243"/>
    </row>
    <row r="1546" spans="1:1">
      <c r="A1546" s="243"/>
    </row>
    <row r="1547" spans="1:1">
      <c r="A1547" s="243"/>
    </row>
    <row r="1548" spans="1:1">
      <c r="A1548" s="243"/>
    </row>
    <row r="1549" spans="1:1">
      <c r="A1549" s="243"/>
    </row>
    <row r="1550" spans="1:1">
      <c r="A1550" s="243"/>
    </row>
    <row r="1551" spans="1:1">
      <c r="A1551" s="243"/>
    </row>
    <row r="1552" spans="1:1">
      <c r="A1552" s="243"/>
    </row>
    <row r="1553" spans="1:1">
      <c r="A1553" s="243"/>
    </row>
    <row r="1554" spans="1:1">
      <c r="A1554" s="243"/>
    </row>
    <row r="1555" spans="1:1">
      <c r="A1555" s="243"/>
    </row>
    <row r="1556" spans="1:1">
      <c r="A1556" s="243"/>
    </row>
    <row r="1557" spans="1:1">
      <c r="A1557" s="243"/>
    </row>
    <row r="1558" spans="1:1">
      <c r="A1558" s="243"/>
    </row>
    <row r="1559" spans="1:1">
      <c r="A1559" s="243"/>
    </row>
    <row r="1560" spans="1:1">
      <c r="A1560" s="243"/>
    </row>
    <row r="1561" spans="1:1">
      <c r="A1561" s="243"/>
    </row>
    <row r="1562" spans="1:1">
      <c r="A1562" s="243"/>
    </row>
    <row r="1563" spans="1:1">
      <c r="A1563" s="243"/>
    </row>
    <row r="1564" spans="1:1">
      <c r="A1564" s="243"/>
    </row>
    <row r="1565" spans="1:1">
      <c r="A1565" s="243"/>
    </row>
    <row r="1566" spans="1:1">
      <c r="A1566" s="243"/>
    </row>
    <row r="1567" spans="1:1">
      <c r="A1567" s="243"/>
    </row>
    <row r="1568" spans="1:1">
      <c r="A1568" s="243"/>
    </row>
    <row r="1569" spans="1:1">
      <c r="A1569" s="243"/>
    </row>
    <row r="1570" spans="1:1">
      <c r="A1570" s="243"/>
    </row>
    <row r="1571" spans="1:1">
      <c r="A1571" s="243"/>
    </row>
    <row r="1572" spans="1:1">
      <c r="A1572" s="243"/>
    </row>
    <row r="1573" spans="1:1">
      <c r="A1573" s="243"/>
    </row>
    <row r="1574" spans="1:1">
      <c r="A1574" s="243"/>
    </row>
    <row r="1575" spans="1:1">
      <c r="A1575" s="243"/>
    </row>
    <row r="1576" spans="1:1">
      <c r="A1576" s="243"/>
    </row>
    <row r="1577" spans="1:1">
      <c r="A1577" s="243"/>
    </row>
    <row r="1578" spans="1:1">
      <c r="A1578" s="243"/>
    </row>
    <row r="1579" spans="1:1">
      <c r="A1579" s="243"/>
    </row>
    <row r="1580" spans="1:1">
      <c r="A1580" s="243"/>
    </row>
    <row r="1581" spans="1:1">
      <c r="A1581" s="243"/>
    </row>
    <row r="1582" spans="1:1">
      <c r="A1582" s="243"/>
    </row>
    <row r="1583" spans="1:1">
      <c r="A1583" s="243"/>
    </row>
    <row r="1584" spans="1:1">
      <c r="A1584" s="243"/>
    </row>
    <row r="1585" spans="1:1">
      <c r="A1585" s="243"/>
    </row>
    <row r="1586" spans="1:1">
      <c r="A1586" s="243"/>
    </row>
    <row r="1587" spans="1:1">
      <c r="A1587" s="243"/>
    </row>
    <row r="1588" spans="1:1">
      <c r="A1588" s="243"/>
    </row>
    <row r="1589" spans="1:1">
      <c r="A1589" s="243"/>
    </row>
    <row r="1590" spans="1:1">
      <c r="A1590" s="243"/>
    </row>
    <row r="1591" spans="1:1">
      <c r="A1591" s="243"/>
    </row>
    <row r="1592" spans="1:1">
      <c r="A1592" s="243"/>
    </row>
    <row r="1593" spans="1:1">
      <c r="A1593" s="243"/>
    </row>
    <row r="1594" spans="1:1">
      <c r="A1594" s="243"/>
    </row>
    <row r="1595" spans="1:1">
      <c r="A1595" s="243"/>
    </row>
    <row r="1596" spans="1:1">
      <c r="A1596" s="243"/>
    </row>
    <row r="1597" spans="1:1">
      <c r="A1597" s="243"/>
    </row>
    <row r="1598" spans="1:1">
      <c r="A1598" s="243"/>
    </row>
    <row r="1599" spans="1:1">
      <c r="A1599" s="243"/>
    </row>
    <row r="1600" spans="1:1">
      <c r="A1600" s="243"/>
    </row>
    <row r="1601" spans="1:1">
      <c r="A1601" s="243"/>
    </row>
    <row r="1602" spans="1:1">
      <c r="A1602" s="243"/>
    </row>
    <row r="1603" spans="1:1">
      <c r="A1603" s="243"/>
    </row>
    <row r="1604" spans="1:1">
      <c r="A1604" s="243"/>
    </row>
    <row r="1605" spans="1:1">
      <c r="A1605" s="243"/>
    </row>
    <row r="1606" spans="1:1">
      <c r="A1606" s="243"/>
    </row>
    <row r="1607" spans="1:1">
      <c r="A1607" s="243"/>
    </row>
    <row r="1608" spans="1:1">
      <c r="A1608" s="243"/>
    </row>
    <row r="1609" spans="1:1">
      <c r="A1609" s="243"/>
    </row>
    <row r="1610" spans="1:1">
      <c r="A1610" s="243"/>
    </row>
    <row r="1611" spans="1:1">
      <c r="A1611" s="243"/>
    </row>
    <row r="1612" spans="1:1">
      <c r="A1612" s="243"/>
    </row>
    <row r="1613" spans="1:1">
      <c r="A1613" s="243"/>
    </row>
    <row r="1614" spans="1:1">
      <c r="A1614" s="243"/>
    </row>
    <row r="1615" spans="1:1">
      <c r="A1615" s="243"/>
    </row>
    <row r="1616" spans="1:1">
      <c r="A1616" s="243"/>
    </row>
    <row r="1617" spans="1:1">
      <c r="A1617" s="243"/>
    </row>
    <row r="1618" spans="1:1">
      <c r="A1618" s="243"/>
    </row>
    <row r="1619" spans="1:1">
      <c r="A1619" s="243"/>
    </row>
    <row r="1620" spans="1:1">
      <c r="A1620" s="243"/>
    </row>
    <row r="1621" spans="1:1">
      <c r="A1621" s="243"/>
    </row>
    <row r="1622" spans="1:1">
      <c r="A1622" s="243"/>
    </row>
    <row r="1623" spans="1:1">
      <c r="A1623" s="243"/>
    </row>
    <row r="1624" spans="1:1">
      <c r="A1624" s="243"/>
    </row>
    <row r="1625" spans="1:1">
      <c r="A1625" s="243"/>
    </row>
    <row r="1626" spans="1:1">
      <c r="A1626" s="243"/>
    </row>
    <row r="1627" spans="1:1">
      <c r="A1627" s="243"/>
    </row>
    <row r="1628" spans="1:1">
      <c r="A1628" s="243"/>
    </row>
    <row r="1629" spans="1:1">
      <c r="A1629" s="243"/>
    </row>
    <row r="1630" spans="1:1">
      <c r="A1630" s="243"/>
    </row>
    <row r="1631" spans="1:1">
      <c r="A1631" s="243"/>
    </row>
    <row r="1632" spans="1:1">
      <c r="A1632" s="243"/>
    </row>
    <row r="1633" spans="1:1">
      <c r="A1633" s="243"/>
    </row>
    <row r="1634" spans="1:1">
      <c r="A1634" s="243"/>
    </row>
    <row r="1635" spans="1:1">
      <c r="A1635" s="243"/>
    </row>
    <row r="1636" spans="1:1">
      <c r="A1636" s="243"/>
    </row>
    <row r="1637" spans="1:1">
      <c r="A1637" s="243"/>
    </row>
    <row r="1638" spans="1:1">
      <c r="A1638" s="243"/>
    </row>
    <row r="1639" spans="1:1">
      <c r="A1639" s="243"/>
    </row>
    <row r="1640" spans="1:1">
      <c r="A1640" s="243"/>
    </row>
    <row r="1641" spans="1:1">
      <c r="A1641" s="243"/>
    </row>
    <row r="1642" spans="1:1">
      <c r="A1642" s="243"/>
    </row>
    <row r="1643" spans="1:1">
      <c r="A1643" s="243"/>
    </row>
    <row r="1644" spans="1:1">
      <c r="A1644" s="243"/>
    </row>
    <row r="1645" spans="1:1">
      <c r="A1645" s="243"/>
    </row>
    <row r="1646" spans="1:1">
      <c r="A1646" s="243"/>
    </row>
    <row r="1647" spans="1:1">
      <c r="A1647" s="243"/>
    </row>
    <row r="1648" spans="1:1">
      <c r="A1648" s="243"/>
    </row>
    <row r="1649" spans="1:1">
      <c r="A1649" s="243"/>
    </row>
    <row r="1650" spans="1:1">
      <c r="A1650" s="243"/>
    </row>
    <row r="1651" spans="1:1">
      <c r="A1651" s="243"/>
    </row>
    <row r="1652" spans="1:1">
      <c r="A1652" s="243"/>
    </row>
    <row r="1653" spans="1:1">
      <c r="A1653" s="243"/>
    </row>
    <row r="1654" spans="1:1">
      <c r="A1654" s="243"/>
    </row>
    <row r="1655" spans="1:1">
      <c r="A1655" s="243"/>
    </row>
    <row r="1656" spans="1:1">
      <c r="A1656" s="243"/>
    </row>
    <row r="1657" spans="1:1">
      <c r="A1657" s="243"/>
    </row>
    <row r="1658" spans="1:1">
      <c r="A1658" s="243"/>
    </row>
    <row r="1659" spans="1:1">
      <c r="A1659" s="243"/>
    </row>
    <row r="1660" spans="1:1">
      <c r="A1660" s="243"/>
    </row>
    <row r="1661" spans="1:1">
      <c r="A1661" s="243"/>
    </row>
    <row r="1662" spans="1:1">
      <c r="A1662" s="243"/>
    </row>
    <row r="1663" spans="1:1">
      <c r="A1663" s="243"/>
    </row>
    <row r="1664" spans="1:1">
      <c r="A1664" s="243"/>
    </row>
    <row r="1665" spans="1:1">
      <c r="A1665" s="243"/>
    </row>
    <row r="1666" spans="1:1">
      <c r="A1666" s="243"/>
    </row>
    <row r="1667" spans="1:1">
      <c r="A1667" s="243"/>
    </row>
    <row r="1668" spans="1:1">
      <c r="A1668" s="243"/>
    </row>
    <row r="1669" spans="1:1">
      <c r="A1669" s="243"/>
    </row>
    <row r="1670" spans="1:1">
      <c r="A1670" s="243"/>
    </row>
    <row r="1671" spans="1:1">
      <c r="A1671" s="243"/>
    </row>
    <row r="1672" spans="1:1">
      <c r="A1672" s="243"/>
    </row>
    <row r="1673" spans="1:1">
      <c r="A1673" s="243"/>
    </row>
    <row r="1674" spans="1:1">
      <c r="A1674" s="243"/>
    </row>
    <row r="1675" spans="1:1">
      <c r="A1675" s="243"/>
    </row>
    <row r="1676" spans="1:1">
      <c r="A1676" s="243"/>
    </row>
    <row r="1677" spans="1:1">
      <c r="A1677" s="243"/>
    </row>
    <row r="1678" spans="1:1">
      <c r="A1678" s="243"/>
    </row>
    <row r="1679" spans="1:1">
      <c r="A1679" s="243"/>
    </row>
    <row r="1680" spans="1:1">
      <c r="A1680" s="243"/>
    </row>
    <row r="1681" spans="1:1">
      <c r="A1681" s="243"/>
    </row>
    <row r="1682" spans="1:1">
      <c r="A1682" s="243"/>
    </row>
    <row r="1683" spans="1:1">
      <c r="A1683" s="243"/>
    </row>
    <row r="1684" spans="1:1">
      <c r="A1684" s="243"/>
    </row>
    <row r="1685" spans="1:1">
      <c r="A1685" s="243"/>
    </row>
    <row r="1686" spans="1:1">
      <c r="A1686" s="243"/>
    </row>
    <row r="1687" spans="1:1">
      <c r="A1687" s="243"/>
    </row>
    <row r="1688" spans="1:1">
      <c r="A1688" s="243"/>
    </row>
    <row r="1689" spans="1:1">
      <c r="A1689" s="243"/>
    </row>
    <row r="1690" spans="1:1">
      <c r="A1690" s="243"/>
    </row>
    <row r="1691" spans="1:1">
      <c r="A1691" s="243"/>
    </row>
    <row r="1692" spans="1:1">
      <c r="A1692" s="243"/>
    </row>
    <row r="1693" spans="1:1">
      <c r="A1693" s="243"/>
    </row>
    <row r="1694" spans="1:1">
      <c r="A1694" s="243"/>
    </row>
    <row r="1695" spans="1:1">
      <c r="A1695" s="243"/>
    </row>
    <row r="1696" spans="1:1">
      <c r="A1696" s="243"/>
    </row>
    <row r="1697" spans="1:1">
      <c r="A1697" s="243"/>
    </row>
    <row r="1698" spans="1:1">
      <c r="A1698" s="243"/>
    </row>
    <row r="1699" spans="1:1">
      <c r="A1699" s="243"/>
    </row>
    <row r="1700" spans="1:1">
      <c r="A1700" s="243"/>
    </row>
    <row r="1701" spans="1:1">
      <c r="A1701" s="243"/>
    </row>
    <row r="1702" spans="1:1">
      <c r="A1702" s="243"/>
    </row>
    <row r="1703" spans="1:1">
      <c r="A1703" s="243"/>
    </row>
    <row r="1704" spans="1:1">
      <c r="A1704" s="243"/>
    </row>
    <row r="1705" spans="1:1">
      <c r="A1705" s="243"/>
    </row>
    <row r="1706" spans="1:1">
      <c r="A1706" s="243"/>
    </row>
    <row r="1707" spans="1:1">
      <c r="A1707" s="243"/>
    </row>
    <row r="1708" spans="1:1">
      <c r="A1708" s="243"/>
    </row>
    <row r="1709" spans="1:1">
      <c r="A1709" s="243"/>
    </row>
    <row r="1710" spans="1:1">
      <c r="A1710" s="243"/>
    </row>
    <row r="1711" spans="1:1">
      <c r="A1711" s="243"/>
    </row>
    <row r="1712" spans="1:1">
      <c r="A1712" s="243"/>
    </row>
    <row r="1713" spans="1:1">
      <c r="A1713" s="243"/>
    </row>
    <row r="1714" spans="1:1">
      <c r="A1714" s="243"/>
    </row>
    <row r="1715" spans="1:1">
      <c r="A1715" s="243"/>
    </row>
    <row r="1716" spans="1:1">
      <c r="A1716" s="243"/>
    </row>
    <row r="1717" spans="1:1">
      <c r="A1717" s="243"/>
    </row>
    <row r="1718" spans="1:1">
      <c r="A1718" s="243"/>
    </row>
    <row r="1719" spans="1:1">
      <c r="A1719" s="243"/>
    </row>
    <row r="1720" spans="1:1">
      <c r="A1720" s="243"/>
    </row>
    <row r="1721" spans="1:1">
      <c r="A1721" s="243"/>
    </row>
    <row r="1722" spans="1:1">
      <c r="A1722" s="243"/>
    </row>
    <row r="1723" spans="1:1">
      <c r="A1723" s="243"/>
    </row>
    <row r="1724" spans="1:1">
      <c r="A1724" s="243"/>
    </row>
    <row r="1725" spans="1:1">
      <c r="A1725" s="243"/>
    </row>
    <row r="1726" spans="1:1">
      <c r="A1726" s="243"/>
    </row>
    <row r="1727" spans="1:1">
      <c r="A1727" s="243"/>
    </row>
    <row r="1728" spans="1:1">
      <c r="A1728" s="243"/>
    </row>
    <row r="1729" spans="1:1">
      <c r="A1729" s="243"/>
    </row>
    <row r="1730" spans="1:1">
      <c r="A1730" s="243"/>
    </row>
    <row r="1731" spans="1:1">
      <c r="A1731" s="243"/>
    </row>
    <row r="1732" spans="1:1">
      <c r="A1732" s="243"/>
    </row>
    <row r="1733" spans="1:1">
      <c r="A1733" s="243"/>
    </row>
    <row r="1734" spans="1:1">
      <c r="A1734" s="243"/>
    </row>
    <row r="1735" spans="1:1">
      <c r="A1735" s="243"/>
    </row>
    <row r="1736" spans="1:1">
      <c r="A1736" s="243"/>
    </row>
    <row r="1737" spans="1:1">
      <c r="A1737" s="243"/>
    </row>
    <row r="1738" spans="1:1">
      <c r="A1738" s="243"/>
    </row>
    <row r="1739" spans="1:1">
      <c r="A1739" s="243"/>
    </row>
    <row r="1740" spans="1:1">
      <c r="A1740" s="243"/>
    </row>
    <row r="1741" spans="1:1">
      <c r="A1741" s="243"/>
    </row>
    <row r="1742" spans="1:1">
      <c r="A1742" s="243"/>
    </row>
    <row r="1743" spans="1:1">
      <c r="A1743" s="243"/>
    </row>
    <row r="1744" spans="1:1">
      <c r="A1744" s="243"/>
    </row>
    <row r="1745" spans="1:1">
      <c r="A1745" s="243"/>
    </row>
    <row r="1746" spans="1:1">
      <c r="A1746" s="243"/>
    </row>
    <row r="1747" spans="1:1">
      <c r="A1747" s="243"/>
    </row>
    <row r="1748" spans="1:1">
      <c r="A1748" s="243"/>
    </row>
    <row r="1749" spans="1:1">
      <c r="A1749" s="243"/>
    </row>
    <row r="1750" spans="1:1">
      <c r="A1750" s="243"/>
    </row>
    <row r="1751" spans="1:1">
      <c r="A1751" s="243"/>
    </row>
    <row r="1752" spans="1:1">
      <c r="A1752" s="243"/>
    </row>
    <row r="1753" spans="1:1">
      <c r="A1753" s="243"/>
    </row>
    <row r="1754" spans="1:1">
      <c r="A1754" s="243"/>
    </row>
    <row r="1755" spans="1:1">
      <c r="A1755" s="243"/>
    </row>
    <row r="1756" spans="1:1">
      <c r="A1756" s="243"/>
    </row>
    <row r="1757" spans="1:1">
      <c r="A1757" s="243"/>
    </row>
    <row r="1758" spans="1:1">
      <c r="A1758" s="243"/>
    </row>
    <row r="1759" spans="1:1">
      <c r="A1759" s="243"/>
    </row>
    <row r="1760" spans="1:1">
      <c r="A1760" s="243"/>
    </row>
    <row r="1761" spans="1:1">
      <c r="A1761" s="243"/>
    </row>
    <row r="1762" spans="1:1">
      <c r="A1762" s="243"/>
    </row>
    <row r="1763" spans="1:1">
      <c r="A1763" s="243"/>
    </row>
    <row r="1764" spans="1:1">
      <c r="A1764" s="243"/>
    </row>
    <row r="1765" spans="1:1">
      <c r="A1765" s="243"/>
    </row>
    <row r="1766" spans="1:1">
      <c r="A1766" s="243"/>
    </row>
    <row r="1767" spans="1:1">
      <c r="A1767" s="243"/>
    </row>
    <row r="1768" spans="1:1">
      <c r="A1768" s="243"/>
    </row>
    <row r="1769" spans="1:1">
      <c r="A1769" s="243"/>
    </row>
    <row r="1770" spans="1:1">
      <c r="A1770" s="243"/>
    </row>
    <row r="1771" spans="1:1">
      <c r="A1771" s="243"/>
    </row>
    <row r="1772" spans="1:1">
      <c r="A1772" s="243"/>
    </row>
    <row r="1773" spans="1:1">
      <c r="A1773" s="243"/>
    </row>
    <row r="1774" spans="1:1">
      <c r="A1774" s="243"/>
    </row>
    <row r="1775" spans="1:1">
      <c r="A1775" s="243"/>
    </row>
    <row r="1776" spans="1:1">
      <c r="A1776" s="243"/>
    </row>
    <row r="1777" spans="1:1">
      <c r="A1777" s="243"/>
    </row>
    <row r="1778" spans="1:1">
      <c r="A1778" s="243"/>
    </row>
    <row r="1779" spans="1:1">
      <c r="A1779" s="243"/>
    </row>
    <row r="1780" spans="1:1">
      <c r="A1780" s="243"/>
    </row>
    <row r="1781" spans="1:1">
      <c r="A1781" s="243"/>
    </row>
    <row r="1782" spans="1:1">
      <c r="A1782" s="243"/>
    </row>
    <row r="1783" spans="1:1">
      <c r="A1783" s="243"/>
    </row>
    <row r="1784" spans="1:1">
      <c r="A1784" s="243"/>
    </row>
    <row r="1785" spans="1:1">
      <c r="A1785" s="243"/>
    </row>
    <row r="1786" spans="1:1">
      <c r="A1786" s="243"/>
    </row>
    <row r="1787" spans="1:1">
      <c r="A1787" s="243"/>
    </row>
    <row r="1788" spans="1:1">
      <c r="A1788" s="243"/>
    </row>
    <row r="1789" spans="1:1">
      <c r="A1789" s="243"/>
    </row>
    <row r="1790" spans="1:1">
      <c r="A1790" s="243"/>
    </row>
    <row r="1791" spans="1:1">
      <c r="A1791" s="243"/>
    </row>
    <row r="1792" spans="1:1">
      <c r="A1792" s="243"/>
    </row>
    <row r="1793" spans="1:1">
      <c r="A1793" s="243"/>
    </row>
    <row r="1794" spans="1:1">
      <c r="A1794" s="243"/>
    </row>
    <row r="1795" spans="1:1">
      <c r="A1795" s="243"/>
    </row>
    <row r="1796" spans="1:1">
      <c r="A1796" s="243"/>
    </row>
    <row r="1797" spans="1:1">
      <c r="A1797" s="243"/>
    </row>
    <row r="1798" spans="1:1">
      <c r="A1798" s="243"/>
    </row>
    <row r="1799" spans="1:1">
      <c r="A1799" s="243"/>
    </row>
    <row r="1800" spans="1:1">
      <c r="A1800" s="243"/>
    </row>
    <row r="1801" spans="1:1">
      <c r="A1801" s="243"/>
    </row>
    <row r="1802" spans="1:1">
      <c r="A1802" s="243"/>
    </row>
    <row r="1803" spans="1:1">
      <c r="A1803" s="243"/>
    </row>
    <row r="1804" spans="1:1">
      <c r="A1804" s="243"/>
    </row>
    <row r="1805" spans="1:1">
      <c r="A1805" s="243"/>
    </row>
    <row r="1806" spans="1:1">
      <c r="A1806" s="243"/>
    </row>
    <row r="1807" spans="1:1">
      <c r="A1807" s="243"/>
    </row>
    <row r="1808" spans="1:1">
      <c r="A1808" s="243"/>
    </row>
    <row r="1809" spans="1:1">
      <c r="A1809" s="243"/>
    </row>
    <row r="1810" spans="1:1">
      <c r="A1810" s="243"/>
    </row>
    <row r="1811" spans="1:1">
      <c r="A1811" s="243"/>
    </row>
    <row r="1812" spans="1:1">
      <c r="A1812" s="243"/>
    </row>
    <row r="1813" spans="1:1">
      <c r="A1813" s="243"/>
    </row>
    <row r="1814" spans="1:1">
      <c r="A1814" s="243"/>
    </row>
    <row r="1815" spans="1:1">
      <c r="A1815" s="243"/>
    </row>
    <row r="1816" spans="1:1">
      <c r="A1816" s="243"/>
    </row>
    <row r="1817" spans="1:1">
      <c r="A1817" s="243"/>
    </row>
    <row r="1818" spans="1:1">
      <c r="A1818" s="243"/>
    </row>
    <row r="1819" spans="1:1">
      <c r="A1819" s="243"/>
    </row>
    <row r="1820" spans="1:1">
      <c r="A1820" s="243"/>
    </row>
    <row r="1821" spans="1:1">
      <c r="A1821" s="243"/>
    </row>
    <row r="1822" spans="1:1">
      <c r="A1822" s="243"/>
    </row>
    <row r="1823" spans="1:1">
      <c r="A1823" s="243"/>
    </row>
    <row r="1824" spans="1:1">
      <c r="A1824" s="243"/>
    </row>
    <row r="1825" spans="1:1">
      <c r="A1825" s="243"/>
    </row>
    <row r="1826" spans="1:1">
      <c r="A1826" s="243"/>
    </row>
    <row r="1827" spans="1:1">
      <c r="A1827" s="243"/>
    </row>
    <row r="1828" spans="1:1">
      <c r="A1828" s="243"/>
    </row>
    <row r="1829" spans="1:1">
      <c r="A1829" s="243"/>
    </row>
    <row r="1830" spans="1:1">
      <c r="A1830" s="243"/>
    </row>
    <row r="1831" spans="1:1">
      <c r="A1831" s="243"/>
    </row>
    <row r="1832" spans="1:1">
      <c r="A1832" s="243"/>
    </row>
    <row r="1833" spans="1:1">
      <c r="A1833" s="243"/>
    </row>
    <row r="1834" spans="1:1">
      <c r="A1834" s="243"/>
    </row>
    <row r="1835" spans="1:1">
      <c r="A1835" s="243"/>
    </row>
    <row r="1836" spans="1:1">
      <c r="A1836" s="243"/>
    </row>
    <row r="1837" spans="1:1">
      <c r="A1837" s="243"/>
    </row>
    <row r="1838" spans="1:1">
      <c r="A1838" s="243"/>
    </row>
    <row r="1839" spans="1:1">
      <c r="A1839" s="243"/>
    </row>
    <row r="1840" spans="1:1">
      <c r="A1840" s="243"/>
    </row>
    <row r="1841" spans="1:1">
      <c r="A1841" s="243"/>
    </row>
    <row r="1842" spans="1:1">
      <c r="A1842" s="243"/>
    </row>
    <row r="1843" spans="1:1">
      <c r="A1843" s="243"/>
    </row>
    <row r="1844" spans="1:1">
      <c r="A1844" s="243"/>
    </row>
    <row r="1845" spans="1:1">
      <c r="A1845" s="243"/>
    </row>
    <row r="1846" spans="1:1">
      <c r="A1846" s="243"/>
    </row>
    <row r="1847" spans="1:1">
      <c r="A1847" s="243"/>
    </row>
    <row r="1848" spans="1:1">
      <c r="A1848" s="243"/>
    </row>
    <row r="1849" spans="1:1">
      <c r="A1849" s="243"/>
    </row>
    <row r="1850" spans="1:1">
      <c r="A1850" s="243"/>
    </row>
    <row r="1851" spans="1:1">
      <c r="A1851" s="243"/>
    </row>
    <row r="1852" spans="1:1">
      <c r="A1852" s="243"/>
    </row>
    <row r="1853" spans="1:1">
      <c r="A1853" s="243"/>
    </row>
    <row r="1854" spans="1:1">
      <c r="A1854" s="243"/>
    </row>
    <row r="1855" spans="1:1">
      <c r="A1855" s="243"/>
    </row>
    <row r="1856" spans="1:1">
      <c r="A1856" s="243"/>
    </row>
    <row r="1857" spans="1:1">
      <c r="A1857" s="243"/>
    </row>
    <row r="1858" spans="1:1">
      <c r="A1858" s="243"/>
    </row>
    <row r="1859" spans="1:1">
      <c r="A1859" s="243"/>
    </row>
    <row r="1860" spans="1:1">
      <c r="A1860" s="243"/>
    </row>
    <row r="1861" spans="1:1">
      <c r="A1861" s="243"/>
    </row>
    <row r="1862" spans="1:1">
      <c r="A1862" s="243"/>
    </row>
    <row r="1863" spans="1:1">
      <c r="A1863" s="243"/>
    </row>
    <row r="1864" spans="1:1">
      <c r="A1864" s="243"/>
    </row>
    <row r="1865" spans="1:1">
      <c r="A1865" s="243"/>
    </row>
    <row r="1866" spans="1:1">
      <c r="A1866" s="243"/>
    </row>
    <row r="1867" spans="1:1">
      <c r="A1867" s="243"/>
    </row>
    <row r="1868" spans="1:1">
      <c r="A1868" s="243"/>
    </row>
    <row r="1869" spans="1:1">
      <c r="A1869" s="243"/>
    </row>
    <row r="1870" spans="1:1">
      <c r="A1870" s="243"/>
    </row>
    <row r="1871" spans="1:1">
      <c r="A1871" s="243"/>
    </row>
    <row r="1872" spans="1:1">
      <c r="A1872" s="243"/>
    </row>
    <row r="1873" spans="1:1">
      <c r="A1873" s="243"/>
    </row>
    <row r="1874" spans="1:1">
      <c r="A1874" s="243"/>
    </row>
    <row r="1875" spans="1:1">
      <c r="A1875" s="243"/>
    </row>
    <row r="1876" spans="1:1">
      <c r="A1876" s="243"/>
    </row>
    <row r="1877" spans="1:1">
      <c r="A1877" s="243"/>
    </row>
    <row r="1878" spans="1:1">
      <c r="A1878" s="243"/>
    </row>
    <row r="1879" spans="1:1">
      <c r="A1879" s="243"/>
    </row>
    <row r="1880" spans="1:1">
      <c r="A1880" s="243"/>
    </row>
    <row r="1881" spans="1:1">
      <c r="A1881" s="243"/>
    </row>
    <row r="1882" spans="1:1">
      <c r="A1882" s="243"/>
    </row>
    <row r="1883" spans="1:1">
      <c r="A1883" s="243"/>
    </row>
    <row r="1884" spans="1:1">
      <c r="A1884" s="243"/>
    </row>
    <row r="1885" spans="1:1">
      <c r="A1885" s="243"/>
    </row>
    <row r="1886" spans="1:1">
      <c r="A1886" s="243"/>
    </row>
    <row r="1887" spans="1:1">
      <c r="A1887" s="243"/>
    </row>
    <row r="1888" spans="1:1">
      <c r="A1888" s="243"/>
    </row>
    <row r="1889" spans="1:1">
      <c r="A1889" s="243"/>
    </row>
    <row r="1890" spans="1:1">
      <c r="A1890" s="243"/>
    </row>
    <row r="1891" spans="1:1">
      <c r="A1891" s="243"/>
    </row>
    <row r="1892" spans="1:1">
      <c r="A1892" s="243"/>
    </row>
    <row r="1893" spans="1:1">
      <c r="A1893" s="243"/>
    </row>
    <row r="1894" spans="1:1">
      <c r="A1894" s="243"/>
    </row>
    <row r="1895" spans="1:1">
      <c r="A1895" s="243"/>
    </row>
    <row r="1896" spans="1:1">
      <c r="A1896" s="243"/>
    </row>
    <row r="1897" spans="1:1">
      <c r="A1897" s="243"/>
    </row>
    <row r="1898" spans="1:1">
      <c r="A1898" s="243"/>
    </row>
    <row r="1899" spans="1:1">
      <c r="A1899" s="243"/>
    </row>
    <row r="1900" spans="1:1">
      <c r="A1900" s="243"/>
    </row>
    <row r="1901" spans="1:1">
      <c r="A1901" s="243"/>
    </row>
    <row r="1902" spans="1:1">
      <c r="A1902" s="243"/>
    </row>
    <row r="1903" spans="1:1">
      <c r="A1903" s="243"/>
    </row>
    <row r="1904" spans="1:1">
      <c r="A1904" s="243"/>
    </row>
    <row r="1905" spans="1:1">
      <c r="A1905" s="243"/>
    </row>
    <row r="1906" spans="1:1">
      <c r="A1906" s="243"/>
    </row>
    <row r="1907" spans="1:1">
      <c r="A1907" s="243"/>
    </row>
    <row r="1908" spans="1:1">
      <c r="A1908" s="243"/>
    </row>
    <row r="1909" spans="1:1">
      <c r="A1909" s="243"/>
    </row>
    <row r="1910" spans="1:1">
      <c r="A1910" s="243"/>
    </row>
    <row r="1911" spans="1:1">
      <c r="A1911" s="243"/>
    </row>
    <row r="1912" spans="1:1">
      <c r="A1912" s="243"/>
    </row>
    <row r="1913" spans="1:1">
      <c r="A1913" s="243"/>
    </row>
    <row r="1914" spans="1:1">
      <c r="A1914" s="243"/>
    </row>
    <row r="1915" spans="1:1">
      <c r="A1915" s="243"/>
    </row>
    <row r="1916" spans="1:1">
      <c r="A1916" s="243"/>
    </row>
    <row r="1917" spans="1:1">
      <c r="A1917" s="243"/>
    </row>
    <row r="1918" spans="1:1">
      <c r="A1918" s="243"/>
    </row>
    <row r="1919" spans="1:1">
      <c r="A1919" s="243"/>
    </row>
    <row r="1920" spans="1:1">
      <c r="A1920" s="243"/>
    </row>
    <row r="1921" spans="1:1">
      <c r="A1921" s="243"/>
    </row>
    <row r="1922" spans="1:1">
      <c r="A1922" s="243"/>
    </row>
    <row r="1923" spans="1:1">
      <c r="A1923" s="243"/>
    </row>
    <row r="1924" spans="1:1">
      <c r="A1924" s="243"/>
    </row>
    <row r="1925" spans="1:1">
      <c r="A1925" s="243"/>
    </row>
    <row r="1926" spans="1:1">
      <c r="A1926" s="243"/>
    </row>
    <row r="1927" spans="1:1">
      <c r="A1927" s="243"/>
    </row>
    <row r="1928" spans="1:1">
      <c r="A1928" s="243"/>
    </row>
    <row r="1929" spans="1:1">
      <c r="A1929" s="243"/>
    </row>
    <row r="1930" spans="1:1">
      <c r="A1930" s="243"/>
    </row>
    <row r="1931" spans="1:1">
      <c r="A1931" s="243"/>
    </row>
    <row r="1932" spans="1:1">
      <c r="A1932" s="243"/>
    </row>
    <row r="1933" spans="1:1">
      <c r="A1933" s="243"/>
    </row>
    <row r="1934" spans="1:1">
      <c r="A1934" s="243"/>
    </row>
    <row r="1935" spans="1:1">
      <c r="A1935" s="243"/>
    </row>
    <row r="1936" spans="1:1">
      <c r="A1936" s="243"/>
    </row>
    <row r="1937" spans="1:1">
      <c r="A1937" s="243"/>
    </row>
    <row r="1938" spans="1:1">
      <c r="A1938" s="243"/>
    </row>
    <row r="1939" spans="1:1">
      <c r="A1939" s="243"/>
    </row>
    <row r="1940" spans="1:1">
      <c r="A1940" s="243"/>
    </row>
    <row r="1941" spans="1:1">
      <c r="A1941" s="243"/>
    </row>
    <row r="1942" spans="1:1">
      <c r="A1942" s="243"/>
    </row>
    <row r="1943" spans="1:1">
      <c r="A1943" s="243"/>
    </row>
    <row r="1944" spans="1:1">
      <c r="A1944" s="243"/>
    </row>
    <row r="1945" spans="1:1">
      <c r="A1945" s="243"/>
    </row>
    <row r="1946" spans="1:1">
      <c r="A1946" s="243"/>
    </row>
    <row r="1947" spans="1:1">
      <c r="A1947" s="243"/>
    </row>
    <row r="1948" spans="1:1">
      <c r="A1948" s="243"/>
    </row>
    <row r="1949" spans="1:1">
      <c r="A1949" s="243"/>
    </row>
    <row r="1950" spans="1:1">
      <c r="A1950" s="243"/>
    </row>
    <row r="1951" spans="1:1">
      <c r="A1951" s="243"/>
    </row>
    <row r="1952" spans="1:1">
      <c r="A1952" s="243"/>
    </row>
    <row r="1953" spans="1:1">
      <c r="A1953" s="243"/>
    </row>
    <row r="1954" spans="1:1">
      <c r="A1954" s="243"/>
    </row>
    <row r="1955" spans="1:1">
      <c r="A1955" s="243"/>
    </row>
    <row r="1956" spans="1:1">
      <c r="A1956" s="243"/>
    </row>
    <row r="1957" spans="1:1">
      <c r="A1957" s="243"/>
    </row>
    <row r="1958" spans="1:1">
      <c r="A1958" s="243"/>
    </row>
    <row r="1959" spans="1:1">
      <c r="A1959" s="243"/>
    </row>
    <row r="1960" spans="1:1">
      <c r="A1960" s="243"/>
    </row>
    <row r="1961" spans="1:1">
      <c r="A1961" s="243"/>
    </row>
    <row r="1962" spans="1:1">
      <c r="A1962" s="243"/>
    </row>
    <row r="1963" spans="1:1">
      <c r="A1963" s="243"/>
    </row>
    <row r="1964" spans="1:1">
      <c r="A1964" s="243"/>
    </row>
    <row r="1965" spans="1:1">
      <c r="A1965" s="243"/>
    </row>
    <row r="1966" spans="1:1">
      <c r="A1966" s="243"/>
    </row>
    <row r="1967" spans="1:1">
      <c r="A1967" s="243"/>
    </row>
    <row r="1968" spans="1:1">
      <c r="A1968" s="243"/>
    </row>
    <row r="1969" spans="1:1">
      <c r="A1969" s="243"/>
    </row>
    <row r="1970" spans="1:1">
      <c r="A1970" s="243"/>
    </row>
    <row r="1971" spans="1:1">
      <c r="A1971" s="243"/>
    </row>
    <row r="1972" spans="1:1">
      <c r="A1972" s="243"/>
    </row>
    <row r="1973" spans="1:1">
      <c r="A1973" s="243"/>
    </row>
    <row r="1974" spans="1:1">
      <c r="A1974" s="243"/>
    </row>
    <row r="1975" spans="1:1">
      <c r="A1975" s="243"/>
    </row>
    <row r="1976" spans="1:1">
      <c r="A1976" s="243"/>
    </row>
    <row r="1977" spans="1:1">
      <c r="A1977" s="243"/>
    </row>
    <row r="1978" spans="1:1">
      <c r="A1978" s="243"/>
    </row>
    <row r="1979" spans="1:1">
      <c r="A1979" s="243"/>
    </row>
    <row r="1980" spans="1:1">
      <c r="A1980" s="243"/>
    </row>
    <row r="1981" spans="1:1">
      <c r="A1981" s="243"/>
    </row>
    <row r="1982" spans="1:1">
      <c r="A1982" s="243"/>
    </row>
    <row r="1983" spans="1:1">
      <c r="A1983" s="243"/>
    </row>
    <row r="1984" spans="1:1">
      <c r="A1984" s="243"/>
    </row>
    <row r="1985" spans="1:1">
      <c r="A1985" s="243"/>
    </row>
    <row r="1986" spans="1:1">
      <c r="A1986" s="243"/>
    </row>
    <row r="1987" spans="1:1">
      <c r="A1987" s="243"/>
    </row>
    <row r="1988" spans="1:1">
      <c r="A1988" s="243"/>
    </row>
    <row r="1989" spans="1:1">
      <c r="A1989" s="243"/>
    </row>
    <row r="1990" spans="1:1">
      <c r="A1990" s="243"/>
    </row>
    <row r="1991" spans="1:1">
      <c r="A1991" s="243"/>
    </row>
    <row r="1992" spans="1:1">
      <c r="A1992" s="243"/>
    </row>
    <row r="1993" spans="1:1">
      <c r="A1993" s="243"/>
    </row>
    <row r="1994" spans="1:1">
      <c r="A1994" s="243"/>
    </row>
    <row r="1995" spans="1:1">
      <c r="A1995" s="243"/>
    </row>
    <row r="1996" spans="1:1">
      <c r="A1996" s="243"/>
    </row>
    <row r="1997" spans="1:1">
      <c r="A1997" s="243"/>
    </row>
    <row r="1998" spans="1:1">
      <c r="A1998" s="243"/>
    </row>
    <row r="1999" spans="1:1">
      <c r="A1999" s="243"/>
    </row>
    <row r="2000" spans="1:1">
      <c r="A2000" s="243"/>
    </row>
    <row r="2001" spans="1:1">
      <c r="A2001" s="243"/>
    </row>
    <row r="2002" spans="1:1">
      <c r="A2002" s="243"/>
    </row>
    <row r="2003" spans="1:1">
      <c r="A2003" s="243"/>
    </row>
    <row r="2004" spans="1:1">
      <c r="A2004" s="243"/>
    </row>
    <row r="2005" spans="1:1">
      <c r="A2005" s="243"/>
    </row>
    <row r="2006" spans="1:1">
      <c r="A2006" s="243"/>
    </row>
    <row r="2007" spans="1:1">
      <c r="A2007" s="243"/>
    </row>
    <row r="2008" spans="1:1">
      <c r="A2008" s="243"/>
    </row>
    <row r="2009" spans="1:1">
      <c r="A2009" s="243"/>
    </row>
    <row r="2010" spans="1:1">
      <c r="A2010" s="243"/>
    </row>
    <row r="2011" spans="1:1">
      <c r="A2011" s="243"/>
    </row>
    <row r="2012" spans="1:1">
      <c r="A2012" s="243"/>
    </row>
    <row r="2013" spans="1:1">
      <c r="A2013" s="243"/>
    </row>
    <row r="2014" spans="1:1">
      <c r="A2014" s="243"/>
    </row>
    <row r="2015" spans="1:1">
      <c r="A2015" s="243"/>
    </row>
    <row r="2016" spans="1:1">
      <c r="A2016" s="243"/>
    </row>
    <row r="2017" spans="1:1">
      <c r="A2017" s="243"/>
    </row>
    <row r="2018" spans="1:1">
      <c r="A2018" s="243"/>
    </row>
    <row r="2019" spans="1:1">
      <c r="A2019" s="243"/>
    </row>
    <row r="2020" spans="1:1">
      <c r="A2020" s="243"/>
    </row>
    <row r="2021" spans="1:1">
      <c r="A2021" s="243"/>
    </row>
    <row r="2022" spans="1:1">
      <c r="A2022" s="243"/>
    </row>
    <row r="2023" spans="1:1">
      <c r="A2023" s="243"/>
    </row>
    <row r="2024" spans="1:1">
      <c r="A2024" s="243"/>
    </row>
    <row r="2025" spans="1:1">
      <c r="A2025" s="243"/>
    </row>
    <row r="2026" spans="1:1">
      <c r="A2026" s="243"/>
    </row>
    <row r="2027" spans="1:1">
      <c r="A2027" s="243"/>
    </row>
    <row r="2028" spans="1:1">
      <c r="A2028" s="243"/>
    </row>
    <row r="2029" spans="1:1">
      <c r="A2029" s="243"/>
    </row>
    <row r="2030" spans="1:1">
      <c r="A2030" s="243"/>
    </row>
    <row r="2031" spans="1:1">
      <c r="A2031" s="243"/>
    </row>
    <row r="2032" spans="1:1">
      <c r="A2032" s="243"/>
    </row>
    <row r="2033" spans="1:1">
      <c r="A2033" s="243"/>
    </row>
    <row r="2034" spans="1:1">
      <c r="A2034" s="243"/>
    </row>
    <row r="2035" spans="1:1">
      <c r="A2035" s="243"/>
    </row>
    <row r="2036" spans="1:1">
      <c r="A2036" s="243"/>
    </row>
    <row r="2037" spans="1:1">
      <c r="A2037" s="243"/>
    </row>
    <row r="2038" spans="1:1">
      <c r="A2038" s="243"/>
    </row>
    <row r="2039" spans="1:1">
      <c r="A2039" s="243"/>
    </row>
    <row r="2040" spans="1:1">
      <c r="A2040" s="243"/>
    </row>
    <row r="2041" spans="1:1">
      <c r="A2041" s="243"/>
    </row>
    <row r="2042" spans="1:1">
      <c r="A2042" s="243"/>
    </row>
    <row r="2043" spans="1:1">
      <c r="A2043" s="243"/>
    </row>
    <row r="2044" spans="1:1">
      <c r="A2044" s="243"/>
    </row>
    <row r="2045" spans="1:1">
      <c r="A2045" s="243"/>
    </row>
    <row r="2046" spans="1:1">
      <c r="A2046" s="243"/>
    </row>
    <row r="2047" spans="1:1">
      <c r="A2047" s="243"/>
    </row>
    <row r="2048" spans="1:1">
      <c r="A2048" s="243"/>
    </row>
    <row r="2049" spans="1:1">
      <c r="A2049" s="243"/>
    </row>
    <row r="2050" spans="1:1">
      <c r="A2050" s="243"/>
    </row>
    <row r="2051" spans="1:1">
      <c r="A2051" s="243"/>
    </row>
    <row r="2052" spans="1:1">
      <c r="A2052" s="243"/>
    </row>
    <row r="2053" spans="1:1">
      <c r="A2053" s="243"/>
    </row>
    <row r="2054" spans="1:1">
      <c r="A2054" s="243"/>
    </row>
    <row r="2055" spans="1:1">
      <c r="A2055" s="243"/>
    </row>
    <row r="2056" spans="1:1">
      <c r="A2056" s="243"/>
    </row>
    <row r="2057" spans="1:1">
      <c r="A2057" s="243"/>
    </row>
    <row r="2058" spans="1:1">
      <c r="A2058" s="243"/>
    </row>
    <row r="2059" spans="1:1">
      <c r="A2059" s="243"/>
    </row>
    <row r="2060" spans="1:1">
      <c r="A2060" s="243"/>
    </row>
    <row r="2061" spans="1:1">
      <c r="A2061" s="243"/>
    </row>
    <row r="2062" spans="1:1">
      <c r="A2062" s="243"/>
    </row>
    <row r="2063" spans="1:1">
      <c r="A2063" s="243"/>
    </row>
    <row r="2064" spans="1:1">
      <c r="A2064" s="243"/>
    </row>
    <row r="2065" spans="1:1">
      <c r="A2065" s="243"/>
    </row>
    <row r="2066" spans="1:1">
      <c r="A2066" s="243"/>
    </row>
    <row r="2067" spans="1:1">
      <c r="A2067" s="243"/>
    </row>
    <row r="2068" spans="1:1">
      <c r="A2068" s="243"/>
    </row>
    <row r="2069" spans="1:1">
      <c r="A2069" s="243"/>
    </row>
    <row r="2070" spans="1:1">
      <c r="A2070" s="243"/>
    </row>
    <row r="2071" spans="1:1">
      <c r="A2071" s="243"/>
    </row>
    <row r="2072" spans="1:1">
      <c r="A2072" s="243"/>
    </row>
    <row r="2073" spans="1:1">
      <c r="A2073" s="243"/>
    </row>
    <row r="2074" spans="1:1">
      <c r="A2074" s="243"/>
    </row>
    <row r="2075" spans="1:1">
      <c r="A2075" s="243"/>
    </row>
    <row r="2076" spans="1:1">
      <c r="A2076" s="243"/>
    </row>
    <row r="2077" spans="1:1">
      <c r="A2077" s="243"/>
    </row>
    <row r="2078" spans="1:1">
      <c r="A2078" s="243"/>
    </row>
    <row r="2079" spans="1:1">
      <c r="A2079" s="243"/>
    </row>
    <row r="2080" spans="1:1">
      <c r="A2080" s="243"/>
    </row>
    <row r="2081" spans="1:1">
      <c r="A2081" s="243"/>
    </row>
    <row r="2082" spans="1:1">
      <c r="A2082" s="243"/>
    </row>
    <row r="2083" spans="1:1">
      <c r="A2083" s="243"/>
    </row>
    <row r="2084" spans="1:1">
      <c r="A2084" s="243"/>
    </row>
    <row r="2085" spans="1:1">
      <c r="A2085" s="243"/>
    </row>
    <row r="2086" spans="1:1">
      <c r="A2086" s="243"/>
    </row>
    <row r="2087" spans="1:1">
      <c r="A2087" s="243"/>
    </row>
    <row r="2088" spans="1:1">
      <c r="A2088" s="243"/>
    </row>
    <row r="2089" spans="1:1">
      <c r="A2089" s="243"/>
    </row>
    <row r="2090" spans="1:1">
      <c r="A2090" s="243"/>
    </row>
    <row r="2091" spans="1:1">
      <c r="A2091" s="243"/>
    </row>
    <row r="2092" spans="1:1">
      <c r="A2092" s="243"/>
    </row>
    <row r="2093" spans="1:1">
      <c r="A2093" s="243"/>
    </row>
    <row r="2094" spans="1:1">
      <c r="A2094" s="243"/>
    </row>
    <row r="2095" spans="1:1">
      <c r="A2095" s="243"/>
    </row>
    <row r="2096" spans="1:1">
      <c r="A2096" s="243"/>
    </row>
    <row r="2097" spans="1:1">
      <c r="A2097" s="243"/>
    </row>
    <row r="2098" spans="1:1">
      <c r="A2098" s="243"/>
    </row>
    <row r="2099" spans="1:1">
      <c r="A2099" s="243"/>
    </row>
    <row r="2100" spans="1:1">
      <c r="A2100" s="243"/>
    </row>
    <row r="2101" spans="1:1">
      <c r="A2101" s="243"/>
    </row>
    <row r="2102" spans="1:1">
      <c r="A2102" s="243"/>
    </row>
    <row r="2103" spans="1:1">
      <c r="A2103" s="243"/>
    </row>
    <row r="2104" spans="1:1">
      <c r="A2104" s="243"/>
    </row>
    <row r="2105" spans="1:1">
      <c r="A2105" s="243"/>
    </row>
    <row r="2106" spans="1:1">
      <c r="A2106" s="243"/>
    </row>
    <row r="2107" spans="1:1">
      <c r="A2107" s="243"/>
    </row>
    <row r="2108" spans="1:1">
      <c r="A2108" s="243"/>
    </row>
    <row r="2109" spans="1:1">
      <c r="A2109" s="243"/>
    </row>
    <row r="2110" spans="1:1">
      <c r="A2110" s="243"/>
    </row>
    <row r="2111" spans="1:1">
      <c r="A2111" s="243"/>
    </row>
    <row r="2112" spans="1:1">
      <c r="A2112" s="243"/>
    </row>
    <row r="2113" spans="1:1">
      <c r="A2113" s="243"/>
    </row>
    <row r="2114" spans="1:1">
      <c r="A2114" s="243"/>
    </row>
    <row r="2115" spans="1:1">
      <c r="A2115" s="243"/>
    </row>
    <row r="2116" spans="1:1">
      <c r="A2116" s="243"/>
    </row>
    <row r="2117" spans="1:1">
      <c r="A2117" s="243"/>
    </row>
    <row r="2118" spans="1:1">
      <c r="A2118" s="243"/>
    </row>
    <row r="2119" spans="1:1">
      <c r="A2119" s="243"/>
    </row>
    <row r="2120" spans="1:1">
      <c r="A2120" s="243"/>
    </row>
    <row r="2121" spans="1:1">
      <c r="A2121" s="243"/>
    </row>
    <row r="2122" spans="1:1">
      <c r="A2122" s="243"/>
    </row>
    <row r="2123" spans="1:1">
      <c r="A2123" s="243"/>
    </row>
    <row r="2124" spans="1:1">
      <c r="A2124" s="243"/>
    </row>
    <row r="2125" spans="1:1">
      <c r="A2125" s="243"/>
    </row>
    <row r="2126" spans="1:1">
      <c r="A2126" s="243"/>
    </row>
    <row r="2127" spans="1:1">
      <c r="A2127" s="243"/>
    </row>
    <row r="2128" spans="1:1">
      <c r="A2128" s="243"/>
    </row>
    <row r="2129" spans="1:1">
      <c r="A2129" s="243"/>
    </row>
    <row r="2130" spans="1:1">
      <c r="A2130" s="243"/>
    </row>
    <row r="2131" spans="1:1">
      <c r="A2131" s="243"/>
    </row>
    <row r="2132" spans="1:1">
      <c r="A2132" s="243"/>
    </row>
    <row r="2133" spans="1:1">
      <c r="A2133" s="243"/>
    </row>
    <row r="2134" spans="1:1">
      <c r="A2134" s="243"/>
    </row>
    <row r="2135" spans="1:1">
      <c r="A2135" s="243"/>
    </row>
    <row r="2136" spans="1:1">
      <c r="A2136" s="243"/>
    </row>
    <row r="2137" spans="1:1">
      <c r="A2137" s="243"/>
    </row>
    <row r="2138" spans="1:1">
      <c r="A2138" s="243"/>
    </row>
    <row r="2139" spans="1:1">
      <c r="A2139" s="243"/>
    </row>
    <row r="2140" spans="1:1">
      <c r="A2140" s="243"/>
    </row>
    <row r="2141" spans="1:1">
      <c r="A2141" s="243"/>
    </row>
    <row r="2142" spans="1:1">
      <c r="A2142" s="243"/>
    </row>
    <row r="2143" spans="1:1">
      <c r="A2143" s="243"/>
    </row>
    <row r="2144" spans="1:1">
      <c r="A2144" s="243"/>
    </row>
    <row r="2145" spans="1:1">
      <c r="A2145" s="243"/>
    </row>
    <row r="2146" spans="1:1">
      <c r="A2146" s="243"/>
    </row>
    <row r="2147" spans="1:1">
      <c r="A2147" s="243"/>
    </row>
    <row r="2148" spans="1:1">
      <c r="A2148" s="243"/>
    </row>
    <row r="2149" spans="1:1">
      <c r="A2149" s="243"/>
    </row>
    <row r="2150" spans="1:1">
      <c r="A2150" s="243"/>
    </row>
    <row r="2151" spans="1:1">
      <c r="A2151" s="243"/>
    </row>
    <row r="2152" spans="1:1">
      <c r="A2152" s="243"/>
    </row>
    <row r="2153" spans="1:1">
      <c r="A2153" s="243"/>
    </row>
    <row r="2154" spans="1:1">
      <c r="A2154" s="243"/>
    </row>
    <row r="2155" spans="1:1">
      <c r="A2155" s="243"/>
    </row>
    <row r="2156" spans="1:1">
      <c r="A2156" s="243"/>
    </row>
    <row r="2157" spans="1:1">
      <c r="A2157" s="243"/>
    </row>
    <row r="2158" spans="1:1">
      <c r="A2158" s="243"/>
    </row>
    <row r="2159" spans="1:1">
      <c r="A2159" s="243"/>
    </row>
    <row r="2160" spans="1:1">
      <c r="A2160" s="243"/>
    </row>
    <row r="2161" spans="1:1">
      <c r="A2161" s="243"/>
    </row>
    <row r="2162" spans="1:1">
      <c r="A2162" s="243"/>
    </row>
    <row r="2163" spans="1:1">
      <c r="A2163" s="243"/>
    </row>
    <row r="2164" spans="1:1">
      <c r="A2164" s="243"/>
    </row>
    <row r="2165" spans="1:1">
      <c r="A2165" s="243"/>
    </row>
    <row r="2166" spans="1:1">
      <c r="A2166" s="243"/>
    </row>
    <row r="2167" spans="1:1">
      <c r="A2167" s="243"/>
    </row>
    <row r="2168" spans="1:1">
      <c r="A2168" s="243"/>
    </row>
    <row r="2169" spans="1:1">
      <c r="A2169" s="243"/>
    </row>
    <row r="2170" spans="1:1">
      <c r="A2170" s="243"/>
    </row>
    <row r="2171" spans="1:1">
      <c r="A2171" s="243"/>
    </row>
    <row r="2172" spans="1:1">
      <c r="A2172" s="243"/>
    </row>
    <row r="2173" spans="1:1">
      <c r="A2173" s="243"/>
    </row>
    <row r="2174" spans="1:1">
      <c r="A2174" s="243"/>
    </row>
    <row r="2175" spans="1:1">
      <c r="A2175" s="243"/>
    </row>
    <row r="2176" spans="1:1">
      <c r="A2176" s="243"/>
    </row>
    <row r="2177" spans="1:1">
      <c r="A2177" s="243"/>
    </row>
    <row r="2178" spans="1:1">
      <c r="A2178" s="243"/>
    </row>
    <row r="2179" spans="1:1">
      <c r="A2179" s="243"/>
    </row>
    <row r="2180" spans="1:1">
      <c r="A2180" s="243"/>
    </row>
    <row r="2181" spans="1:1">
      <c r="A2181" s="243"/>
    </row>
    <row r="2182" spans="1:1">
      <c r="A2182" s="243"/>
    </row>
    <row r="2183" spans="1:1">
      <c r="A2183" s="243"/>
    </row>
    <row r="2184" spans="1:1">
      <c r="A2184" s="243"/>
    </row>
    <row r="2185" spans="1:1">
      <c r="A2185" s="243"/>
    </row>
    <row r="2186" spans="1:1">
      <c r="A2186" s="243"/>
    </row>
    <row r="2187" spans="1:1">
      <c r="A2187" s="243"/>
    </row>
    <row r="2188" spans="1:1">
      <c r="A2188" s="243"/>
    </row>
    <row r="2189" spans="1:1">
      <c r="A2189" s="243"/>
    </row>
    <row r="2190" spans="1:1">
      <c r="A2190" s="243"/>
    </row>
    <row r="2191" spans="1:1">
      <c r="A2191" s="243"/>
    </row>
    <row r="2192" spans="1:1">
      <c r="A2192" s="243"/>
    </row>
    <row r="2193" spans="1:1">
      <c r="A2193" s="243"/>
    </row>
    <row r="2194" spans="1:1">
      <c r="A2194" s="243"/>
    </row>
    <row r="2195" spans="1:1">
      <c r="A2195" s="243"/>
    </row>
    <row r="2196" spans="1:1">
      <c r="A2196" s="243"/>
    </row>
    <row r="2197" spans="1:1">
      <c r="A2197" s="243"/>
    </row>
    <row r="2198" spans="1:1">
      <c r="A2198" s="243"/>
    </row>
    <row r="2199" spans="1:1">
      <c r="A2199" s="243"/>
    </row>
    <row r="2200" spans="1:1">
      <c r="A2200" s="243"/>
    </row>
    <row r="2201" spans="1:1">
      <c r="A2201" s="243"/>
    </row>
    <row r="2202" spans="1:1">
      <c r="A2202" s="243"/>
    </row>
    <row r="2203" spans="1:1">
      <c r="A2203" s="243"/>
    </row>
    <row r="2204" spans="1:1">
      <c r="A2204" s="243"/>
    </row>
    <row r="2205" spans="1:1">
      <c r="A2205" s="243"/>
    </row>
    <row r="2206" spans="1:1">
      <c r="A2206" s="243"/>
    </row>
    <row r="2207" spans="1:1">
      <c r="A2207" s="243"/>
    </row>
    <row r="2208" spans="1:1">
      <c r="A2208" s="243"/>
    </row>
    <row r="2209" spans="1:1">
      <c r="A2209" s="243"/>
    </row>
    <row r="2210" spans="1:1">
      <c r="A2210" s="243"/>
    </row>
    <row r="2211" spans="1:1">
      <c r="A2211" s="243"/>
    </row>
    <row r="2212" spans="1:1">
      <c r="A2212" s="243"/>
    </row>
    <row r="2213" spans="1:1">
      <c r="A2213" s="243"/>
    </row>
    <row r="2214" spans="1:1">
      <c r="A2214" s="243"/>
    </row>
    <row r="2215" spans="1:1">
      <c r="A2215" s="243"/>
    </row>
    <row r="2216" spans="1:1">
      <c r="A2216" s="243"/>
    </row>
    <row r="2217" spans="1:1">
      <c r="A2217" s="243"/>
    </row>
    <row r="2218" spans="1:1">
      <c r="A2218" s="243"/>
    </row>
    <row r="2219" spans="1:1">
      <c r="A2219" s="243"/>
    </row>
    <row r="2220" spans="1:1">
      <c r="A2220" s="243"/>
    </row>
    <row r="2221" spans="1:1">
      <c r="A2221" s="243"/>
    </row>
    <row r="2222" spans="1:1">
      <c r="A2222" s="243"/>
    </row>
    <row r="2223" spans="1:1">
      <c r="A2223" s="243"/>
    </row>
    <row r="2224" spans="1:1">
      <c r="A2224" s="243"/>
    </row>
    <row r="2225" spans="1:1">
      <c r="A2225" s="243"/>
    </row>
    <row r="2226" spans="1:1">
      <c r="A2226" s="243"/>
    </row>
    <row r="2227" spans="1:1">
      <c r="A2227" s="243"/>
    </row>
    <row r="2228" spans="1:1">
      <c r="A2228" s="243"/>
    </row>
    <row r="2229" spans="1:1">
      <c r="A2229" s="243"/>
    </row>
    <row r="2230" spans="1:1">
      <c r="A2230" s="243"/>
    </row>
    <row r="2231" spans="1:1">
      <c r="A2231" s="243"/>
    </row>
    <row r="2232" spans="1:1">
      <c r="A2232" s="243"/>
    </row>
    <row r="2233" spans="1:1">
      <c r="A2233" s="243"/>
    </row>
    <row r="2234" spans="1:1">
      <c r="A2234" s="243"/>
    </row>
    <row r="2235" spans="1:1">
      <c r="A2235" s="243"/>
    </row>
    <row r="2236" spans="1:1">
      <c r="A2236" s="243"/>
    </row>
    <row r="2237" spans="1:1">
      <c r="A2237" s="243"/>
    </row>
    <row r="2238" spans="1:1">
      <c r="A2238" s="243"/>
    </row>
    <row r="2239" spans="1:1">
      <c r="A2239" s="243"/>
    </row>
    <row r="2240" spans="1:1">
      <c r="A2240" s="243"/>
    </row>
    <row r="2241" spans="1:1">
      <c r="A2241" s="243"/>
    </row>
    <row r="2242" spans="1:1">
      <c r="A2242" s="243"/>
    </row>
    <row r="2243" spans="1:1">
      <c r="A2243" s="243"/>
    </row>
    <row r="2244" spans="1:1">
      <c r="A2244" s="243"/>
    </row>
    <row r="2245" spans="1:1">
      <c r="A2245" s="243"/>
    </row>
    <row r="2246" spans="1:1">
      <c r="A2246" s="243"/>
    </row>
  </sheetData>
  <mergeCells count="743">
    <mergeCell ref="G163:G166"/>
    <mergeCell ref="G143:G146"/>
    <mergeCell ref="G87:G90"/>
    <mergeCell ref="G91:G94"/>
    <mergeCell ref="G139:G142"/>
    <mergeCell ref="G107:G110"/>
    <mergeCell ref="H151:H154"/>
    <mergeCell ref="H127:H130"/>
    <mergeCell ref="H107:H110"/>
    <mergeCell ref="H131:H134"/>
    <mergeCell ref="H135:H138"/>
    <mergeCell ref="H139:H142"/>
    <mergeCell ref="B316:B319"/>
    <mergeCell ref="C316:C319"/>
    <mergeCell ref="J212:J215"/>
    <mergeCell ref="J208:J211"/>
    <mergeCell ref="D296:D299"/>
    <mergeCell ref="C304:C307"/>
    <mergeCell ref="C296:C299"/>
    <mergeCell ref="E296:E299"/>
    <mergeCell ref="G292:G295"/>
    <mergeCell ref="E288:E291"/>
    <mergeCell ref="B292:B295"/>
    <mergeCell ref="C292:C295"/>
    <mergeCell ref="D292:D295"/>
    <mergeCell ref="C308:C311"/>
    <mergeCell ref="B296:B299"/>
    <mergeCell ref="D308:D311"/>
    <mergeCell ref="B300:B303"/>
    <mergeCell ref="D304:D307"/>
    <mergeCell ref="B304:B307"/>
    <mergeCell ref="B308:B311"/>
    <mergeCell ref="H240:H243"/>
    <mergeCell ref="G208:G211"/>
    <mergeCell ref="D316:D319"/>
    <mergeCell ref="B312:B315"/>
    <mergeCell ref="C312:C315"/>
    <mergeCell ref="H208:H211"/>
    <mergeCell ref="J376:J379"/>
    <mergeCell ref="J300:J303"/>
    <mergeCell ref="J352:J355"/>
    <mergeCell ref="G300:G303"/>
    <mergeCell ref="H300:H303"/>
    <mergeCell ref="J336:J339"/>
    <mergeCell ref="G332:G335"/>
    <mergeCell ref="J360:J363"/>
    <mergeCell ref="J312:J315"/>
    <mergeCell ref="G304:G307"/>
    <mergeCell ref="H332:H335"/>
    <mergeCell ref="H348:H351"/>
    <mergeCell ref="J340:J343"/>
    <mergeCell ref="J344:J347"/>
    <mergeCell ref="J348:J351"/>
    <mergeCell ref="H344:H347"/>
    <mergeCell ref="H336:H339"/>
    <mergeCell ref="H340:H343"/>
    <mergeCell ref="J332:J335"/>
    <mergeCell ref="G360:G363"/>
    <mergeCell ref="H316:H319"/>
    <mergeCell ref="J368:J371"/>
    <mergeCell ref="J364:J367"/>
    <mergeCell ref="G188:G191"/>
    <mergeCell ref="G175:G178"/>
    <mergeCell ref="G179:G182"/>
    <mergeCell ref="G167:G170"/>
    <mergeCell ref="G135:G138"/>
    <mergeCell ref="G328:G331"/>
    <mergeCell ref="H75:H78"/>
    <mergeCell ref="H95:H98"/>
    <mergeCell ref="J308:J311"/>
    <mergeCell ref="H304:H307"/>
    <mergeCell ref="H312:H315"/>
    <mergeCell ref="H308:H311"/>
    <mergeCell ref="G155:G158"/>
    <mergeCell ref="H79:H82"/>
    <mergeCell ref="H83:H86"/>
    <mergeCell ref="H143:H146"/>
    <mergeCell ref="J204:J207"/>
    <mergeCell ref="H123:H126"/>
    <mergeCell ref="H119:H122"/>
    <mergeCell ref="H103:H106"/>
    <mergeCell ref="H175:H178"/>
    <mergeCell ref="G131:G134"/>
    <mergeCell ref="G123:G126"/>
    <mergeCell ref="H192:H195"/>
    <mergeCell ref="H196:H199"/>
    <mergeCell ref="J328:J331"/>
    <mergeCell ref="J248:J251"/>
    <mergeCell ref="J288:J291"/>
    <mergeCell ref="J356:J359"/>
    <mergeCell ref="J244:J247"/>
    <mergeCell ref="J240:J243"/>
    <mergeCell ref="J296:J299"/>
    <mergeCell ref="J316:J319"/>
    <mergeCell ref="J304:J307"/>
    <mergeCell ref="J324:J327"/>
    <mergeCell ref="J320:J323"/>
    <mergeCell ref="H200:H203"/>
    <mergeCell ref="H224:H227"/>
    <mergeCell ref="H228:H231"/>
    <mergeCell ref="H204:H207"/>
    <mergeCell ref="H236:H239"/>
    <mergeCell ref="H212:H215"/>
    <mergeCell ref="H232:H235"/>
    <mergeCell ref="J200:J203"/>
    <mergeCell ref="J192:J195"/>
    <mergeCell ref="J196:J199"/>
    <mergeCell ref="H264:H267"/>
    <mergeCell ref="H184:H187"/>
    <mergeCell ref="J188:J191"/>
    <mergeCell ref="J167:J170"/>
    <mergeCell ref="J163:J166"/>
    <mergeCell ref="J171:J174"/>
    <mergeCell ref="J179:J182"/>
    <mergeCell ref="J184:J187"/>
    <mergeCell ref="J147:J150"/>
    <mergeCell ref="J151:J154"/>
    <mergeCell ref="J159:J162"/>
    <mergeCell ref="H147:H150"/>
    <mergeCell ref="H155:H158"/>
    <mergeCell ref="H163:H166"/>
    <mergeCell ref="H171:H174"/>
    <mergeCell ref="H179:H182"/>
    <mergeCell ref="H167:H170"/>
    <mergeCell ref="H188:H191"/>
    <mergeCell ref="J155:J158"/>
    <mergeCell ref="J175:J178"/>
    <mergeCell ref="J67:J70"/>
    <mergeCell ref="J143:J146"/>
    <mergeCell ref="J135:J138"/>
    <mergeCell ref="J139:J142"/>
    <mergeCell ref="J71:J74"/>
    <mergeCell ref="J83:J86"/>
    <mergeCell ref="J99:J102"/>
    <mergeCell ref="J87:J90"/>
    <mergeCell ref="J119:J122"/>
    <mergeCell ref="J115:J118"/>
    <mergeCell ref="J103:J106"/>
    <mergeCell ref="J131:J134"/>
    <mergeCell ref="J95:J98"/>
    <mergeCell ref="J79:J82"/>
    <mergeCell ref="J75:J78"/>
    <mergeCell ref="J51:J54"/>
    <mergeCell ref="J43:J46"/>
    <mergeCell ref="J59:J62"/>
    <mergeCell ref="E320:E323"/>
    <mergeCell ref="B320:B323"/>
    <mergeCell ref="D324:D327"/>
    <mergeCell ref="E324:E327"/>
    <mergeCell ref="B324:B327"/>
    <mergeCell ref="C324:C327"/>
    <mergeCell ref="C320:C323"/>
    <mergeCell ref="D320:D323"/>
    <mergeCell ref="C300:C303"/>
    <mergeCell ref="D300:D303"/>
    <mergeCell ref="D312:D315"/>
    <mergeCell ref="E304:E307"/>
    <mergeCell ref="E312:E315"/>
    <mergeCell ref="E308:E311"/>
    <mergeCell ref="E292:E295"/>
    <mergeCell ref="E300:E303"/>
    <mergeCell ref="F224:F227"/>
    <mergeCell ref="F264:F267"/>
    <mergeCell ref="E264:E267"/>
    <mergeCell ref="E252:E255"/>
    <mergeCell ref="F228:F231"/>
    <mergeCell ref="E328:E331"/>
    <mergeCell ref="C328:C331"/>
    <mergeCell ref="D328:D331"/>
    <mergeCell ref="D336:D339"/>
    <mergeCell ref="D332:D335"/>
    <mergeCell ref="B328:B331"/>
    <mergeCell ref="B332:B335"/>
    <mergeCell ref="B340:B343"/>
    <mergeCell ref="C340:C343"/>
    <mergeCell ref="C336:C339"/>
    <mergeCell ref="B336:B339"/>
    <mergeCell ref="D344:D347"/>
    <mergeCell ref="D356:D359"/>
    <mergeCell ref="D352:D355"/>
    <mergeCell ref="D348:D351"/>
    <mergeCell ref="C348:C351"/>
    <mergeCell ref="B352:B355"/>
    <mergeCell ref="C360:C363"/>
    <mergeCell ref="D360:D363"/>
    <mergeCell ref="D340:D343"/>
    <mergeCell ref="C356:C359"/>
    <mergeCell ref="B356:B359"/>
    <mergeCell ref="G264:G267"/>
    <mergeCell ref="G256:G259"/>
    <mergeCell ref="F256:F259"/>
    <mergeCell ref="F252:F255"/>
    <mergeCell ref="E256:E259"/>
    <mergeCell ref="G212:G215"/>
    <mergeCell ref="F232:F235"/>
    <mergeCell ref="E232:E235"/>
    <mergeCell ref="E236:E239"/>
    <mergeCell ref="F248:F251"/>
    <mergeCell ref="F240:F243"/>
    <mergeCell ref="G220:G223"/>
    <mergeCell ref="G228:G231"/>
    <mergeCell ref="G232:G235"/>
    <mergeCell ref="F220:F223"/>
    <mergeCell ref="G236:G239"/>
    <mergeCell ref="F212:F215"/>
    <mergeCell ref="E159:E162"/>
    <mergeCell ref="E175:E178"/>
    <mergeCell ref="E171:E174"/>
    <mergeCell ref="E163:E166"/>
    <mergeCell ref="F135:F138"/>
    <mergeCell ref="E276:E279"/>
    <mergeCell ref="F276:F279"/>
    <mergeCell ref="F260:F263"/>
    <mergeCell ref="E260:E263"/>
    <mergeCell ref="F147:F150"/>
    <mergeCell ref="F151:F154"/>
    <mergeCell ref="F188:F191"/>
    <mergeCell ref="F184:F187"/>
    <mergeCell ref="F139:F142"/>
    <mergeCell ref="E188:E191"/>
    <mergeCell ref="E240:E243"/>
    <mergeCell ref="E244:E247"/>
    <mergeCell ref="E184:E187"/>
    <mergeCell ref="E228:E231"/>
    <mergeCell ref="E224:E227"/>
    <mergeCell ref="E179:E182"/>
    <mergeCell ref="F268:F271"/>
    <mergeCell ref="F272:F275"/>
    <mergeCell ref="E212:E215"/>
    <mergeCell ref="E151:E154"/>
    <mergeCell ref="E155:E158"/>
    <mergeCell ref="E135:E138"/>
    <mergeCell ref="E131:E134"/>
    <mergeCell ref="E147:E150"/>
    <mergeCell ref="E83:E86"/>
    <mergeCell ref="E91:E94"/>
    <mergeCell ref="E111:E114"/>
    <mergeCell ref="E71:E74"/>
    <mergeCell ref="E95:E98"/>
    <mergeCell ref="E107:E110"/>
    <mergeCell ref="E127:E130"/>
    <mergeCell ref="E119:E122"/>
    <mergeCell ref="E115:E118"/>
    <mergeCell ref="E123:E126"/>
    <mergeCell ref="E139:E142"/>
    <mergeCell ref="E103:E106"/>
    <mergeCell ref="E79:E82"/>
    <mergeCell ref="E87:E90"/>
    <mergeCell ref="E99:E102"/>
    <mergeCell ref="E27:E30"/>
    <mergeCell ref="E19:E22"/>
    <mergeCell ref="F19:F22"/>
    <mergeCell ref="F43:F46"/>
    <mergeCell ref="E11:E14"/>
    <mergeCell ref="B19:B22"/>
    <mergeCell ref="C19:C22"/>
    <mergeCell ref="D63:D66"/>
    <mergeCell ref="D147:D150"/>
    <mergeCell ref="D127:D130"/>
    <mergeCell ref="D143:D146"/>
    <mergeCell ref="D95:D98"/>
    <mergeCell ref="D99:D102"/>
    <mergeCell ref="D103:D106"/>
    <mergeCell ref="C111:C114"/>
    <mergeCell ref="D71:D74"/>
    <mergeCell ref="C79:C82"/>
    <mergeCell ref="C51:C54"/>
    <mergeCell ref="C59:C62"/>
    <mergeCell ref="D75:D78"/>
    <mergeCell ref="C67:C70"/>
    <mergeCell ref="C83:C86"/>
    <mergeCell ref="B99:B102"/>
    <mergeCell ref="B95:B98"/>
    <mergeCell ref="C260:C263"/>
    <mergeCell ref="D91:D94"/>
    <mergeCell ref="D87:D90"/>
    <mergeCell ref="D83:D86"/>
    <mergeCell ref="B27:B30"/>
    <mergeCell ref="A4:H4"/>
    <mergeCell ref="A5:H5"/>
    <mergeCell ref="A8:A9"/>
    <mergeCell ref="B8:H8"/>
    <mergeCell ref="C39:C42"/>
    <mergeCell ref="D39:D42"/>
    <mergeCell ref="C47:C50"/>
    <mergeCell ref="B11:B14"/>
    <mergeCell ref="C11:C14"/>
    <mergeCell ref="B23:B26"/>
    <mergeCell ref="C23:C26"/>
    <mergeCell ref="E35:E38"/>
    <mergeCell ref="E39:E42"/>
    <mergeCell ref="E47:E50"/>
    <mergeCell ref="D47:D50"/>
    <mergeCell ref="G19:G22"/>
    <mergeCell ref="E31:E34"/>
    <mergeCell ref="E23:E26"/>
    <mergeCell ref="G23:G26"/>
    <mergeCell ref="D11:D14"/>
    <mergeCell ref="D31:D34"/>
    <mergeCell ref="D27:D30"/>
    <mergeCell ref="D23:D26"/>
    <mergeCell ref="C27:C30"/>
    <mergeCell ref="D19:D22"/>
    <mergeCell ref="C71:C74"/>
    <mergeCell ref="B87:B90"/>
    <mergeCell ref="D67:D70"/>
    <mergeCell ref="D79:D82"/>
    <mergeCell ref="B83:B86"/>
    <mergeCell ref="B280:B283"/>
    <mergeCell ref="B276:B279"/>
    <mergeCell ref="B264:B267"/>
    <mergeCell ref="C272:C275"/>
    <mergeCell ref="D107:D110"/>
    <mergeCell ref="C115:C118"/>
    <mergeCell ref="D115:D118"/>
    <mergeCell ref="C127:C130"/>
    <mergeCell ref="D159:D162"/>
    <mergeCell ref="D179:D182"/>
    <mergeCell ref="C151:C154"/>
    <mergeCell ref="C175:C178"/>
    <mergeCell ref="C155:C158"/>
    <mergeCell ref="D151:D154"/>
    <mergeCell ref="D139:D142"/>
    <mergeCell ref="C107:C110"/>
    <mergeCell ref="D131:D134"/>
    <mergeCell ref="D111:D114"/>
    <mergeCell ref="C123:C126"/>
    <mergeCell ref="D123:D126"/>
    <mergeCell ref="C119:C122"/>
    <mergeCell ref="B252:B255"/>
    <mergeCell ref="D119:D122"/>
    <mergeCell ref="B127:B130"/>
    <mergeCell ref="B288:B291"/>
    <mergeCell ref="B284:B287"/>
    <mergeCell ref="C284:C287"/>
    <mergeCell ref="C288:C291"/>
    <mergeCell ref="D284:D287"/>
    <mergeCell ref="D288:D291"/>
    <mergeCell ref="D272:D275"/>
    <mergeCell ref="C268:C271"/>
    <mergeCell ref="B188:B191"/>
    <mergeCell ref="C188:C191"/>
    <mergeCell ref="B196:B199"/>
    <mergeCell ref="B192:B195"/>
    <mergeCell ref="B240:B243"/>
    <mergeCell ref="B236:B239"/>
    <mergeCell ref="B204:B207"/>
    <mergeCell ref="B208:B211"/>
    <mergeCell ref="C208:C211"/>
    <mergeCell ref="B212:B215"/>
    <mergeCell ref="B224:B227"/>
    <mergeCell ref="C236:C239"/>
    <mergeCell ref="C224:C227"/>
    <mergeCell ref="D228:D231"/>
    <mergeCell ref="B244:B247"/>
    <mergeCell ref="B248:B251"/>
    <mergeCell ref="F51:F54"/>
    <mergeCell ref="G39:G42"/>
    <mergeCell ref="F35:F38"/>
    <mergeCell ref="F23:F26"/>
    <mergeCell ref="F27:F30"/>
    <mergeCell ref="F31:F34"/>
    <mergeCell ref="F11:F14"/>
    <mergeCell ref="F127:F130"/>
    <mergeCell ref="F123:F126"/>
    <mergeCell ref="F111:F114"/>
    <mergeCell ref="F59:F62"/>
    <mergeCell ref="F55:F58"/>
    <mergeCell ref="F15:F18"/>
    <mergeCell ref="F39:F42"/>
    <mergeCell ref="F47:F50"/>
    <mergeCell ref="G119:G122"/>
    <mergeCell ref="G75:G78"/>
    <mergeCell ref="G67:G70"/>
    <mergeCell ref="G63:G66"/>
    <mergeCell ref="F103:F106"/>
    <mergeCell ref="F99:F102"/>
    <mergeCell ref="F95:F98"/>
    <mergeCell ref="F107:F110"/>
    <mergeCell ref="G103:G106"/>
    <mergeCell ref="E43:E46"/>
    <mergeCell ref="E51:E54"/>
    <mergeCell ref="E63:E66"/>
    <mergeCell ref="E59:E62"/>
    <mergeCell ref="C31:C34"/>
    <mergeCell ref="B35:B38"/>
    <mergeCell ref="B79:B82"/>
    <mergeCell ref="B63:B66"/>
    <mergeCell ref="B67:B70"/>
    <mergeCell ref="B55:B58"/>
    <mergeCell ref="B71:B74"/>
    <mergeCell ref="B43:B46"/>
    <mergeCell ref="C63:C66"/>
    <mergeCell ref="D35:D38"/>
    <mergeCell ref="C35:C38"/>
    <mergeCell ref="E55:E58"/>
    <mergeCell ref="B31:B34"/>
    <mergeCell ref="B39:B42"/>
    <mergeCell ref="B47:B50"/>
    <mergeCell ref="C55:C58"/>
    <mergeCell ref="B51:B54"/>
    <mergeCell ref="C43:C46"/>
    <mergeCell ref="E67:E70"/>
    <mergeCell ref="E75:E78"/>
    <mergeCell ref="B111:B114"/>
    <mergeCell ref="B59:B62"/>
    <mergeCell ref="B115:B118"/>
    <mergeCell ref="B123:B126"/>
    <mergeCell ref="B131:B134"/>
    <mergeCell ref="B119:B122"/>
    <mergeCell ref="B151:B154"/>
    <mergeCell ref="B147:B150"/>
    <mergeCell ref="B143:B146"/>
    <mergeCell ref="B135:B138"/>
    <mergeCell ref="B139:B142"/>
    <mergeCell ref="B107:B110"/>
    <mergeCell ref="B103:B106"/>
    <mergeCell ref="B75:B78"/>
    <mergeCell ref="B91:B94"/>
    <mergeCell ref="E167:E170"/>
    <mergeCell ref="D276:D279"/>
    <mergeCell ref="D244:D247"/>
    <mergeCell ref="C139:C142"/>
    <mergeCell ref="B200:B203"/>
    <mergeCell ref="B159:B162"/>
    <mergeCell ref="B171:B174"/>
    <mergeCell ref="B167:B170"/>
    <mergeCell ref="B175:B178"/>
    <mergeCell ref="C192:C195"/>
    <mergeCell ref="C184:C187"/>
    <mergeCell ref="B179:B182"/>
    <mergeCell ref="B155:B158"/>
    <mergeCell ref="B163:B166"/>
    <mergeCell ref="B184:B187"/>
    <mergeCell ref="B272:B275"/>
    <mergeCell ref="B268:B271"/>
    <mergeCell ref="C200:C203"/>
    <mergeCell ref="C196:C199"/>
    <mergeCell ref="C204:C207"/>
    <mergeCell ref="B256:B259"/>
    <mergeCell ref="D196:D199"/>
    <mergeCell ref="D192:D195"/>
    <mergeCell ref="B260:B263"/>
    <mergeCell ref="D248:D251"/>
    <mergeCell ref="C256:C259"/>
    <mergeCell ref="C244:C247"/>
    <mergeCell ref="F300:F303"/>
    <mergeCell ref="F288:F291"/>
    <mergeCell ref="F284:F287"/>
    <mergeCell ref="C147:C150"/>
    <mergeCell ref="C143:C146"/>
    <mergeCell ref="D280:D283"/>
    <mergeCell ref="D252:D255"/>
    <mergeCell ref="D268:D271"/>
    <mergeCell ref="C276:C279"/>
    <mergeCell ref="C212:C215"/>
    <mergeCell ref="D200:D203"/>
    <mergeCell ref="D224:D227"/>
    <mergeCell ref="D184:D187"/>
    <mergeCell ref="D188:D191"/>
    <mergeCell ref="C280:C283"/>
    <mergeCell ref="C252:C255"/>
    <mergeCell ref="E143:E146"/>
    <mergeCell ref="F143:F146"/>
    <mergeCell ref="F204:F207"/>
    <mergeCell ref="F208:F211"/>
    <mergeCell ref="E284:E287"/>
    <mergeCell ref="E364:E367"/>
    <mergeCell ref="E352:E355"/>
    <mergeCell ref="F352:F355"/>
    <mergeCell ref="E356:E359"/>
    <mergeCell ref="E360:E363"/>
    <mergeCell ref="F292:F295"/>
    <mergeCell ref="F236:F239"/>
    <mergeCell ref="A395:A396"/>
    <mergeCell ref="B381:H381"/>
    <mergeCell ref="A381:A382"/>
    <mergeCell ref="H376:H379"/>
    <mergeCell ref="B376:B379"/>
    <mergeCell ref="C376:C379"/>
    <mergeCell ref="D376:D379"/>
    <mergeCell ref="E376:E379"/>
    <mergeCell ref="G376:G379"/>
    <mergeCell ref="F376:F379"/>
    <mergeCell ref="C264:C267"/>
    <mergeCell ref="D264:D267"/>
    <mergeCell ref="F244:F247"/>
    <mergeCell ref="D256:D259"/>
    <mergeCell ref="D260:D263"/>
    <mergeCell ref="E248:E251"/>
    <mergeCell ref="C248:C251"/>
    <mergeCell ref="E196:E199"/>
    <mergeCell ref="E192:E195"/>
    <mergeCell ref="E200:E203"/>
    <mergeCell ref="G296:G299"/>
    <mergeCell ref="F316:F319"/>
    <mergeCell ref="F312:F315"/>
    <mergeCell ref="F308:F311"/>
    <mergeCell ref="E316:E319"/>
    <mergeCell ref="G280:G283"/>
    <mergeCell ref="G276:G279"/>
    <mergeCell ref="G272:G275"/>
    <mergeCell ref="E204:E207"/>
    <mergeCell ref="E280:E283"/>
    <mergeCell ref="E268:E271"/>
    <mergeCell ref="E272:E275"/>
    <mergeCell ref="F280:F283"/>
    <mergeCell ref="G312:G315"/>
    <mergeCell ref="G308:G311"/>
    <mergeCell ref="E216:E219"/>
    <mergeCell ref="G192:G195"/>
    <mergeCell ref="G196:G199"/>
    <mergeCell ref="F200:F203"/>
    <mergeCell ref="G204:G207"/>
    <mergeCell ref="G252:G255"/>
    <mergeCell ref="F71:F74"/>
    <mergeCell ref="F63:F66"/>
    <mergeCell ref="F79:F82"/>
    <mergeCell ref="F83:F86"/>
    <mergeCell ref="F87:F90"/>
    <mergeCell ref="F75:F78"/>
    <mergeCell ref="F67:F70"/>
    <mergeCell ref="G364:G367"/>
    <mergeCell ref="G356:G359"/>
    <mergeCell ref="F356:F359"/>
    <mergeCell ref="F348:F351"/>
    <mergeCell ref="F332:F335"/>
    <mergeCell ref="F91:F94"/>
    <mergeCell ref="F115:F118"/>
    <mergeCell ref="F131:F134"/>
    <mergeCell ref="F155:F158"/>
    <mergeCell ref="F119:F122"/>
    <mergeCell ref="F175:F178"/>
    <mergeCell ref="F171:F174"/>
    <mergeCell ref="G147:G150"/>
    <mergeCell ref="G115:G118"/>
    <mergeCell ref="G79:G82"/>
    <mergeCell ref="G83:G86"/>
    <mergeCell ref="G184:G187"/>
    <mergeCell ref="J11:J14"/>
    <mergeCell ref="G11:G14"/>
    <mergeCell ref="G127:G130"/>
    <mergeCell ref="H19:H22"/>
    <mergeCell ref="G99:G102"/>
    <mergeCell ref="H99:H102"/>
    <mergeCell ref="H91:H94"/>
    <mergeCell ref="H11:H14"/>
    <mergeCell ref="H59:H62"/>
    <mergeCell ref="G111:G114"/>
    <mergeCell ref="H63:H66"/>
    <mergeCell ref="G27:G30"/>
    <mergeCell ref="H51:H54"/>
    <mergeCell ref="G51:G54"/>
    <mergeCell ref="G59:G62"/>
    <mergeCell ref="G55:G58"/>
    <mergeCell ref="H55:H58"/>
    <mergeCell ref="H23:H26"/>
    <mergeCell ref="H35:H38"/>
    <mergeCell ref="H31:H34"/>
    <mergeCell ref="G35:G38"/>
    <mergeCell ref="G31:G34"/>
    <mergeCell ref="H27:H30"/>
    <mergeCell ref="G95:G98"/>
    <mergeCell ref="G71:G74"/>
    <mergeCell ref="H71:H74"/>
    <mergeCell ref="H67:H70"/>
    <mergeCell ref="H87:H90"/>
    <mergeCell ref="H111:H114"/>
    <mergeCell ref="H115:H118"/>
    <mergeCell ref="H288:H291"/>
    <mergeCell ref="H280:H283"/>
    <mergeCell ref="J280:J283"/>
    <mergeCell ref="H284:H287"/>
    <mergeCell ref="H272:H275"/>
    <mergeCell ref="H268:H271"/>
    <mergeCell ref="H252:H255"/>
    <mergeCell ref="H248:H251"/>
    <mergeCell ref="G216:G219"/>
    <mergeCell ref="H244:H247"/>
    <mergeCell ref="G248:G251"/>
    <mergeCell ref="G244:G247"/>
    <mergeCell ref="G240:G243"/>
    <mergeCell ref="G260:G263"/>
    <mergeCell ref="G288:G291"/>
    <mergeCell ref="G284:G287"/>
    <mergeCell ref="G268:G271"/>
    <mergeCell ref="G200:G203"/>
    <mergeCell ref="J19:J22"/>
    <mergeCell ref="J292:J295"/>
    <mergeCell ref="J23:J26"/>
    <mergeCell ref="J224:J227"/>
    <mergeCell ref="J228:J231"/>
    <mergeCell ref="J252:J255"/>
    <mergeCell ref="J256:J259"/>
    <mergeCell ref="J264:J267"/>
    <mergeCell ref="J284:J287"/>
    <mergeCell ref="J260:J263"/>
    <mergeCell ref="J39:J42"/>
    <mergeCell ref="J268:J271"/>
    <mergeCell ref="J272:J275"/>
    <mergeCell ref="J276:J279"/>
    <mergeCell ref="J35:J38"/>
    <mergeCell ref="J27:J30"/>
    <mergeCell ref="J31:J34"/>
    <mergeCell ref="J107:J110"/>
    <mergeCell ref="J127:J130"/>
    <mergeCell ref="J111:J114"/>
    <mergeCell ref="J55:J58"/>
    <mergeCell ref="J63:J66"/>
    <mergeCell ref="J123:J126"/>
    <mergeCell ref="J91:J94"/>
    <mergeCell ref="D163:D166"/>
    <mergeCell ref="D51:D54"/>
    <mergeCell ref="D55:D58"/>
    <mergeCell ref="D59:D62"/>
    <mergeCell ref="D43:D46"/>
    <mergeCell ref="C232:C235"/>
    <mergeCell ref="D212:D215"/>
    <mergeCell ref="C179:C182"/>
    <mergeCell ref="D171:D174"/>
    <mergeCell ref="C171:C174"/>
    <mergeCell ref="C167:C170"/>
    <mergeCell ref="C159:C162"/>
    <mergeCell ref="C163:C166"/>
    <mergeCell ref="D232:D235"/>
    <mergeCell ref="C91:C94"/>
    <mergeCell ref="C75:C78"/>
    <mergeCell ref="C99:C102"/>
    <mergeCell ref="C95:C98"/>
    <mergeCell ref="C87:C90"/>
    <mergeCell ref="C103:C106"/>
    <mergeCell ref="D167:D170"/>
    <mergeCell ref="D175:D178"/>
    <mergeCell ref="D155:D158"/>
    <mergeCell ref="D135:D138"/>
    <mergeCell ref="D236:D239"/>
    <mergeCell ref="D240:D243"/>
    <mergeCell ref="C131:C134"/>
    <mergeCell ref="C240:C243"/>
    <mergeCell ref="C135:C138"/>
    <mergeCell ref="J47:J50"/>
    <mergeCell ref="G43:G46"/>
    <mergeCell ref="H43:H46"/>
    <mergeCell ref="H39:H42"/>
    <mergeCell ref="H220:H223"/>
    <mergeCell ref="H216:H219"/>
    <mergeCell ref="F159:F162"/>
    <mergeCell ref="G159:G162"/>
    <mergeCell ref="H159:H162"/>
    <mergeCell ref="F216:F219"/>
    <mergeCell ref="G171:G174"/>
    <mergeCell ref="F179:F182"/>
    <mergeCell ref="F163:F166"/>
    <mergeCell ref="F167:F170"/>
    <mergeCell ref="G224:G227"/>
    <mergeCell ref="J216:J219"/>
    <mergeCell ref="J220:J223"/>
    <mergeCell ref="J236:J239"/>
    <mergeCell ref="J232:J235"/>
    <mergeCell ref="H372:H375"/>
    <mergeCell ref="G320:G323"/>
    <mergeCell ref="H352:H355"/>
    <mergeCell ref="H328:H331"/>
    <mergeCell ref="H320:H323"/>
    <mergeCell ref="H324:H327"/>
    <mergeCell ref="G348:G351"/>
    <mergeCell ref="F364:F367"/>
    <mergeCell ref="F320:F323"/>
    <mergeCell ref="F328:F331"/>
    <mergeCell ref="G352:G355"/>
    <mergeCell ref="H364:H367"/>
    <mergeCell ref="J372:J375"/>
    <mergeCell ref="H368:H371"/>
    <mergeCell ref="H260:H263"/>
    <mergeCell ref="H256:H259"/>
    <mergeCell ref="H360:H363"/>
    <mergeCell ref="H356:H359"/>
    <mergeCell ref="H276:H279"/>
    <mergeCell ref="H292:H295"/>
    <mergeCell ref="F368:F371"/>
    <mergeCell ref="G368:G371"/>
    <mergeCell ref="G324:G327"/>
    <mergeCell ref="G336:G339"/>
    <mergeCell ref="G344:G347"/>
    <mergeCell ref="G340:G343"/>
    <mergeCell ref="F360:F363"/>
    <mergeCell ref="F296:F299"/>
    <mergeCell ref="F304:F307"/>
    <mergeCell ref="F324:F327"/>
    <mergeCell ref="F344:F347"/>
    <mergeCell ref="F340:F343"/>
    <mergeCell ref="F336:F339"/>
    <mergeCell ref="G316:G319"/>
    <mergeCell ref="F372:F375"/>
    <mergeCell ref="G372:G375"/>
    <mergeCell ref="D216:D219"/>
    <mergeCell ref="D220:D223"/>
    <mergeCell ref="B372:B375"/>
    <mergeCell ref="C372:C375"/>
    <mergeCell ref="D372:D375"/>
    <mergeCell ref="E372:E375"/>
    <mergeCell ref="B368:B371"/>
    <mergeCell ref="E348:E351"/>
    <mergeCell ref="E344:E347"/>
    <mergeCell ref="E332:E335"/>
    <mergeCell ref="E368:E371"/>
    <mergeCell ref="E336:E339"/>
    <mergeCell ref="C332:C335"/>
    <mergeCell ref="E340:E343"/>
    <mergeCell ref="C344:C347"/>
    <mergeCell ref="D364:D367"/>
    <mergeCell ref="B364:B367"/>
    <mergeCell ref="C364:C367"/>
    <mergeCell ref="C368:C371"/>
    <mergeCell ref="D368:D371"/>
    <mergeCell ref="B348:B351"/>
    <mergeCell ref="B344:B347"/>
    <mergeCell ref="C352:C355"/>
    <mergeCell ref="B360:B363"/>
    <mergeCell ref="H47:H50"/>
    <mergeCell ref="G47:G50"/>
    <mergeCell ref="H296:H299"/>
    <mergeCell ref="F196:F199"/>
    <mergeCell ref="F192:F195"/>
    <mergeCell ref="G15:G18"/>
    <mergeCell ref="H15:H18"/>
    <mergeCell ref="J15:J18"/>
    <mergeCell ref="B15:B18"/>
    <mergeCell ref="C15:C18"/>
    <mergeCell ref="D15:D18"/>
    <mergeCell ref="E15:E18"/>
    <mergeCell ref="G151:G154"/>
    <mergeCell ref="B232:B235"/>
    <mergeCell ref="B216:B219"/>
    <mergeCell ref="C216:C219"/>
    <mergeCell ref="B228:B231"/>
    <mergeCell ref="C228:C231"/>
    <mergeCell ref="B220:B223"/>
    <mergeCell ref="D204:D207"/>
    <mergeCell ref="C220:C223"/>
    <mergeCell ref="D208:D211"/>
    <mergeCell ref="E220:E223"/>
    <mergeCell ref="E208:E211"/>
  </mergeCells>
  <phoneticPr fontId="0" type="noConversion"/>
  <printOptions horizontalCentered="1" verticalCentered="1"/>
  <pageMargins left="0.47" right="0.75" top="0.25" bottom="1" header="0" footer="0"/>
  <pageSetup scale="75" orientation="landscape" horizontalDpi="300" verticalDpi="300" r:id="rId1"/>
  <headerFooter alignWithMargins="0"/>
  <rowBreaks count="8" manualBreakCount="8">
    <brk id="62" max="9" man="1"/>
    <brk id="138" max="9" man="1"/>
    <brk id="295" max="9" man="1"/>
    <brk id="335" max="9" man="1"/>
    <brk id="380" max="9" man="1"/>
    <brk id="411" max="9" man="1"/>
    <brk id="412" max="9" man="1"/>
    <brk id="435" max="9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8"/>
  <dimension ref="A1:M91"/>
  <sheetViews>
    <sheetView view="pageBreakPreview" topLeftCell="A70" zoomScale="145" zoomScaleNormal="100" zoomScaleSheetLayoutView="145" workbookViewId="0">
      <selection activeCell="E97" sqref="E97"/>
    </sheetView>
  </sheetViews>
  <sheetFormatPr baseColWidth="10" defaultColWidth="11.42578125" defaultRowHeight="15"/>
  <cols>
    <col min="1" max="1" width="13.42578125" style="851" customWidth="1"/>
    <col min="2" max="2" width="11.42578125" style="851"/>
    <col min="3" max="3" width="12.28515625" style="851" bestFit="1" customWidth="1"/>
    <col min="4" max="16384" width="11.42578125" style="851"/>
  </cols>
  <sheetData>
    <row r="1" spans="1:13">
      <c r="A1" s="850"/>
      <c r="B1" s="850"/>
      <c r="C1" s="850"/>
      <c r="D1" s="850"/>
      <c r="E1" s="850"/>
      <c r="F1" s="850"/>
      <c r="G1" s="850"/>
    </row>
    <row r="2" spans="1:13" ht="18.75">
      <c r="A2" s="1843" t="s">
        <v>53</v>
      </c>
      <c r="B2" s="1843"/>
      <c r="C2" s="1843"/>
      <c r="D2" s="1843"/>
      <c r="E2" s="1843"/>
      <c r="F2" s="1843"/>
      <c r="G2" s="1843"/>
    </row>
    <row r="3" spans="1:13">
      <c r="A3" s="1844" t="s">
        <v>54</v>
      </c>
      <c r="B3" s="1844"/>
      <c r="C3" s="1844"/>
      <c r="D3" s="1844"/>
      <c r="E3" s="1844"/>
      <c r="F3" s="1844"/>
      <c r="G3" s="1844"/>
    </row>
    <row r="4" spans="1:13">
      <c r="A4" s="1846" t="s">
        <v>569</v>
      </c>
      <c r="B4" s="1846"/>
      <c r="C4" s="1846"/>
      <c r="D4" s="1846"/>
      <c r="E4" s="1846"/>
      <c r="F4" s="1846"/>
      <c r="G4" s="1846"/>
    </row>
    <row r="5" spans="1:13">
      <c r="A5" s="1839" t="s">
        <v>570</v>
      </c>
      <c r="B5" s="1839"/>
      <c r="C5" s="1839"/>
      <c r="D5" s="1839"/>
      <c r="E5" s="1839"/>
      <c r="F5" s="1839"/>
      <c r="G5" s="1839"/>
    </row>
    <row r="6" spans="1:13">
      <c r="A6" s="1839" t="s">
        <v>587</v>
      </c>
      <c r="B6" s="1839"/>
      <c r="C6" s="1839"/>
      <c r="D6" s="1839"/>
      <c r="E6" s="1839"/>
      <c r="F6" s="1839"/>
      <c r="G6" s="1839"/>
    </row>
    <row r="7" spans="1:13" ht="15.75" thickBot="1">
      <c r="A7" s="850"/>
      <c r="B7" s="850"/>
      <c r="C7" s="850"/>
      <c r="D7" s="850"/>
      <c r="E7" s="850"/>
      <c r="F7" s="850"/>
      <c r="G7" s="850"/>
    </row>
    <row r="8" spans="1:13" ht="15.75" thickBot="1">
      <c r="A8" s="1840" t="s">
        <v>115</v>
      </c>
      <c r="B8" s="1841"/>
      <c r="C8" s="1841"/>
      <c r="D8" s="1841"/>
      <c r="E8" s="1841"/>
      <c r="F8" s="1841"/>
      <c r="G8" s="1842"/>
    </row>
    <row r="9" spans="1:13" ht="30" customHeight="1" thickBot="1">
      <c r="A9" s="852" t="s">
        <v>116</v>
      </c>
      <c r="B9" s="853" t="s">
        <v>117</v>
      </c>
      <c r="C9" s="854" t="s">
        <v>118</v>
      </c>
      <c r="D9" s="855" t="s">
        <v>119</v>
      </c>
      <c r="E9" s="854" t="s">
        <v>120</v>
      </c>
      <c r="F9" s="855" t="s">
        <v>121</v>
      </c>
      <c r="G9" s="856" t="s">
        <v>122</v>
      </c>
    </row>
    <row r="10" spans="1:13" ht="5.25" customHeight="1">
      <c r="A10" s="857"/>
      <c r="B10" s="858"/>
      <c r="C10" s="859"/>
      <c r="D10" s="859"/>
      <c r="E10" s="859"/>
      <c r="F10" s="859"/>
      <c r="G10" s="859"/>
    </row>
    <row r="11" spans="1:13" ht="6.75" customHeight="1" thickBot="1">
      <c r="A11" s="857"/>
      <c r="B11" s="858"/>
      <c r="C11" s="859"/>
      <c r="D11" s="859"/>
      <c r="E11" s="859"/>
      <c r="F11" s="859"/>
      <c r="G11" s="859"/>
    </row>
    <row r="12" spans="1:13" ht="15.75" thickBot="1">
      <c r="A12" s="1836">
        <v>42645</v>
      </c>
      <c r="B12" s="860" t="s">
        <v>123</v>
      </c>
      <c r="C12" s="861">
        <v>85</v>
      </c>
      <c r="D12" s="862">
        <v>119</v>
      </c>
      <c r="E12" s="862" t="s">
        <v>126</v>
      </c>
      <c r="F12" s="862" t="s">
        <v>126</v>
      </c>
      <c r="G12" s="863">
        <v>340</v>
      </c>
      <c r="I12" s="864">
        <v>95</v>
      </c>
      <c r="J12" s="864">
        <v>25</v>
      </c>
      <c r="K12" s="864">
        <f>(I12/J12)</f>
        <v>3.8</v>
      </c>
      <c r="L12" s="864">
        <v>35</v>
      </c>
      <c r="M12" s="864">
        <f>(K12*L12)</f>
        <v>133</v>
      </c>
    </row>
    <row r="13" spans="1:13" ht="15.75" thickBot="1">
      <c r="A13" s="1837"/>
      <c r="B13" s="865" t="s">
        <v>124</v>
      </c>
      <c r="C13" s="866">
        <v>85</v>
      </c>
      <c r="D13" s="867">
        <v>119</v>
      </c>
      <c r="E13" s="867">
        <v>136</v>
      </c>
      <c r="F13" s="867">
        <v>204</v>
      </c>
      <c r="G13" s="868">
        <v>340</v>
      </c>
      <c r="I13" s="864"/>
      <c r="J13" s="864"/>
      <c r="K13" s="864"/>
      <c r="L13" s="864">
        <v>40</v>
      </c>
      <c r="M13" s="864">
        <f>(K12*L13)</f>
        <v>152</v>
      </c>
    </row>
    <row r="14" spans="1:13" ht="15.75" thickBot="1">
      <c r="A14" s="1838"/>
      <c r="B14" s="869" t="s">
        <v>125</v>
      </c>
      <c r="C14" s="870">
        <v>85</v>
      </c>
      <c r="D14" s="871">
        <v>119</v>
      </c>
      <c r="E14" s="871">
        <v>136</v>
      </c>
      <c r="F14" s="871">
        <v>204</v>
      </c>
      <c r="G14" s="872">
        <v>340</v>
      </c>
      <c r="I14" s="864"/>
      <c r="J14" s="864"/>
      <c r="K14" s="864"/>
      <c r="L14" s="864">
        <v>60</v>
      </c>
      <c r="M14" s="864">
        <f>(K12*L14)</f>
        <v>228</v>
      </c>
    </row>
    <row r="15" spans="1:13" ht="8.25" customHeight="1" thickBot="1">
      <c r="A15" s="857"/>
      <c r="B15" s="858"/>
      <c r="C15" s="859"/>
      <c r="D15" s="859"/>
      <c r="E15" s="859"/>
      <c r="F15" s="859"/>
      <c r="G15" s="859"/>
      <c r="I15" s="864"/>
      <c r="J15" s="864"/>
      <c r="K15" s="864"/>
      <c r="L15" s="864"/>
      <c r="M15" s="864"/>
    </row>
    <row r="16" spans="1:13" ht="15.75" thickBot="1">
      <c r="A16" s="1836">
        <v>42654</v>
      </c>
      <c r="B16" s="860" t="s">
        <v>123</v>
      </c>
      <c r="C16" s="861">
        <v>85</v>
      </c>
      <c r="D16" s="862">
        <v>119</v>
      </c>
      <c r="E16" s="862" t="s">
        <v>126</v>
      </c>
      <c r="F16" s="862" t="s">
        <v>126</v>
      </c>
      <c r="G16" s="863">
        <v>340</v>
      </c>
      <c r="I16" s="864"/>
      <c r="J16" s="864"/>
      <c r="K16" s="864"/>
      <c r="L16" s="864">
        <v>100</v>
      </c>
      <c r="M16" s="864">
        <f>(K12*L16)</f>
        <v>380</v>
      </c>
    </row>
    <row r="17" spans="1:13" ht="15.75" thickBot="1">
      <c r="A17" s="1837"/>
      <c r="B17" s="865" t="s">
        <v>124</v>
      </c>
      <c r="C17" s="866">
        <v>85</v>
      </c>
      <c r="D17" s="867">
        <v>119</v>
      </c>
      <c r="E17" s="867">
        <v>136</v>
      </c>
      <c r="F17" s="867">
        <v>204</v>
      </c>
      <c r="G17" s="868">
        <v>340</v>
      </c>
      <c r="I17" s="864"/>
      <c r="J17" s="864"/>
      <c r="K17" s="864"/>
      <c r="L17" s="864"/>
      <c r="M17" s="864"/>
    </row>
    <row r="18" spans="1:13" ht="15.75" thickBot="1">
      <c r="A18" s="1838"/>
      <c r="B18" s="869" t="s">
        <v>125</v>
      </c>
      <c r="C18" s="870">
        <v>85</v>
      </c>
      <c r="D18" s="871">
        <v>119</v>
      </c>
      <c r="E18" s="871">
        <v>136</v>
      </c>
      <c r="F18" s="871">
        <v>204</v>
      </c>
      <c r="G18" s="872">
        <v>340</v>
      </c>
      <c r="I18" s="864"/>
      <c r="J18" s="864"/>
      <c r="K18" s="864"/>
      <c r="L18" s="864"/>
      <c r="M18" s="864"/>
    </row>
    <row r="19" spans="1:13" ht="6.75" customHeight="1" thickBot="1">
      <c r="A19" s="857"/>
      <c r="B19" s="858"/>
      <c r="C19" s="859"/>
      <c r="D19" s="859"/>
      <c r="E19" s="859"/>
      <c r="F19" s="859"/>
      <c r="G19" s="859"/>
      <c r="I19" s="864"/>
      <c r="J19" s="864"/>
      <c r="K19" s="864"/>
      <c r="L19" s="864"/>
      <c r="M19" s="864"/>
    </row>
    <row r="20" spans="1:13" ht="15.75" thickBot="1">
      <c r="A20" s="1836">
        <v>42661</v>
      </c>
      <c r="B20" s="860" t="s">
        <v>123</v>
      </c>
      <c r="C20" s="861">
        <v>85</v>
      </c>
      <c r="D20" s="862">
        <v>119</v>
      </c>
      <c r="E20" s="862" t="s">
        <v>126</v>
      </c>
      <c r="F20" s="862" t="s">
        <v>126</v>
      </c>
      <c r="G20" s="863">
        <v>340</v>
      </c>
      <c r="I20" s="864"/>
      <c r="J20" s="864"/>
      <c r="K20" s="864"/>
      <c r="L20" s="864"/>
      <c r="M20" s="864"/>
    </row>
    <row r="21" spans="1:13" ht="15.75" thickBot="1">
      <c r="A21" s="1837"/>
      <c r="B21" s="865" t="s">
        <v>124</v>
      </c>
      <c r="C21" s="866">
        <v>85</v>
      </c>
      <c r="D21" s="867">
        <v>119</v>
      </c>
      <c r="E21" s="867">
        <v>136</v>
      </c>
      <c r="F21" s="867">
        <v>204</v>
      </c>
      <c r="G21" s="868">
        <v>340</v>
      </c>
    </row>
    <row r="22" spans="1:13" ht="15.75" thickBot="1">
      <c r="A22" s="1838"/>
      <c r="B22" s="869" t="s">
        <v>125</v>
      </c>
      <c r="C22" s="870">
        <v>85</v>
      </c>
      <c r="D22" s="871">
        <v>119</v>
      </c>
      <c r="E22" s="871">
        <v>136</v>
      </c>
      <c r="F22" s="871">
        <v>204</v>
      </c>
      <c r="G22" s="872">
        <v>340</v>
      </c>
    </row>
    <row r="23" spans="1:13" ht="7.5" customHeight="1" thickBot="1">
      <c r="A23" s="857"/>
      <c r="B23" s="858"/>
      <c r="C23" s="859"/>
      <c r="D23" s="859"/>
      <c r="E23" s="859"/>
      <c r="F23" s="859"/>
      <c r="G23" s="859"/>
    </row>
    <row r="24" spans="1:13" ht="15.75" thickBot="1">
      <c r="A24" s="1836">
        <v>42668</v>
      </c>
      <c r="B24" s="860" t="s">
        <v>123</v>
      </c>
      <c r="C24" s="861">
        <v>85</v>
      </c>
      <c r="D24" s="862">
        <v>119</v>
      </c>
      <c r="E24" s="862" t="s">
        <v>126</v>
      </c>
      <c r="F24" s="862" t="s">
        <v>126</v>
      </c>
      <c r="G24" s="863">
        <v>340</v>
      </c>
    </row>
    <row r="25" spans="1:13" ht="15.75" thickBot="1">
      <c r="A25" s="1837"/>
      <c r="B25" s="865" t="s">
        <v>124</v>
      </c>
      <c r="C25" s="866">
        <v>85</v>
      </c>
      <c r="D25" s="867">
        <v>119</v>
      </c>
      <c r="E25" s="867">
        <v>136</v>
      </c>
      <c r="F25" s="867">
        <v>204</v>
      </c>
      <c r="G25" s="868">
        <v>340</v>
      </c>
    </row>
    <row r="26" spans="1:13" ht="15.75" thickBot="1">
      <c r="A26" s="1838"/>
      <c r="B26" s="869" t="s">
        <v>125</v>
      </c>
      <c r="C26" s="870">
        <v>85</v>
      </c>
      <c r="D26" s="871">
        <v>119</v>
      </c>
      <c r="E26" s="871">
        <v>136</v>
      </c>
      <c r="F26" s="871">
        <v>204</v>
      </c>
      <c r="G26" s="872">
        <v>340</v>
      </c>
    </row>
    <row r="27" spans="1:13" ht="7.5" customHeight="1" thickBot="1">
      <c r="A27" s="857"/>
      <c r="B27" s="858"/>
      <c r="C27" s="859"/>
      <c r="D27" s="859"/>
      <c r="E27" s="859"/>
      <c r="F27" s="859"/>
      <c r="G27" s="859"/>
    </row>
    <row r="28" spans="1:13" ht="15.75" thickBot="1">
      <c r="A28" s="1836">
        <v>42682</v>
      </c>
      <c r="B28" s="860" t="s">
        <v>123</v>
      </c>
      <c r="C28" s="861">
        <v>85</v>
      </c>
      <c r="D28" s="862">
        <v>119</v>
      </c>
      <c r="E28" s="862" t="s">
        <v>126</v>
      </c>
      <c r="F28" s="862" t="s">
        <v>126</v>
      </c>
      <c r="G28" s="863">
        <v>340</v>
      </c>
    </row>
    <row r="29" spans="1:13" ht="15.75" thickBot="1">
      <c r="A29" s="1837"/>
      <c r="B29" s="865" t="s">
        <v>124</v>
      </c>
      <c r="C29" s="866">
        <v>85</v>
      </c>
      <c r="D29" s="867">
        <v>119</v>
      </c>
      <c r="E29" s="867">
        <v>136</v>
      </c>
      <c r="F29" s="867">
        <v>204</v>
      </c>
      <c r="G29" s="868">
        <v>340</v>
      </c>
    </row>
    <row r="30" spans="1:13" ht="15.75" thickBot="1">
      <c r="A30" s="1838"/>
      <c r="B30" s="869" t="s">
        <v>125</v>
      </c>
      <c r="C30" s="870">
        <v>85</v>
      </c>
      <c r="D30" s="871">
        <v>119</v>
      </c>
      <c r="E30" s="871">
        <v>136</v>
      </c>
      <c r="F30" s="871">
        <v>204</v>
      </c>
      <c r="G30" s="872">
        <v>340</v>
      </c>
    </row>
    <row r="31" spans="1:13" ht="8.25" customHeight="1" thickBot="1">
      <c r="A31" s="857"/>
      <c r="B31" s="858"/>
      <c r="C31" s="859"/>
      <c r="D31" s="859"/>
      <c r="E31" s="859"/>
      <c r="F31" s="859"/>
      <c r="G31" s="859"/>
    </row>
    <row r="32" spans="1:13" ht="15.75" thickBot="1">
      <c r="A32" s="1836">
        <v>42689</v>
      </c>
      <c r="B32" s="860" t="s">
        <v>123</v>
      </c>
      <c r="C32" s="861">
        <v>85</v>
      </c>
      <c r="D32" s="862">
        <v>119</v>
      </c>
      <c r="E32" s="862" t="s">
        <v>126</v>
      </c>
      <c r="F32" s="862" t="s">
        <v>126</v>
      </c>
      <c r="G32" s="863">
        <v>340</v>
      </c>
    </row>
    <row r="33" spans="1:7" ht="15.75" thickBot="1">
      <c r="A33" s="1837"/>
      <c r="B33" s="865" t="s">
        <v>124</v>
      </c>
      <c r="C33" s="866">
        <v>85</v>
      </c>
      <c r="D33" s="867">
        <v>119</v>
      </c>
      <c r="E33" s="867">
        <v>136</v>
      </c>
      <c r="F33" s="867">
        <v>204</v>
      </c>
      <c r="G33" s="868">
        <v>340</v>
      </c>
    </row>
    <row r="34" spans="1:7" ht="15.75" thickBot="1">
      <c r="A34" s="1838"/>
      <c r="B34" s="869" t="s">
        <v>125</v>
      </c>
      <c r="C34" s="870">
        <v>85</v>
      </c>
      <c r="D34" s="871">
        <v>119</v>
      </c>
      <c r="E34" s="871">
        <v>136</v>
      </c>
      <c r="F34" s="871">
        <v>204</v>
      </c>
      <c r="G34" s="872">
        <v>340</v>
      </c>
    </row>
    <row r="35" spans="1:7" ht="8.25" customHeight="1" thickBot="1">
      <c r="A35" s="857"/>
      <c r="B35" s="858"/>
      <c r="C35" s="859"/>
      <c r="D35" s="859"/>
      <c r="E35" s="859"/>
      <c r="F35" s="859"/>
      <c r="G35" s="859"/>
    </row>
    <row r="36" spans="1:7" ht="15.75" thickBot="1">
      <c r="A36" s="1836">
        <v>42695</v>
      </c>
      <c r="B36" s="860" t="s">
        <v>123</v>
      </c>
      <c r="C36" s="861">
        <v>85</v>
      </c>
      <c r="D36" s="862">
        <v>119</v>
      </c>
      <c r="E36" s="862" t="s">
        <v>126</v>
      </c>
      <c r="F36" s="862" t="s">
        <v>126</v>
      </c>
      <c r="G36" s="863">
        <v>340</v>
      </c>
    </row>
    <row r="37" spans="1:7" ht="15.75" thickBot="1">
      <c r="A37" s="1837"/>
      <c r="B37" s="865" t="s">
        <v>124</v>
      </c>
      <c r="C37" s="866">
        <v>85</v>
      </c>
      <c r="D37" s="867">
        <v>119</v>
      </c>
      <c r="E37" s="867">
        <v>136</v>
      </c>
      <c r="F37" s="867">
        <v>204</v>
      </c>
      <c r="G37" s="868">
        <v>340</v>
      </c>
    </row>
    <row r="38" spans="1:7" ht="15.75" thickBot="1">
      <c r="A38" s="1838"/>
      <c r="B38" s="869" t="s">
        <v>125</v>
      </c>
      <c r="C38" s="870">
        <v>85</v>
      </c>
      <c r="D38" s="871">
        <v>119</v>
      </c>
      <c r="E38" s="871">
        <v>136</v>
      </c>
      <c r="F38" s="871">
        <v>204</v>
      </c>
      <c r="G38" s="872">
        <v>340</v>
      </c>
    </row>
    <row r="39" spans="1:7" ht="7.5" customHeight="1" thickBot="1">
      <c r="A39" s="857"/>
      <c r="B39" s="858"/>
      <c r="C39" s="859"/>
      <c r="D39" s="859"/>
      <c r="E39" s="859"/>
      <c r="F39" s="859"/>
      <c r="G39" s="859"/>
    </row>
    <row r="40" spans="1:7" ht="15.75" thickBot="1">
      <c r="A40" s="1836">
        <v>42703</v>
      </c>
      <c r="B40" s="860" t="s">
        <v>123</v>
      </c>
      <c r="C40" s="861">
        <v>85</v>
      </c>
      <c r="D40" s="862">
        <v>119</v>
      </c>
      <c r="E40" s="862" t="s">
        <v>126</v>
      </c>
      <c r="F40" s="862" t="s">
        <v>126</v>
      </c>
      <c r="G40" s="863">
        <v>340</v>
      </c>
    </row>
    <row r="41" spans="1:7" ht="15.75" thickBot="1">
      <c r="A41" s="1837"/>
      <c r="B41" s="865" t="s">
        <v>124</v>
      </c>
      <c r="C41" s="866">
        <v>85</v>
      </c>
      <c r="D41" s="867">
        <v>119</v>
      </c>
      <c r="E41" s="867">
        <v>136</v>
      </c>
      <c r="F41" s="867">
        <v>204</v>
      </c>
      <c r="G41" s="868">
        <v>340</v>
      </c>
    </row>
    <row r="42" spans="1:7" ht="15.75" thickBot="1">
      <c r="A42" s="1838"/>
      <c r="B42" s="869" t="s">
        <v>125</v>
      </c>
      <c r="C42" s="870">
        <v>85</v>
      </c>
      <c r="D42" s="871">
        <v>119</v>
      </c>
      <c r="E42" s="871">
        <v>136</v>
      </c>
      <c r="F42" s="871">
        <v>204</v>
      </c>
      <c r="G42" s="872">
        <v>340</v>
      </c>
    </row>
    <row r="43" spans="1:7" ht="15.75" thickBot="1">
      <c r="A43" s="873" t="s">
        <v>572</v>
      </c>
      <c r="B43" s="858"/>
      <c r="C43" s="859"/>
      <c r="D43" s="859"/>
      <c r="E43" s="859"/>
      <c r="F43" s="859"/>
      <c r="G43" s="859"/>
    </row>
    <row r="44" spans="1:7" ht="15.75" thickBot="1">
      <c r="A44" s="874"/>
      <c r="B44" s="874"/>
      <c r="C44" s="875" t="s">
        <v>118</v>
      </c>
      <c r="D44" s="855" t="s">
        <v>119</v>
      </c>
      <c r="E44" s="854" t="s">
        <v>120</v>
      </c>
      <c r="F44" s="855" t="s">
        <v>121</v>
      </c>
      <c r="G44" s="856" t="s">
        <v>122</v>
      </c>
    </row>
    <row r="45" spans="1:7" ht="18.75">
      <c r="A45" s="1843" t="s">
        <v>53</v>
      </c>
      <c r="B45" s="1843"/>
      <c r="C45" s="1843"/>
      <c r="D45" s="1843"/>
      <c r="E45" s="1843"/>
      <c r="F45" s="1843"/>
      <c r="G45" s="1843"/>
    </row>
    <row r="46" spans="1:7">
      <c r="A46" s="1844" t="s">
        <v>54</v>
      </c>
      <c r="B46" s="1844"/>
      <c r="C46" s="1844"/>
      <c r="D46" s="1844"/>
      <c r="E46" s="1844"/>
      <c r="F46" s="1844"/>
      <c r="G46" s="1844"/>
    </row>
    <row r="47" spans="1:7">
      <c r="A47" s="1845" t="s">
        <v>569</v>
      </c>
      <c r="B47" s="1845"/>
      <c r="C47" s="1845"/>
      <c r="D47" s="1845"/>
      <c r="E47" s="1845"/>
      <c r="F47" s="1845"/>
      <c r="G47" s="1845"/>
    </row>
    <row r="48" spans="1:7">
      <c r="A48" s="1839" t="s">
        <v>570</v>
      </c>
      <c r="B48" s="1839"/>
      <c r="C48" s="1839"/>
      <c r="D48" s="1839"/>
      <c r="E48" s="1839"/>
      <c r="F48" s="1839"/>
      <c r="G48" s="1839"/>
    </row>
    <row r="49" spans="1:7">
      <c r="A49" s="1839" t="s">
        <v>571</v>
      </c>
      <c r="B49" s="1839"/>
      <c r="C49" s="1839"/>
      <c r="D49" s="1839"/>
      <c r="E49" s="1839"/>
      <c r="F49" s="1839"/>
      <c r="G49" s="1839"/>
    </row>
    <row r="50" spans="1:7" ht="15.75" thickBot="1">
      <c r="A50" s="850"/>
      <c r="B50" s="850"/>
      <c r="C50" s="850"/>
      <c r="D50" s="850"/>
      <c r="E50" s="850"/>
      <c r="F50" s="850"/>
      <c r="G50" s="850"/>
    </row>
    <row r="51" spans="1:7" ht="15.75" thickBot="1">
      <c r="A51" s="1840" t="s">
        <v>115</v>
      </c>
      <c r="B51" s="1841"/>
      <c r="C51" s="1841"/>
      <c r="D51" s="1841"/>
      <c r="E51" s="1841"/>
      <c r="F51" s="1841"/>
      <c r="G51" s="1842"/>
    </row>
    <row r="52" spans="1:7" ht="26.25" thickBot="1">
      <c r="A52" s="852" t="s">
        <v>116</v>
      </c>
      <c r="B52" s="853" t="s">
        <v>117</v>
      </c>
      <c r="C52" s="854" t="s">
        <v>118</v>
      </c>
      <c r="D52" s="855" t="s">
        <v>119</v>
      </c>
      <c r="E52" s="854" t="s">
        <v>120</v>
      </c>
      <c r="F52" s="855" t="s">
        <v>121</v>
      </c>
      <c r="G52" s="856" t="s">
        <v>122</v>
      </c>
    </row>
    <row r="53" spans="1:7" ht="6" customHeight="1">
      <c r="A53" s="857"/>
      <c r="B53" s="858"/>
      <c r="C53" s="859"/>
      <c r="D53" s="859"/>
      <c r="E53" s="859"/>
      <c r="F53" s="859"/>
      <c r="G53" s="859"/>
    </row>
    <row r="54" spans="1:7" ht="5.25" customHeight="1" thickBot="1">
      <c r="A54" s="857"/>
      <c r="B54" s="858"/>
      <c r="C54" s="859"/>
      <c r="D54" s="859"/>
      <c r="E54" s="859"/>
      <c r="F54" s="859"/>
      <c r="G54" s="859"/>
    </row>
    <row r="55" spans="1:7" ht="15.75" thickBot="1">
      <c r="A55" s="1836">
        <v>42710</v>
      </c>
      <c r="B55" s="860" t="s">
        <v>123</v>
      </c>
      <c r="C55" s="861">
        <v>90</v>
      </c>
      <c r="D55" s="862">
        <v>126</v>
      </c>
      <c r="E55" s="862" t="s">
        <v>126</v>
      </c>
      <c r="F55" s="862" t="s">
        <v>126</v>
      </c>
      <c r="G55" s="863">
        <v>360</v>
      </c>
    </row>
    <row r="56" spans="1:7" ht="15.75" thickBot="1">
      <c r="A56" s="1837"/>
      <c r="B56" s="865" t="s">
        <v>124</v>
      </c>
      <c r="C56" s="866">
        <v>90</v>
      </c>
      <c r="D56" s="867">
        <v>126</v>
      </c>
      <c r="E56" s="867">
        <v>144</v>
      </c>
      <c r="F56" s="867">
        <v>216</v>
      </c>
      <c r="G56" s="868">
        <v>360</v>
      </c>
    </row>
    <row r="57" spans="1:7" ht="15.75" thickBot="1">
      <c r="A57" s="1838"/>
      <c r="B57" s="869" t="s">
        <v>125</v>
      </c>
      <c r="C57" s="870">
        <v>90</v>
      </c>
      <c r="D57" s="871">
        <v>126</v>
      </c>
      <c r="E57" s="871">
        <v>144</v>
      </c>
      <c r="F57" s="871">
        <v>216</v>
      </c>
      <c r="G57" s="872">
        <v>360</v>
      </c>
    </row>
    <row r="58" spans="1:7" ht="8.25" customHeight="1" thickBot="1">
      <c r="A58" s="857"/>
      <c r="B58" s="858"/>
      <c r="C58" s="859"/>
      <c r="D58" s="859"/>
      <c r="E58" s="859"/>
      <c r="F58" s="859"/>
      <c r="G58" s="859"/>
    </row>
    <row r="59" spans="1:7" ht="15.75" thickBot="1">
      <c r="A59" s="1836">
        <v>42717</v>
      </c>
      <c r="B59" s="860" t="s">
        <v>123</v>
      </c>
      <c r="C59" s="861">
        <v>90</v>
      </c>
      <c r="D59" s="862">
        <v>126</v>
      </c>
      <c r="E59" s="862" t="s">
        <v>126</v>
      </c>
      <c r="F59" s="862" t="s">
        <v>126</v>
      </c>
      <c r="G59" s="863">
        <v>360</v>
      </c>
    </row>
    <row r="60" spans="1:7" ht="15.75" thickBot="1">
      <c r="A60" s="1837"/>
      <c r="B60" s="865" t="s">
        <v>124</v>
      </c>
      <c r="C60" s="866">
        <v>90</v>
      </c>
      <c r="D60" s="867">
        <v>126</v>
      </c>
      <c r="E60" s="867">
        <v>144</v>
      </c>
      <c r="F60" s="867">
        <v>216</v>
      </c>
      <c r="G60" s="868">
        <v>360</v>
      </c>
    </row>
    <row r="61" spans="1:7" ht="15.75" thickBot="1">
      <c r="A61" s="1838"/>
      <c r="B61" s="869" t="s">
        <v>125</v>
      </c>
      <c r="C61" s="870">
        <v>90</v>
      </c>
      <c r="D61" s="871">
        <v>126</v>
      </c>
      <c r="E61" s="871">
        <v>144</v>
      </c>
      <c r="F61" s="871">
        <v>216</v>
      </c>
      <c r="G61" s="872">
        <v>360</v>
      </c>
    </row>
    <row r="62" spans="1:7" ht="7.5" customHeight="1" thickBot="1">
      <c r="A62" s="857"/>
      <c r="B62" s="858"/>
      <c r="C62" s="859"/>
      <c r="D62" s="859"/>
      <c r="E62" s="859"/>
      <c r="F62" s="859"/>
      <c r="G62" s="859"/>
    </row>
    <row r="63" spans="1:7" ht="15.75" thickBot="1">
      <c r="A63" s="1836">
        <v>42724</v>
      </c>
      <c r="B63" s="860" t="s">
        <v>123</v>
      </c>
      <c r="C63" s="861">
        <v>90</v>
      </c>
      <c r="D63" s="862">
        <v>126</v>
      </c>
      <c r="E63" s="862" t="s">
        <v>126</v>
      </c>
      <c r="F63" s="862" t="s">
        <v>126</v>
      </c>
      <c r="G63" s="863">
        <v>360</v>
      </c>
    </row>
    <row r="64" spans="1:7" ht="15.75" thickBot="1">
      <c r="A64" s="1837"/>
      <c r="B64" s="865" t="s">
        <v>124</v>
      </c>
      <c r="C64" s="866">
        <v>90</v>
      </c>
      <c r="D64" s="867">
        <v>126</v>
      </c>
      <c r="E64" s="867">
        <v>144</v>
      </c>
      <c r="F64" s="867">
        <v>216</v>
      </c>
      <c r="G64" s="868">
        <v>360</v>
      </c>
    </row>
    <row r="65" spans="1:7" ht="15.75" thickBot="1">
      <c r="A65" s="1838"/>
      <c r="B65" s="869" t="s">
        <v>125</v>
      </c>
      <c r="C65" s="870">
        <v>90</v>
      </c>
      <c r="D65" s="871">
        <v>126</v>
      </c>
      <c r="E65" s="871">
        <v>144</v>
      </c>
      <c r="F65" s="871">
        <v>216</v>
      </c>
      <c r="G65" s="872">
        <v>360</v>
      </c>
    </row>
    <row r="66" spans="1:7" ht="9.75" customHeight="1" thickBot="1">
      <c r="A66" s="857"/>
      <c r="B66" s="858"/>
      <c r="C66" s="859"/>
      <c r="D66" s="859"/>
      <c r="E66" s="859"/>
      <c r="F66" s="859"/>
      <c r="G66" s="859"/>
    </row>
    <row r="67" spans="1:7" ht="15.75" thickBot="1">
      <c r="A67" s="1836">
        <v>42731</v>
      </c>
      <c r="B67" s="860" t="s">
        <v>123</v>
      </c>
      <c r="C67" s="861">
        <v>90</v>
      </c>
      <c r="D67" s="862">
        <v>126</v>
      </c>
      <c r="E67" s="862" t="s">
        <v>126</v>
      </c>
      <c r="F67" s="862" t="s">
        <v>126</v>
      </c>
      <c r="G67" s="863">
        <v>360</v>
      </c>
    </row>
    <row r="68" spans="1:7" ht="15.75" thickBot="1">
      <c r="A68" s="1837"/>
      <c r="B68" s="865" t="s">
        <v>124</v>
      </c>
      <c r="C68" s="866">
        <v>90</v>
      </c>
      <c r="D68" s="867">
        <v>126</v>
      </c>
      <c r="E68" s="867">
        <v>144</v>
      </c>
      <c r="F68" s="867">
        <v>216</v>
      </c>
      <c r="G68" s="868">
        <v>360</v>
      </c>
    </row>
    <row r="69" spans="1:7" ht="15.75" thickBot="1">
      <c r="A69" s="1838"/>
      <c r="B69" s="869" t="s">
        <v>125</v>
      </c>
      <c r="C69" s="870">
        <v>90</v>
      </c>
      <c r="D69" s="871">
        <v>126</v>
      </c>
      <c r="E69" s="871">
        <v>144</v>
      </c>
      <c r="F69" s="871">
        <v>216</v>
      </c>
      <c r="G69" s="872">
        <v>360</v>
      </c>
    </row>
    <row r="70" spans="1:7" ht="5.25" customHeight="1" thickBot="1">
      <c r="A70" s="857"/>
      <c r="B70" s="858"/>
      <c r="C70" s="859"/>
      <c r="D70" s="859"/>
      <c r="E70" s="859"/>
      <c r="F70" s="859"/>
      <c r="G70" s="859"/>
    </row>
    <row r="71" spans="1:7" ht="15.75" thickBot="1">
      <c r="A71" s="1836">
        <v>42738</v>
      </c>
      <c r="B71" s="860" t="s">
        <v>123</v>
      </c>
      <c r="C71" s="861">
        <v>95</v>
      </c>
      <c r="D71" s="862">
        <v>133</v>
      </c>
      <c r="E71" s="862" t="s">
        <v>126</v>
      </c>
      <c r="F71" s="862" t="s">
        <v>126</v>
      </c>
      <c r="G71" s="863">
        <v>380</v>
      </c>
    </row>
    <row r="72" spans="1:7" ht="15.75" thickBot="1">
      <c r="A72" s="1837"/>
      <c r="B72" s="865" t="s">
        <v>124</v>
      </c>
      <c r="C72" s="866">
        <v>95</v>
      </c>
      <c r="D72" s="867">
        <v>147</v>
      </c>
      <c r="E72" s="867">
        <v>152</v>
      </c>
      <c r="F72" s="867">
        <v>228</v>
      </c>
      <c r="G72" s="868">
        <v>420</v>
      </c>
    </row>
    <row r="73" spans="1:7" ht="15.75" thickBot="1">
      <c r="A73" s="1838"/>
      <c r="B73" s="869" t="s">
        <v>125</v>
      </c>
      <c r="C73" s="870">
        <v>95</v>
      </c>
      <c r="D73" s="871">
        <v>147</v>
      </c>
      <c r="E73" s="871">
        <v>152</v>
      </c>
      <c r="F73" s="871">
        <v>228</v>
      </c>
      <c r="G73" s="872">
        <v>420</v>
      </c>
    </row>
    <row r="74" spans="1:7" ht="6" customHeight="1" thickBot="1">
      <c r="A74" s="857"/>
      <c r="B74" s="858"/>
      <c r="C74" s="859"/>
      <c r="D74" s="859"/>
      <c r="E74" s="859"/>
      <c r="F74" s="859"/>
      <c r="G74" s="859"/>
    </row>
    <row r="75" spans="1:7" ht="15.75" thickBot="1">
      <c r="A75" s="1836">
        <v>42744</v>
      </c>
      <c r="B75" s="860" t="s">
        <v>123</v>
      </c>
      <c r="C75" s="861">
        <v>95</v>
      </c>
      <c r="D75" s="862">
        <v>133</v>
      </c>
      <c r="E75" s="862" t="s">
        <v>126</v>
      </c>
      <c r="F75" s="862" t="s">
        <v>126</v>
      </c>
      <c r="G75" s="863">
        <v>380</v>
      </c>
    </row>
    <row r="76" spans="1:7" ht="15.75" thickBot="1">
      <c r="A76" s="1837"/>
      <c r="B76" s="865" t="s">
        <v>124</v>
      </c>
      <c r="C76" s="866">
        <v>95</v>
      </c>
      <c r="D76" s="867">
        <v>133</v>
      </c>
      <c r="E76" s="867">
        <v>152</v>
      </c>
      <c r="F76" s="867">
        <v>228</v>
      </c>
      <c r="G76" s="868">
        <v>380</v>
      </c>
    </row>
    <row r="77" spans="1:7" ht="15.75" thickBot="1">
      <c r="A77" s="1838"/>
      <c r="B77" s="869" t="s">
        <v>125</v>
      </c>
      <c r="C77" s="870">
        <v>95</v>
      </c>
      <c r="D77" s="871">
        <v>133</v>
      </c>
      <c r="E77" s="871">
        <v>152</v>
      </c>
      <c r="F77" s="871">
        <v>228</v>
      </c>
      <c r="G77" s="872">
        <v>380</v>
      </c>
    </row>
    <row r="78" spans="1:7" ht="6.75" customHeight="1" thickBot="1">
      <c r="A78" s="857"/>
      <c r="B78" s="858"/>
      <c r="C78" s="859"/>
      <c r="D78" s="859"/>
      <c r="E78" s="859"/>
      <c r="F78" s="859"/>
      <c r="G78" s="859"/>
    </row>
    <row r="79" spans="1:7" ht="15.75" thickBot="1">
      <c r="A79" s="1836">
        <v>42753</v>
      </c>
      <c r="B79" s="860" t="s">
        <v>123</v>
      </c>
      <c r="C79" s="861">
        <v>95</v>
      </c>
      <c r="D79" s="862">
        <v>133</v>
      </c>
      <c r="E79" s="862" t="s">
        <v>126</v>
      </c>
      <c r="F79" s="862" t="s">
        <v>126</v>
      </c>
      <c r="G79" s="863">
        <v>380</v>
      </c>
    </row>
    <row r="80" spans="1:7" ht="15.75" thickBot="1">
      <c r="A80" s="1837"/>
      <c r="B80" s="865" t="s">
        <v>124</v>
      </c>
      <c r="C80" s="866">
        <v>95</v>
      </c>
      <c r="D80" s="867">
        <v>133</v>
      </c>
      <c r="E80" s="867">
        <v>152</v>
      </c>
      <c r="F80" s="867">
        <v>228</v>
      </c>
      <c r="G80" s="868">
        <v>380</v>
      </c>
    </row>
    <row r="81" spans="1:7">
      <c r="A81" s="1837"/>
      <c r="B81" s="876" t="s">
        <v>125</v>
      </c>
      <c r="C81" s="877">
        <v>95</v>
      </c>
      <c r="D81" s="878">
        <v>133</v>
      </c>
      <c r="E81" s="878">
        <v>152</v>
      </c>
      <c r="F81" s="878">
        <v>228</v>
      </c>
      <c r="G81" s="879">
        <v>380</v>
      </c>
    </row>
    <row r="82" spans="1:7" ht="5.25" customHeight="1" thickBot="1">
      <c r="A82" s="884"/>
      <c r="B82" s="885"/>
      <c r="C82" s="886"/>
      <c r="D82" s="886"/>
      <c r="E82" s="886"/>
      <c r="F82" s="886"/>
      <c r="G82" s="886"/>
    </row>
    <row r="83" spans="1:7" ht="13.5" customHeight="1" thickBot="1">
      <c r="A83" s="1837">
        <v>42758</v>
      </c>
      <c r="B83" s="880" t="s">
        <v>123</v>
      </c>
      <c r="C83" s="881">
        <v>95</v>
      </c>
      <c r="D83" s="882">
        <v>133</v>
      </c>
      <c r="E83" s="882" t="s">
        <v>126</v>
      </c>
      <c r="F83" s="882" t="s">
        <v>126</v>
      </c>
      <c r="G83" s="883">
        <v>380</v>
      </c>
    </row>
    <row r="84" spans="1:7" ht="13.5" customHeight="1" thickBot="1">
      <c r="A84" s="1837"/>
      <c r="B84" s="865" t="s">
        <v>124</v>
      </c>
      <c r="C84" s="866">
        <v>95</v>
      </c>
      <c r="D84" s="867">
        <v>133</v>
      </c>
      <c r="E84" s="867">
        <v>152</v>
      </c>
      <c r="F84" s="867">
        <v>228</v>
      </c>
      <c r="G84" s="868">
        <v>380</v>
      </c>
    </row>
    <row r="85" spans="1:7" ht="12" customHeight="1" thickBot="1">
      <c r="A85" s="1838"/>
      <c r="B85" s="869" t="s">
        <v>125</v>
      </c>
      <c r="C85" s="870">
        <v>95</v>
      </c>
      <c r="D85" s="871">
        <v>133</v>
      </c>
      <c r="E85" s="871">
        <v>152</v>
      </c>
      <c r="F85" s="871">
        <v>228</v>
      </c>
      <c r="G85" s="872">
        <v>380</v>
      </c>
    </row>
    <row r="86" spans="1:7" ht="6.75" customHeight="1" thickBot="1">
      <c r="A86" s="857"/>
      <c r="B86" s="858"/>
      <c r="C86" s="859"/>
      <c r="D86" s="859"/>
      <c r="E86" s="859"/>
      <c r="F86" s="859"/>
      <c r="G86" s="859"/>
    </row>
    <row r="87" spans="1:7" ht="15.75" thickBot="1">
      <c r="A87" s="1836">
        <v>42765</v>
      </c>
      <c r="B87" s="860" t="s">
        <v>123</v>
      </c>
      <c r="C87" s="861">
        <v>95</v>
      </c>
      <c r="D87" s="862">
        <v>133</v>
      </c>
      <c r="E87" s="862" t="s">
        <v>126</v>
      </c>
      <c r="F87" s="862" t="s">
        <v>126</v>
      </c>
      <c r="G87" s="863">
        <v>380</v>
      </c>
    </row>
    <row r="88" spans="1:7" ht="15.75" thickBot="1">
      <c r="A88" s="1837"/>
      <c r="B88" s="865" t="s">
        <v>124</v>
      </c>
      <c r="C88" s="866">
        <v>95</v>
      </c>
      <c r="D88" s="867">
        <v>133</v>
      </c>
      <c r="E88" s="867">
        <v>152</v>
      </c>
      <c r="F88" s="867">
        <v>228</v>
      </c>
      <c r="G88" s="868">
        <v>380</v>
      </c>
    </row>
    <row r="89" spans="1:7" ht="15.75" thickBot="1">
      <c r="A89" s="1838"/>
      <c r="B89" s="869" t="s">
        <v>125</v>
      </c>
      <c r="C89" s="870">
        <v>95</v>
      </c>
      <c r="D89" s="871">
        <v>133</v>
      </c>
      <c r="E89" s="871">
        <v>152</v>
      </c>
      <c r="F89" s="871">
        <v>228</v>
      </c>
      <c r="G89" s="872">
        <v>380</v>
      </c>
    </row>
    <row r="90" spans="1:7" ht="15.75" thickBot="1">
      <c r="A90" s="873" t="s">
        <v>572</v>
      </c>
      <c r="B90" s="858"/>
      <c r="C90" s="859"/>
      <c r="D90" s="859"/>
      <c r="E90" s="859"/>
      <c r="F90" s="859"/>
      <c r="G90" s="859"/>
    </row>
    <row r="91" spans="1:7" ht="15.75" thickBot="1">
      <c r="A91" s="874"/>
      <c r="B91" s="874"/>
      <c r="C91" s="875" t="s">
        <v>118</v>
      </c>
      <c r="D91" s="855" t="s">
        <v>119</v>
      </c>
      <c r="E91" s="854" t="s">
        <v>120</v>
      </c>
      <c r="F91" s="855" t="s">
        <v>121</v>
      </c>
      <c r="G91" s="856" t="s">
        <v>122</v>
      </c>
    </row>
  </sheetData>
  <mergeCells count="29">
    <mergeCell ref="A8:G8"/>
    <mergeCell ref="A2:G2"/>
    <mergeCell ref="A3:G3"/>
    <mergeCell ref="A4:G4"/>
    <mergeCell ref="A5:G5"/>
    <mergeCell ref="A6:G6"/>
    <mergeCell ref="A48:G48"/>
    <mergeCell ref="A12:A14"/>
    <mergeCell ref="A16:A18"/>
    <mergeCell ref="A20:A22"/>
    <mergeCell ref="A24:A26"/>
    <mergeCell ref="A28:A30"/>
    <mergeCell ref="A32:A34"/>
    <mergeCell ref="A36:A38"/>
    <mergeCell ref="A40:A42"/>
    <mergeCell ref="A45:G45"/>
    <mergeCell ref="A46:G46"/>
    <mergeCell ref="A47:G47"/>
    <mergeCell ref="A71:A73"/>
    <mergeCell ref="A87:A89"/>
    <mergeCell ref="A49:G49"/>
    <mergeCell ref="A51:G51"/>
    <mergeCell ref="A55:A57"/>
    <mergeCell ref="A59:A61"/>
    <mergeCell ref="A63:A65"/>
    <mergeCell ref="A67:A69"/>
    <mergeCell ref="A75:A77"/>
    <mergeCell ref="A79:A81"/>
    <mergeCell ref="A83:A85"/>
  </mergeCells>
  <pageMargins left="1.1023622047244095" right="0.70866141732283472" top="1.3385826771653544" bottom="0.74803149606299213" header="0.31496062992125984" footer="0.31496062992125984"/>
  <pageSetup scale="98" orientation="portrait" r:id="rId1"/>
  <rowBreaks count="1" manualBreakCount="1">
    <brk id="44" max="6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9"/>
  <dimension ref="A1:P292"/>
  <sheetViews>
    <sheetView zoomScaleNormal="100" zoomScaleSheetLayoutView="130" workbookViewId="0">
      <selection activeCell="A14" sqref="A14:A16"/>
    </sheetView>
  </sheetViews>
  <sheetFormatPr baseColWidth="10" defaultColWidth="11.42578125" defaultRowHeight="12.75"/>
  <cols>
    <col min="1" max="1" width="12.7109375" customWidth="1"/>
    <col min="2" max="2" width="29.5703125" customWidth="1"/>
    <col min="3" max="3" width="12.28515625" bestFit="1" customWidth="1"/>
  </cols>
  <sheetData>
    <row r="1" spans="1:7">
      <c r="A1" s="1004" t="s">
        <v>54</v>
      </c>
      <c r="B1" s="1004"/>
      <c r="C1" s="1003"/>
      <c r="D1" s="548"/>
      <c r="E1" s="548"/>
      <c r="F1" s="548"/>
      <c r="G1" s="548"/>
    </row>
    <row r="2" spans="1:7">
      <c r="A2" s="1004" t="s">
        <v>569</v>
      </c>
      <c r="B2" s="1004"/>
      <c r="C2" s="1003"/>
      <c r="D2" s="548"/>
      <c r="E2" s="548"/>
      <c r="F2" s="548"/>
      <c r="G2" s="548"/>
    </row>
    <row r="3" spans="1:7" ht="30.6" customHeight="1">
      <c r="A3" s="1001"/>
      <c r="B3" s="1001"/>
      <c r="C3" s="1001"/>
      <c r="D3" s="1001"/>
      <c r="E3" s="1001"/>
      <c r="F3" s="1001"/>
      <c r="G3" s="1001"/>
    </row>
    <row r="4" spans="1:7" ht="22.5">
      <c r="A4" s="1780" t="s">
        <v>604</v>
      </c>
      <c r="B4" s="1780"/>
      <c r="C4" s="1780"/>
      <c r="D4" s="1780"/>
      <c r="E4" s="1780"/>
      <c r="F4" s="1780"/>
      <c r="G4" s="1780"/>
    </row>
    <row r="5" spans="1:7" ht="22.5">
      <c r="A5" s="1780" t="s">
        <v>603</v>
      </c>
      <c r="B5" s="1780"/>
      <c r="C5" s="1780"/>
      <c r="D5" s="1780"/>
      <c r="E5" s="1780"/>
      <c r="F5" s="1780"/>
      <c r="G5" s="1780"/>
    </row>
    <row r="6" spans="1:7" ht="22.5">
      <c r="A6" s="1780" t="s">
        <v>634</v>
      </c>
      <c r="B6" s="1780"/>
      <c r="C6" s="1780"/>
      <c r="D6" s="1780"/>
      <c r="E6" s="1780"/>
      <c r="F6" s="1780"/>
      <c r="G6" s="1780"/>
    </row>
    <row r="7" spans="1:7" ht="5.25" customHeight="1">
      <c r="A7" s="994"/>
      <c r="B7" s="994"/>
      <c r="C7" s="994"/>
      <c r="D7" s="994"/>
      <c r="E7" s="994"/>
      <c r="F7" s="994"/>
      <c r="G7" s="994"/>
    </row>
    <row r="8" spans="1:7" ht="13.5">
      <c r="A8" s="1781" t="s">
        <v>605</v>
      </c>
      <c r="B8" s="1781"/>
      <c r="C8" s="1781"/>
      <c r="D8" s="1781"/>
      <c r="E8" s="1781"/>
      <c r="F8" s="1781"/>
      <c r="G8" s="1781"/>
    </row>
    <row r="9" spans="1:7" ht="3.75" customHeight="1">
      <c r="A9" s="1002"/>
      <c r="B9" s="1002"/>
      <c r="C9" s="1002"/>
      <c r="D9" s="1002"/>
      <c r="E9" s="1002"/>
      <c r="F9" s="1002"/>
      <c r="G9" s="1002"/>
    </row>
    <row r="10" spans="1:7" ht="13.5" thickBot="1">
      <c r="A10" s="1559" t="s">
        <v>115</v>
      </c>
      <c r="B10" s="1559"/>
      <c r="C10" s="1559"/>
      <c r="D10" s="1559"/>
      <c r="E10" s="1559"/>
      <c r="F10" s="1559"/>
      <c r="G10" s="1559"/>
    </row>
    <row r="11" spans="1:7" ht="41.45" customHeight="1" thickBot="1">
      <c r="A11" s="1005" t="s">
        <v>116</v>
      </c>
      <c r="B11" s="1024" t="s">
        <v>117</v>
      </c>
      <c r="C11" s="1006" t="s">
        <v>118</v>
      </c>
      <c r="D11" s="1007" t="s">
        <v>119</v>
      </c>
      <c r="E11" s="1006" t="s">
        <v>120</v>
      </c>
      <c r="F11" s="1007" t="s">
        <v>121</v>
      </c>
      <c r="G11" s="1008" t="s">
        <v>122</v>
      </c>
    </row>
    <row r="12" spans="1:7" ht="3" customHeight="1">
      <c r="A12" s="995"/>
      <c r="B12" s="125"/>
      <c r="C12" s="125"/>
      <c r="D12" s="125"/>
      <c r="E12" s="125"/>
      <c r="F12" s="125"/>
      <c r="G12" s="996"/>
    </row>
    <row r="13" spans="1:7" ht="3" customHeight="1" thickBot="1">
      <c r="A13" s="997"/>
      <c r="B13" s="589"/>
      <c r="C13" s="937"/>
      <c r="D13" s="937"/>
      <c r="E13" s="937"/>
      <c r="F13" s="937"/>
      <c r="G13" s="1000"/>
    </row>
    <row r="14" spans="1:7" ht="14.25" customHeight="1">
      <c r="A14" s="1776">
        <v>43104</v>
      </c>
      <c r="B14" s="901" t="s">
        <v>123</v>
      </c>
      <c r="C14" s="931">
        <v>120</v>
      </c>
      <c r="D14" s="931">
        <v>168</v>
      </c>
      <c r="E14" s="931" t="s">
        <v>126</v>
      </c>
      <c r="F14" s="931" t="s">
        <v>126</v>
      </c>
      <c r="G14" s="932">
        <v>480</v>
      </c>
    </row>
    <row r="15" spans="1:7" ht="14.25" customHeight="1">
      <c r="A15" s="1777"/>
      <c r="B15" s="902" t="s">
        <v>124</v>
      </c>
      <c r="C15" s="933">
        <v>120</v>
      </c>
      <c r="D15" s="933">
        <v>168</v>
      </c>
      <c r="E15" s="933">
        <v>192</v>
      </c>
      <c r="F15" s="933">
        <v>288</v>
      </c>
      <c r="G15" s="934">
        <v>480</v>
      </c>
    </row>
    <row r="16" spans="1:7" ht="14.25" customHeight="1" thickBot="1">
      <c r="A16" s="1778"/>
      <c r="B16" s="903" t="s">
        <v>602</v>
      </c>
      <c r="C16" s="935">
        <v>120</v>
      </c>
      <c r="D16" s="935">
        <v>168</v>
      </c>
      <c r="E16" s="935">
        <v>192</v>
      </c>
      <c r="F16" s="935">
        <v>288</v>
      </c>
      <c r="G16" s="936">
        <v>480</v>
      </c>
    </row>
    <row r="17" spans="1:7" ht="3.75" customHeight="1" thickBot="1">
      <c r="A17" s="997"/>
      <c r="B17" s="589"/>
      <c r="C17" s="937"/>
      <c r="D17" s="937"/>
      <c r="E17" s="937"/>
      <c r="F17" s="937"/>
      <c r="G17" s="1000"/>
    </row>
    <row r="18" spans="1:7" ht="14.25" customHeight="1">
      <c r="A18" s="1776">
        <v>43109</v>
      </c>
      <c r="B18" s="901" t="s">
        <v>123</v>
      </c>
      <c r="C18" s="931">
        <v>120</v>
      </c>
      <c r="D18" s="931">
        <v>168</v>
      </c>
      <c r="E18" s="931" t="s">
        <v>126</v>
      </c>
      <c r="F18" s="931" t="s">
        <v>126</v>
      </c>
      <c r="G18" s="932">
        <v>480</v>
      </c>
    </row>
    <row r="19" spans="1:7" ht="14.25" customHeight="1">
      <c r="A19" s="1777"/>
      <c r="B19" s="902" t="s">
        <v>124</v>
      </c>
      <c r="C19" s="933">
        <v>120</v>
      </c>
      <c r="D19" s="933">
        <v>168</v>
      </c>
      <c r="E19" s="933">
        <v>192</v>
      </c>
      <c r="F19" s="933">
        <v>288</v>
      </c>
      <c r="G19" s="934">
        <v>480</v>
      </c>
    </row>
    <row r="20" spans="1:7" ht="14.25" customHeight="1" thickBot="1">
      <c r="A20" s="1778"/>
      <c r="B20" s="903" t="s">
        <v>602</v>
      </c>
      <c r="C20" s="935">
        <v>120</v>
      </c>
      <c r="D20" s="935">
        <v>168</v>
      </c>
      <c r="E20" s="935">
        <v>192</v>
      </c>
      <c r="F20" s="935">
        <v>288</v>
      </c>
      <c r="G20" s="936">
        <v>480</v>
      </c>
    </row>
    <row r="21" spans="1:7" ht="3.75" customHeight="1" thickBot="1">
      <c r="A21" s="997"/>
      <c r="B21" s="589"/>
      <c r="C21" s="937"/>
      <c r="D21" s="937"/>
      <c r="E21" s="937"/>
      <c r="F21" s="937"/>
      <c r="G21" s="1000"/>
    </row>
    <row r="22" spans="1:7" ht="14.25" customHeight="1">
      <c r="A22" s="1776">
        <v>43116</v>
      </c>
      <c r="B22" s="901" t="s">
        <v>123</v>
      </c>
      <c r="C22" s="931">
        <v>120</v>
      </c>
      <c r="D22" s="931">
        <v>168</v>
      </c>
      <c r="E22" s="931" t="s">
        <v>126</v>
      </c>
      <c r="F22" s="931" t="s">
        <v>126</v>
      </c>
      <c r="G22" s="932">
        <v>480</v>
      </c>
    </row>
    <row r="23" spans="1:7" ht="14.25" customHeight="1">
      <c r="A23" s="1777"/>
      <c r="B23" s="902" t="s">
        <v>124</v>
      </c>
      <c r="C23" s="933">
        <v>120</v>
      </c>
      <c r="D23" s="933">
        <v>168</v>
      </c>
      <c r="E23" s="933">
        <v>192</v>
      </c>
      <c r="F23" s="933">
        <v>288</v>
      </c>
      <c r="G23" s="934">
        <v>480</v>
      </c>
    </row>
    <row r="24" spans="1:7" ht="14.25" customHeight="1" thickBot="1">
      <c r="A24" s="1778"/>
      <c r="B24" s="903" t="s">
        <v>602</v>
      </c>
      <c r="C24" s="935">
        <v>120</v>
      </c>
      <c r="D24" s="935">
        <v>168</v>
      </c>
      <c r="E24" s="935">
        <v>192</v>
      </c>
      <c r="F24" s="935">
        <v>288</v>
      </c>
      <c r="G24" s="936">
        <v>480</v>
      </c>
    </row>
    <row r="25" spans="1:7" ht="3.75" customHeight="1" thickBot="1">
      <c r="A25" s="997"/>
      <c r="B25" s="589"/>
      <c r="C25" s="937"/>
      <c r="D25" s="937"/>
      <c r="E25" s="937"/>
      <c r="F25" s="937"/>
      <c r="G25" s="1000"/>
    </row>
    <row r="26" spans="1:7" ht="14.25" customHeight="1">
      <c r="A26" s="1776">
        <v>43123</v>
      </c>
      <c r="B26" s="901" t="s">
        <v>123</v>
      </c>
      <c r="C26" s="931">
        <v>120</v>
      </c>
      <c r="D26" s="931">
        <v>168</v>
      </c>
      <c r="E26" s="931" t="s">
        <v>126</v>
      </c>
      <c r="F26" s="931" t="s">
        <v>126</v>
      </c>
      <c r="G26" s="932">
        <v>480</v>
      </c>
    </row>
    <row r="27" spans="1:7" ht="14.25" customHeight="1">
      <c r="A27" s="1777"/>
      <c r="B27" s="902" t="s">
        <v>124</v>
      </c>
      <c r="C27" s="933">
        <v>120</v>
      </c>
      <c r="D27" s="933">
        <v>168</v>
      </c>
      <c r="E27" s="933">
        <v>192</v>
      </c>
      <c r="F27" s="933">
        <v>288</v>
      </c>
      <c r="G27" s="934">
        <v>480</v>
      </c>
    </row>
    <row r="28" spans="1:7" ht="14.25" customHeight="1" thickBot="1">
      <c r="A28" s="1778"/>
      <c r="B28" s="903" t="s">
        <v>602</v>
      </c>
      <c r="C28" s="935">
        <v>120</v>
      </c>
      <c r="D28" s="935">
        <v>168</v>
      </c>
      <c r="E28" s="935">
        <v>192</v>
      </c>
      <c r="F28" s="935">
        <v>288</v>
      </c>
      <c r="G28" s="936">
        <v>480</v>
      </c>
    </row>
    <row r="29" spans="1:7" ht="6" customHeight="1" thickBot="1">
      <c r="A29" s="997"/>
      <c r="B29" s="589"/>
      <c r="C29" s="937"/>
      <c r="D29" s="937"/>
      <c r="E29" s="937"/>
      <c r="F29" s="937"/>
      <c r="G29" s="1000"/>
    </row>
    <row r="30" spans="1:7" ht="14.25" customHeight="1">
      <c r="A30" s="1776">
        <v>43130</v>
      </c>
      <c r="B30" s="901" t="s">
        <v>123</v>
      </c>
      <c r="C30" s="931">
        <v>120</v>
      </c>
      <c r="D30" s="931">
        <v>168</v>
      </c>
      <c r="E30" s="931" t="s">
        <v>126</v>
      </c>
      <c r="F30" s="931" t="s">
        <v>126</v>
      </c>
      <c r="G30" s="932">
        <v>480</v>
      </c>
    </row>
    <row r="31" spans="1:7" ht="14.25" customHeight="1">
      <c r="A31" s="1777"/>
      <c r="B31" s="902" t="s">
        <v>124</v>
      </c>
      <c r="C31" s="933">
        <v>120</v>
      </c>
      <c r="D31" s="933">
        <v>168</v>
      </c>
      <c r="E31" s="933">
        <v>192</v>
      </c>
      <c r="F31" s="933">
        <v>288</v>
      </c>
      <c r="G31" s="934">
        <v>480</v>
      </c>
    </row>
    <row r="32" spans="1:7" ht="14.25" customHeight="1" thickBot="1">
      <c r="A32" s="1778"/>
      <c r="B32" s="903" t="s">
        <v>602</v>
      </c>
      <c r="C32" s="935">
        <v>120</v>
      </c>
      <c r="D32" s="935">
        <v>168</v>
      </c>
      <c r="E32" s="935">
        <v>192</v>
      </c>
      <c r="F32" s="935">
        <v>288</v>
      </c>
      <c r="G32" s="936">
        <v>480</v>
      </c>
    </row>
    <row r="33" spans="1:7" ht="5.25" customHeight="1" thickBot="1">
      <c r="A33" s="997"/>
      <c r="B33" s="589"/>
      <c r="C33" s="937"/>
      <c r="D33" s="937"/>
      <c r="E33" s="937"/>
      <c r="F33" s="937"/>
      <c r="G33" s="1000"/>
    </row>
    <row r="34" spans="1:7" ht="14.25" customHeight="1">
      <c r="A34" s="1776">
        <v>43137</v>
      </c>
      <c r="B34" s="901" t="s">
        <v>123</v>
      </c>
      <c r="C34" s="931">
        <v>120</v>
      </c>
      <c r="D34" s="931">
        <v>168</v>
      </c>
      <c r="E34" s="931" t="s">
        <v>126</v>
      </c>
      <c r="F34" s="931" t="s">
        <v>126</v>
      </c>
      <c r="G34" s="932">
        <v>480</v>
      </c>
    </row>
    <row r="35" spans="1:7" ht="14.25" customHeight="1">
      <c r="A35" s="1777"/>
      <c r="B35" s="902" t="s">
        <v>124</v>
      </c>
      <c r="C35" s="933">
        <v>120</v>
      </c>
      <c r="D35" s="933">
        <v>168</v>
      </c>
      <c r="E35" s="933">
        <v>192</v>
      </c>
      <c r="F35" s="933">
        <v>288</v>
      </c>
      <c r="G35" s="934">
        <v>480</v>
      </c>
    </row>
    <row r="36" spans="1:7" ht="14.25" customHeight="1" thickBot="1">
      <c r="A36" s="1778"/>
      <c r="B36" s="903" t="s">
        <v>602</v>
      </c>
      <c r="C36" s="935">
        <v>120</v>
      </c>
      <c r="D36" s="935">
        <v>168</v>
      </c>
      <c r="E36" s="935">
        <v>192</v>
      </c>
      <c r="F36" s="935">
        <v>288</v>
      </c>
      <c r="G36" s="936">
        <v>480</v>
      </c>
    </row>
    <row r="37" spans="1:7" ht="4.5" customHeight="1" thickBot="1">
      <c r="A37" s="997"/>
      <c r="B37" s="589"/>
      <c r="C37" s="937"/>
      <c r="D37" s="937"/>
      <c r="E37" s="937"/>
      <c r="F37" s="937"/>
      <c r="G37" s="1000"/>
    </row>
    <row r="38" spans="1:7" ht="14.25" customHeight="1">
      <c r="A38" s="1776">
        <v>43144</v>
      </c>
      <c r="B38" s="901" t="s">
        <v>123</v>
      </c>
      <c r="C38" s="931">
        <v>120</v>
      </c>
      <c r="D38" s="931">
        <v>168</v>
      </c>
      <c r="E38" s="931" t="s">
        <v>126</v>
      </c>
      <c r="F38" s="931" t="s">
        <v>126</v>
      </c>
      <c r="G38" s="932">
        <v>480</v>
      </c>
    </row>
    <row r="39" spans="1:7" ht="14.25" customHeight="1">
      <c r="A39" s="1777"/>
      <c r="B39" s="902" t="s">
        <v>124</v>
      </c>
      <c r="C39" s="933">
        <v>120</v>
      </c>
      <c r="D39" s="933">
        <v>168</v>
      </c>
      <c r="E39" s="933">
        <v>192</v>
      </c>
      <c r="F39" s="933">
        <v>288</v>
      </c>
      <c r="G39" s="934">
        <v>480</v>
      </c>
    </row>
    <row r="40" spans="1:7" ht="14.25" customHeight="1" thickBot="1">
      <c r="A40" s="1778"/>
      <c r="B40" s="903" t="s">
        <v>602</v>
      </c>
      <c r="C40" s="935">
        <v>120</v>
      </c>
      <c r="D40" s="935">
        <v>168</v>
      </c>
      <c r="E40" s="935">
        <v>192</v>
      </c>
      <c r="F40" s="935">
        <v>288</v>
      </c>
      <c r="G40" s="936">
        <v>480</v>
      </c>
    </row>
    <row r="41" spans="1:7" ht="4.5" customHeight="1" thickBot="1">
      <c r="A41" s="997"/>
      <c r="B41" s="589"/>
      <c r="C41" s="937"/>
      <c r="D41" s="937"/>
      <c r="E41" s="937"/>
      <c r="F41" s="937"/>
      <c r="G41" s="1000"/>
    </row>
    <row r="42" spans="1:7" ht="14.25" customHeight="1">
      <c r="A42" s="1776">
        <v>43151</v>
      </c>
      <c r="B42" s="901" t="s">
        <v>123</v>
      </c>
      <c r="C42" s="931">
        <v>120</v>
      </c>
      <c r="D42" s="931">
        <v>168</v>
      </c>
      <c r="E42" s="931" t="s">
        <v>126</v>
      </c>
      <c r="F42" s="931" t="s">
        <v>126</v>
      </c>
      <c r="G42" s="932">
        <v>480</v>
      </c>
    </row>
    <row r="43" spans="1:7" ht="14.25" customHeight="1">
      <c r="A43" s="1777"/>
      <c r="B43" s="902" t="s">
        <v>124</v>
      </c>
      <c r="C43" s="933">
        <v>120</v>
      </c>
      <c r="D43" s="933">
        <v>168</v>
      </c>
      <c r="E43" s="933">
        <v>192</v>
      </c>
      <c r="F43" s="933">
        <v>288</v>
      </c>
      <c r="G43" s="934">
        <v>480</v>
      </c>
    </row>
    <row r="44" spans="1:7" ht="14.25" customHeight="1" thickBot="1">
      <c r="A44" s="1778"/>
      <c r="B44" s="903" t="s">
        <v>602</v>
      </c>
      <c r="C44" s="935">
        <v>120</v>
      </c>
      <c r="D44" s="935">
        <v>168</v>
      </c>
      <c r="E44" s="935">
        <v>192</v>
      </c>
      <c r="F44" s="935">
        <v>288</v>
      </c>
      <c r="G44" s="936">
        <v>480</v>
      </c>
    </row>
    <row r="45" spans="1:7" ht="4.5" customHeight="1" thickBot="1">
      <c r="A45" s="997"/>
      <c r="B45" s="589"/>
      <c r="C45" s="937"/>
      <c r="D45" s="937"/>
      <c r="E45" s="937"/>
      <c r="F45" s="937"/>
      <c r="G45" s="1000"/>
    </row>
    <row r="46" spans="1:7" ht="14.25" customHeight="1">
      <c r="A46" s="1776">
        <v>43158</v>
      </c>
      <c r="B46" s="901" t="s">
        <v>123</v>
      </c>
      <c r="C46" s="931">
        <v>120</v>
      </c>
      <c r="D46" s="931">
        <v>168</v>
      </c>
      <c r="E46" s="931" t="s">
        <v>126</v>
      </c>
      <c r="F46" s="931" t="s">
        <v>126</v>
      </c>
      <c r="G46" s="932">
        <v>480</v>
      </c>
    </row>
    <row r="47" spans="1:7" ht="14.25" customHeight="1">
      <c r="A47" s="1777"/>
      <c r="B47" s="902" t="s">
        <v>124</v>
      </c>
      <c r="C47" s="933">
        <v>120</v>
      </c>
      <c r="D47" s="933">
        <v>168</v>
      </c>
      <c r="E47" s="933">
        <v>192</v>
      </c>
      <c r="F47" s="933">
        <v>288</v>
      </c>
      <c r="G47" s="934">
        <v>480</v>
      </c>
    </row>
    <row r="48" spans="1:7" ht="14.25" customHeight="1" thickBot="1">
      <c r="A48" s="1778"/>
      <c r="B48" s="903" t="s">
        <v>602</v>
      </c>
      <c r="C48" s="935">
        <v>120</v>
      </c>
      <c r="D48" s="935">
        <v>168</v>
      </c>
      <c r="E48" s="935">
        <v>192</v>
      </c>
      <c r="F48" s="935">
        <v>288</v>
      </c>
      <c r="G48" s="936">
        <v>480</v>
      </c>
    </row>
    <row r="49" spans="1:7" ht="4.5" customHeight="1" thickBot="1">
      <c r="A49" s="997"/>
      <c r="B49" s="589"/>
      <c r="C49" s="937"/>
      <c r="D49" s="937"/>
      <c r="E49" s="937"/>
      <c r="F49" s="937"/>
      <c r="G49" s="1000"/>
    </row>
    <row r="50" spans="1:7" ht="14.25" customHeight="1">
      <c r="A50" s="1776">
        <v>43165</v>
      </c>
      <c r="B50" s="901" t="s">
        <v>123</v>
      </c>
      <c r="C50" s="931">
        <v>120</v>
      </c>
      <c r="D50" s="931">
        <v>168</v>
      </c>
      <c r="E50" s="931" t="s">
        <v>126</v>
      </c>
      <c r="F50" s="931" t="s">
        <v>126</v>
      </c>
      <c r="G50" s="932">
        <v>480</v>
      </c>
    </row>
    <row r="51" spans="1:7" ht="14.25" customHeight="1">
      <c r="A51" s="1777"/>
      <c r="B51" s="902" t="s">
        <v>124</v>
      </c>
      <c r="C51" s="933">
        <v>120</v>
      </c>
      <c r="D51" s="933">
        <v>168</v>
      </c>
      <c r="E51" s="933">
        <v>192</v>
      </c>
      <c r="F51" s="933">
        <v>288</v>
      </c>
      <c r="G51" s="934">
        <v>480</v>
      </c>
    </row>
    <row r="52" spans="1:7" ht="14.25" customHeight="1" thickBot="1">
      <c r="A52" s="1778"/>
      <c r="B52" s="903" t="s">
        <v>602</v>
      </c>
      <c r="C52" s="935">
        <v>120</v>
      </c>
      <c r="D52" s="935">
        <v>168</v>
      </c>
      <c r="E52" s="935">
        <v>192</v>
      </c>
      <c r="F52" s="935">
        <v>288</v>
      </c>
      <c r="G52" s="936">
        <v>480</v>
      </c>
    </row>
    <row r="53" spans="1:7" ht="4.5" customHeight="1" thickBot="1">
      <c r="A53" s="997"/>
      <c r="B53" s="589"/>
      <c r="C53" s="937"/>
      <c r="D53" s="937"/>
      <c r="E53" s="937"/>
      <c r="F53" s="937"/>
      <c r="G53" s="1000"/>
    </row>
    <row r="54" spans="1:7" ht="14.25" customHeight="1">
      <c r="A54" s="1776">
        <v>43172</v>
      </c>
      <c r="B54" s="901" t="s">
        <v>123</v>
      </c>
      <c r="C54" s="931">
        <v>120</v>
      </c>
      <c r="D54" s="931">
        <v>168</v>
      </c>
      <c r="E54" s="931" t="s">
        <v>126</v>
      </c>
      <c r="F54" s="931" t="s">
        <v>126</v>
      </c>
      <c r="G54" s="932">
        <v>480</v>
      </c>
    </row>
    <row r="55" spans="1:7" ht="14.25" customHeight="1">
      <c r="A55" s="1777"/>
      <c r="B55" s="902" t="s">
        <v>124</v>
      </c>
      <c r="C55" s="933">
        <v>120</v>
      </c>
      <c r="D55" s="933">
        <v>168</v>
      </c>
      <c r="E55" s="933">
        <v>192</v>
      </c>
      <c r="F55" s="933">
        <v>288</v>
      </c>
      <c r="G55" s="934">
        <v>480</v>
      </c>
    </row>
    <row r="56" spans="1:7" ht="14.25" customHeight="1" thickBot="1">
      <c r="A56" s="1778"/>
      <c r="B56" s="903" t="s">
        <v>602</v>
      </c>
      <c r="C56" s="935">
        <v>120</v>
      </c>
      <c r="D56" s="935">
        <v>168</v>
      </c>
      <c r="E56" s="935">
        <v>192</v>
      </c>
      <c r="F56" s="935">
        <v>288</v>
      </c>
      <c r="G56" s="936">
        <v>480</v>
      </c>
    </row>
    <row r="57" spans="1:7" ht="4.5" customHeight="1" thickBot="1">
      <c r="A57" s="997"/>
      <c r="B57" s="589"/>
      <c r="C57" s="937"/>
      <c r="D57" s="937"/>
      <c r="E57" s="937"/>
      <c r="F57" s="937"/>
      <c r="G57" s="1000"/>
    </row>
    <row r="58" spans="1:7" ht="14.25" customHeight="1">
      <c r="A58" s="1776">
        <v>43179</v>
      </c>
      <c r="B58" s="901" t="s">
        <v>123</v>
      </c>
      <c r="C58" s="931">
        <v>120</v>
      </c>
      <c r="D58" s="931">
        <v>168</v>
      </c>
      <c r="E58" s="931" t="s">
        <v>126</v>
      </c>
      <c r="F58" s="931" t="s">
        <v>126</v>
      </c>
      <c r="G58" s="932">
        <v>480</v>
      </c>
    </row>
    <row r="59" spans="1:7" ht="14.25" customHeight="1">
      <c r="A59" s="1777"/>
      <c r="B59" s="902" t="s">
        <v>124</v>
      </c>
      <c r="C59" s="933">
        <v>120</v>
      </c>
      <c r="D59" s="933">
        <v>168</v>
      </c>
      <c r="E59" s="933">
        <v>192</v>
      </c>
      <c r="F59" s="933">
        <v>288</v>
      </c>
      <c r="G59" s="934">
        <v>480</v>
      </c>
    </row>
    <row r="60" spans="1:7" ht="14.25" customHeight="1" thickBot="1">
      <c r="A60" s="1778"/>
      <c r="B60" s="903" t="s">
        <v>602</v>
      </c>
      <c r="C60" s="935">
        <v>120</v>
      </c>
      <c r="D60" s="935">
        <v>168</v>
      </c>
      <c r="E60" s="935">
        <v>192</v>
      </c>
      <c r="F60" s="935">
        <v>288</v>
      </c>
      <c r="G60" s="936">
        <v>480</v>
      </c>
    </row>
    <row r="61" spans="1:7" ht="5.25" customHeight="1" thickBot="1">
      <c r="A61" s="997"/>
      <c r="B61" s="589"/>
      <c r="C61" s="937"/>
      <c r="D61" s="937"/>
      <c r="E61" s="937"/>
      <c r="F61" s="937"/>
      <c r="G61" s="1000"/>
    </row>
    <row r="62" spans="1:7" ht="14.25" customHeight="1">
      <c r="A62" s="1776">
        <v>43186</v>
      </c>
      <c r="B62" s="901" t="s">
        <v>123</v>
      </c>
      <c r="C62" s="931">
        <v>120</v>
      </c>
      <c r="D62" s="931">
        <v>168</v>
      </c>
      <c r="E62" s="931" t="s">
        <v>126</v>
      </c>
      <c r="F62" s="931" t="s">
        <v>126</v>
      </c>
      <c r="G62" s="932">
        <v>480</v>
      </c>
    </row>
    <row r="63" spans="1:7" ht="14.25" customHeight="1">
      <c r="A63" s="1777"/>
      <c r="B63" s="902" t="s">
        <v>124</v>
      </c>
      <c r="C63" s="933">
        <v>120</v>
      </c>
      <c r="D63" s="933">
        <v>168</v>
      </c>
      <c r="E63" s="933">
        <v>192</v>
      </c>
      <c r="F63" s="933">
        <v>288</v>
      </c>
      <c r="G63" s="934">
        <v>480</v>
      </c>
    </row>
    <row r="64" spans="1:7" ht="14.25" customHeight="1" thickBot="1">
      <c r="A64" s="1778"/>
      <c r="B64" s="903" t="s">
        <v>602</v>
      </c>
      <c r="C64" s="935">
        <v>120</v>
      </c>
      <c r="D64" s="935">
        <v>168</v>
      </c>
      <c r="E64" s="935">
        <v>192</v>
      </c>
      <c r="F64" s="935">
        <v>288</v>
      </c>
      <c r="G64" s="936">
        <v>480</v>
      </c>
    </row>
    <row r="65" spans="1:7" ht="5.25" customHeight="1" thickBot="1">
      <c r="A65" s="997"/>
      <c r="B65" s="589"/>
      <c r="C65" s="937"/>
      <c r="D65" s="937"/>
      <c r="E65" s="937"/>
      <c r="F65" s="937"/>
      <c r="G65" s="1000"/>
    </row>
    <row r="66" spans="1:7" ht="14.25" customHeight="1">
      <c r="A66" s="1776">
        <v>43193</v>
      </c>
      <c r="B66" s="901" t="s">
        <v>123</v>
      </c>
      <c r="C66" s="931">
        <v>120</v>
      </c>
      <c r="D66" s="931">
        <v>168</v>
      </c>
      <c r="E66" s="931" t="s">
        <v>126</v>
      </c>
      <c r="F66" s="931" t="s">
        <v>126</v>
      </c>
      <c r="G66" s="932">
        <v>480</v>
      </c>
    </row>
    <row r="67" spans="1:7" ht="14.25" customHeight="1">
      <c r="A67" s="1777"/>
      <c r="B67" s="902" t="s">
        <v>124</v>
      </c>
      <c r="C67" s="933">
        <v>120</v>
      </c>
      <c r="D67" s="933">
        <v>168</v>
      </c>
      <c r="E67" s="933">
        <v>192</v>
      </c>
      <c r="F67" s="933">
        <v>288</v>
      </c>
      <c r="G67" s="934">
        <v>480</v>
      </c>
    </row>
    <row r="68" spans="1:7" ht="14.25" customHeight="1" thickBot="1">
      <c r="A68" s="1778"/>
      <c r="B68" s="903" t="s">
        <v>602</v>
      </c>
      <c r="C68" s="935">
        <v>120</v>
      </c>
      <c r="D68" s="935">
        <v>168</v>
      </c>
      <c r="E68" s="935">
        <v>192</v>
      </c>
      <c r="F68" s="935">
        <v>288</v>
      </c>
      <c r="G68" s="936">
        <v>480</v>
      </c>
    </row>
    <row r="69" spans="1:7" ht="4.5" customHeight="1" thickBot="1">
      <c r="A69" s="997"/>
      <c r="B69" s="589"/>
      <c r="C69" s="937"/>
      <c r="D69" s="937"/>
      <c r="E69" s="937"/>
      <c r="F69" s="937"/>
      <c r="G69" s="1000"/>
    </row>
    <row r="70" spans="1:7" ht="14.25" customHeight="1">
      <c r="A70" s="1776">
        <v>43199</v>
      </c>
      <c r="B70" s="901" t="s">
        <v>123</v>
      </c>
      <c r="C70" s="931">
        <v>120</v>
      </c>
      <c r="D70" s="931">
        <v>168</v>
      </c>
      <c r="E70" s="931" t="s">
        <v>126</v>
      </c>
      <c r="F70" s="931" t="s">
        <v>126</v>
      </c>
      <c r="G70" s="932">
        <v>480</v>
      </c>
    </row>
    <row r="71" spans="1:7" ht="14.25" customHeight="1">
      <c r="A71" s="1777"/>
      <c r="B71" s="902" t="s">
        <v>124</v>
      </c>
      <c r="C71" s="933">
        <v>120</v>
      </c>
      <c r="D71" s="933">
        <v>168</v>
      </c>
      <c r="E71" s="933">
        <v>192</v>
      </c>
      <c r="F71" s="933">
        <v>288</v>
      </c>
      <c r="G71" s="934">
        <v>480</v>
      </c>
    </row>
    <row r="72" spans="1:7" ht="14.25" customHeight="1" thickBot="1">
      <c r="A72" s="1778"/>
      <c r="B72" s="903" t="s">
        <v>602</v>
      </c>
      <c r="C72" s="935">
        <v>120</v>
      </c>
      <c r="D72" s="935">
        <v>168</v>
      </c>
      <c r="E72" s="935">
        <v>192</v>
      </c>
      <c r="F72" s="935">
        <v>288</v>
      </c>
      <c r="G72" s="936">
        <v>480</v>
      </c>
    </row>
    <row r="73" spans="1:7" ht="3.75" customHeight="1" thickBot="1">
      <c r="A73" s="997"/>
      <c r="B73" s="589"/>
      <c r="C73" s="937"/>
      <c r="D73" s="937"/>
      <c r="E73" s="937"/>
      <c r="F73" s="937"/>
      <c r="G73" s="1000"/>
    </row>
    <row r="74" spans="1:7" ht="14.25" customHeight="1">
      <c r="A74" s="1776">
        <v>43206</v>
      </c>
      <c r="B74" s="901" t="s">
        <v>123</v>
      </c>
      <c r="C74" s="931">
        <v>120</v>
      </c>
      <c r="D74" s="931">
        <v>168</v>
      </c>
      <c r="E74" s="931" t="s">
        <v>126</v>
      </c>
      <c r="F74" s="931" t="s">
        <v>126</v>
      </c>
      <c r="G74" s="932">
        <v>480</v>
      </c>
    </row>
    <row r="75" spans="1:7" ht="14.25" customHeight="1">
      <c r="A75" s="1777"/>
      <c r="B75" s="902" t="s">
        <v>124</v>
      </c>
      <c r="C75" s="933">
        <v>120</v>
      </c>
      <c r="D75" s="933">
        <v>168</v>
      </c>
      <c r="E75" s="933">
        <v>192</v>
      </c>
      <c r="F75" s="933">
        <v>288</v>
      </c>
      <c r="G75" s="934">
        <v>480</v>
      </c>
    </row>
    <row r="76" spans="1:7" ht="14.25" customHeight="1" thickBot="1">
      <c r="A76" s="1778"/>
      <c r="B76" s="903" t="s">
        <v>602</v>
      </c>
      <c r="C76" s="935">
        <v>120</v>
      </c>
      <c r="D76" s="935">
        <v>168</v>
      </c>
      <c r="E76" s="935">
        <v>192</v>
      </c>
      <c r="F76" s="935">
        <v>288</v>
      </c>
      <c r="G76" s="936">
        <v>480</v>
      </c>
    </row>
    <row r="77" spans="1:7" ht="6" customHeight="1" thickBot="1">
      <c r="A77" s="997"/>
      <c r="B77" s="589"/>
      <c r="C77" s="937"/>
      <c r="D77" s="937"/>
      <c r="E77" s="937"/>
      <c r="F77" s="937"/>
      <c r="G77" s="1000"/>
    </row>
    <row r="78" spans="1:7" ht="14.25" customHeight="1">
      <c r="A78" s="1776">
        <v>43213</v>
      </c>
      <c r="B78" s="901" t="s">
        <v>123</v>
      </c>
      <c r="C78" s="931">
        <v>120</v>
      </c>
      <c r="D78" s="931">
        <v>168</v>
      </c>
      <c r="E78" s="931" t="s">
        <v>126</v>
      </c>
      <c r="F78" s="931" t="s">
        <v>126</v>
      </c>
      <c r="G78" s="932">
        <v>480</v>
      </c>
    </row>
    <row r="79" spans="1:7" ht="14.25" customHeight="1">
      <c r="A79" s="1777"/>
      <c r="B79" s="902" t="s">
        <v>124</v>
      </c>
      <c r="C79" s="933">
        <v>120</v>
      </c>
      <c r="D79" s="933">
        <v>168</v>
      </c>
      <c r="E79" s="933">
        <v>192</v>
      </c>
      <c r="F79" s="933">
        <v>288</v>
      </c>
      <c r="G79" s="934">
        <v>480</v>
      </c>
    </row>
    <row r="80" spans="1:7" ht="14.25" customHeight="1" thickBot="1">
      <c r="A80" s="1778"/>
      <c r="B80" s="903" t="s">
        <v>602</v>
      </c>
      <c r="C80" s="935">
        <v>120</v>
      </c>
      <c r="D80" s="935">
        <v>168</v>
      </c>
      <c r="E80" s="935">
        <v>192</v>
      </c>
      <c r="F80" s="935">
        <v>288</v>
      </c>
      <c r="G80" s="936">
        <v>480</v>
      </c>
    </row>
    <row r="81" spans="1:7" ht="5.25" customHeight="1" thickBot="1">
      <c r="A81" s="997"/>
      <c r="B81" s="589"/>
      <c r="C81" s="937"/>
      <c r="D81" s="937"/>
      <c r="E81" s="937"/>
      <c r="F81" s="937"/>
      <c r="G81" s="1000"/>
    </row>
    <row r="82" spans="1:7" ht="14.25" customHeight="1">
      <c r="A82" s="1776">
        <v>43223</v>
      </c>
      <c r="B82" s="901" t="s">
        <v>123</v>
      </c>
      <c r="C82" s="931">
        <v>120</v>
      </c>
      <c r="D82" s="931">
        <v>168</v>
      </c>
      <c r="E82" s="931" t="s">
        <v>126</v>
      </c>
      <c r="F82" s="931" t="s">
        <v>126</v>
      </c>
      <c r="G82" s="932">
        <v>480</v>
      </c>
    </row>
    <row r="83" spans="1:7" ht="14.25" customHeight="1">
      <c r="A83" s="1777"/>
      <c r="B83" s="902" t="s">
        <v>124</v>
      </c>
      <c r="C83" s="933">
        <v>120</v>
      </c>
      <c r="D83" s="933">
        <v>168</v>
      </c>
      <c r="E83" s="933">
        <v>192</v>
      </c>
      <c r="F83" s="933">
        <v>288</v>
      </c>
      <c r="G83" s="934">
        <v>480</v>
      </c>
    </row>
    <row r="84" spans="1:7" ht="14.25" customHeight="1" thickBot="1">
      <c r="A84" s="1778"/>
      <c r="B84" s="903" t="s">
        <v>602</v>
      </c>
      <c r="C84" s="935">
        <v>120</v>
      </c>
      <c r="D84" s="935">
        <v>168</v>
      </c>
      <c r="E84" s="935">
        <v>192</v>
      </c>
      <c r="F84" s="935">
        <v>288</v>
      </c>
      <c r="G84" s="936">
        <v>480</v>
      </c>
    </row>
    <row r="85" spans="1:7" s="559" customFormat="1" ht="4.5" customHeight="1" thickBot="1">
      <c r="A85" s="997"/>
      <c r="B85" s="589"/>
      <c r="C85" s="937"/>
      <c r="D85" s="937"/>
      <c r="E85" s="937"/>
      <c r="F85" s="937"/>
      <c r="G85" s="1000"/>
    </row>
    <row r="86" spans="1:7" s="559" customFormat="1" ht="14.25" customHeight="1">
      <c r="A86" s="1776">
        <v>43228</v>
      </c>
      <c r="B86" s="901" t="s">
        <v>123</v>
      </c>
      <c r="C86" s="931">
        <v>120</v>
      </c>
      <c r="D86" s="931">
        <v>168</v>
      </c>
      <c r="E86" s="931" t="s">
        <v>126</v>
      </c>
      <c r="F86" s="931" t="s">
        <v>126</v>
      </c>
      <c r="G86" s="932">
        <v>480</v>
      </c>
    </row>
    <row r="87" spans="1:7" s="559" customFormat="1" ht="14.25" customHeight="1">
      <c r="A87" s="1777"/>
      <c r="B87" s="902" t="s">
        <v>124</v>
      </c>
      <c r="C87" s="933">
        <v>120</v>
      </c>
      <c r="D87" s="933">
        <v>168</v>
      </c>
      <c r="E87" s="933">
        <v>192</v>
      </c>
      <c r="F87" s="933">
        <v>288</v>
      </c>
      <c r="G87" s="934">
        <v>480</v>
      </c>
    </row>
    <row r="88" spans="1:7" s="559" customFormat="1" ht="14.25" customHeight="1" thickBot="1">
      <c r="A88" s="1778"/>
      <c r="B88" s="903" t="s">
        <v>602</v>
      </c>
      <c r="C88" s="935">
        <v>120</v>
      </c>
      <c r="D88" s="935">
        <v>168</v>
      </c>
      <c r="E88" s="935">
        <v>192</v>
      </c>
      <c r="F88" s="935">
        <v>288</v>
      </c>
      <c r="G88" s="936">
        <v>480</v>
      </c>
    </row>
    <row r="89" spans="1:7" s="559" customFormat="1" ht="4.5" customHeight="1" thickBot="1">
      <c r="A89" s="997"/>
      <c r="B89" s="589"/>
      <c r="C89" s="937"/>
      <c r="D89" s="937"/>
      <c r="E89" s="937"/>
      <c r="F89" s="937"/>
      <c r="G89" s="1000"/>
    </row>
    <row r="90" spans="1:7" s="559" customFormat="1" ht="16.5" customHeight="1">
      <c r="A90" s="1776">
        <v>43235</v>
      </c>
      <c r="B90" s="901" t="s">
        <v>123</v>
      </c>
      <c r="C90" s="931">
        <v>120</v>
      </c>
      <c r="D90" s="931">
        <v>168</v>
      </c>
      <c r="E90" s="931" t="s">
        <v>126</v>
      </c>
      <c r="F90" s="931" t="s">
        <v>126</v>
      </c>
      <c r="G90" s="932">
        <v>480</v>
      </c>
    </row>
    <row r="91" spans="1:7" s="559" customFormat="1" ht="16.5" customHeight="1">
      <c r="A91" s="1777"/>
      <c r="B91" s="902" t="s">
        <v>124</v>
      </c>
      <c r="C91" s="933">
        <v>120</v>
      </c>
      <c r="D91" s="933">
        <v>168</v>
      </c>
      <c r="E91" s="933">
        <v>192</v>
      </c>
      <c r="F91" s="933">
        <v>288</v>
      </c>
      <c r="G91" s="934">
        <v>480</v>
      </c>
    </row>
    <row r="92" spans="1:7" s="559" customFormat="1" ht="16.5" customHeight="1" thickBot="1">
      <c r="A92" s="1778"/>
      <c r="B92" s="903" t="s">
        <v>602</v>
      </c>
      <c r="C92" s="935">
        <v>120</v>
      </c>
      <c r="D92" s="935">
        <v>168</v>
      </c>
      <c r="E92" s="935">
        <v>192</v>
      </c>
      <c r="F92" s="935">
        <v>288</v>
      </c>
      <c r="G92" s="936">
        <v>480</v>
      </c>
    </row>
    <row r="93" spans="1:7" s="559" customFormat="1" ht="4.5" customHeight="1" thickBot="1">
      <c r="A93" s="997"/>
      <c r="B93" s="589"/>
      <c r="C93" s="937"/>
      <c r="D93" s="937"/>
      <c r="E93" s="937"/>
      <c r="F93" s="937"/>
      <c r="G93" s="1000"/>
    </row>
    <row r="94" spans="1:7" s="559" customFormat="1" ht="17.25" customHeight="1">
      <c r="A94" s="1776">
        <v>43242</v>
      </c>
      <c r="B94" s="901" t="s">
        <v>123</v>
      </c>
      <c r="C94" s="931">
        <v>120</v>
      </c>
      <c r="D94" s="931">
        <v>168</v>
      </c>
      <c r="E94" s="931" t="s">
        <v>126</v>
      </c>
      <c r="F94" s="931" t="s">
        <v>126</v>
      </c>
      <c r="G94" s="932">
        <v>480</v>
      </c>
    </row>
    <row r="95" spans="1:7" s="559" customFormat="1" ht="12" customHeight="1">
      <c r="A95" s="1777"/>
      <c r="B95" s="902" t="s">
        <v>124</v>
      </c>
      <c r="C95" s="933">
        <v>120</v>
      </c>
      <c r="D95" s="933">
        <v>168</v>
      </c>
      <c r="E95" s="933">
        <v>192</v>
      </c>
      <c r="F95" s="933">
        <v>288</v>
      </c>
      <c r="G95" s="934">
        <v>480</v>
      </c>
    </row>
    <row r="96" spans="1:7" s="559" customFormat="1" ht="13.5" customHeight="1" thickBot="1">
      <c r="A96" s="1778"/>
      <c r="B96" s="903" t="s">
        <v>602</v>
      </c>
      <c r="C96" s="935">
        <v>120</v>
      </c>
      <c r="D96" s="935">
        <v>168</v>
      </c>
      <c r="E96" s="935">
        <v>192</v>
      </c>
      <c r="F96" s="935">
        <v>288</v>
      </c>
      <c r="G96" s="936">
        <v>480</v>
      </c>
    </row>
    <row r="97" spans="1:7" s="559" customFormat="1" ht="4.5" customHeight="1" thickBot="1">
      <c r="A97" s="997"/>
      <c r="B97" s="589"/>
      <c r="C97" s="937"/>
      <c r="D97" s="937"/>
      <c r="E97" s="937"/>
      <c r="F97" s="937"/>
      <c r="G97" s="1000"/>
    </row>
    <row r="98" spans="1:7" s="559" customFormat="1" ht="13.5" customHeight="1">
      <c r="A98" s="1776">
        <v>43249</v>
      </c>
      <c r="B98" s="901" t="s">
        <v>123</v>
      </c>
      <c r="C98" s="931">
        <v>120</v>
      </c>
      <c r="D98" s="931">
        <v>168</v>
      </c>
      <c r="E98" s="931" t="s">
        <v>126</v>
      </c>
      <c r="F98" s="931" t="s">
        <v>126</v>
      </c>
      <c r="G98" s="932">
        <v>480</v>
      </c>
    </row>
    <row r="99" spans="1:7" s="559" customFormat="1" ht="19.5" customHeight="1">
      <c r="A99" s="1777"/>
      <c r="B99" s="902" t="s">
        <v>124</v>
      </c>
      <c r="C99" s="933">
        <v>120</v>
      </c>
      <c r="D99" s="933">
        <v>168</v>
      </c>
      <c r="E99" s="933">
        <v>192</v>
      </c>
      <c r="F99" s="933">
        <v>288</v>
      </c>
      <c r="G99" s="934">
        <v>480</v>
      </c>
    </row>
    <row r="100" spans="1:7" s="559" customFormat="1" ht="18" customHeight="1" thickBot="1">
      <c r="A100" s="1778"/>
      <c r="B100" s="903" t="s">
        <v>602</v>
      </c>
      <c r="C100" s="935">
        <v>120</v>
      </c>
      <c r="D100" s="935">
        <v>168</v>
      </c>
      <c r="E100" s="935">
        <v>192</v>
      </c>
      <c r="F100" s="935">
        <v>288</v>
      </c>
      <c r="G100" s="936">
        <v>480</v>
      </c>
    </row>
    <row r="101" spans="1:7" ht="11.25" customHeight="1" thickBot="1">
      <c r="A101" s="997"/>
      <c r="B101" s="589"/>
      <c r="C101" s="937"/>
      <c r="D101" s="937"/>
      <c r="E101" s="937"/>
      <c r="F101" s="937"/>
      <c r="G101" s="1000"/>
    </row>
    <row r="102" spans="1:7" ht="12.75" customHeight="1">
      <c r="A102" s="1776">
        <v>43255</v>
      </c>
      <c r="B102" s="901" t="s">
        <v>611</v>
      </c>
      <c r="C102" s="931">
        <v>120</v>
      </c>
      <c r="D102" s="931">
        <v>168</v>
      </c>
      <c r="E102" s="931" t="s">
        <v>126</v>
      </c>
      <c r="F102" s="931" t="s">
        <v>126</v>
      </c>
      <c r="G102" s="932">
        <v>480</v>
      </c>
    </row>
    <row r="103" spans="1:7" ht="12.75" customHeight="1">
      <c r="A103" s="1777"/>
      <c r="B103" s="902" t="s">
        <v>612</v>
      </c>
      <c r="C103" s="933">
        <v>120</v>
      </c>
      <c r="D103" s="933">
        <v>168</v>
      </c>
      <c r="E103" s="933">
        <v>192</v>
      </c>
      <c r="F103" s="933">
        <v>288</v>
      </c>
      <c r="G103" s="934">
        <v>480</v>
      </c>
    </row>
    <row r="104" spans="1:7" ht="14.25" customHeight="1" thickBot="1">
      <c r="A104" s="1778"/>
      <c r="B104" s="903" t="s">
        <v>602</v>
      </c>
      <c r="C104" s="935">
        <v>120</v>
      </c>
      <c r="D104" s="935">
        <v>168</v>
      </c>
      <c r="E104" s="935">
        <v>192</v>
      </c>
      <c r="F104" s="935">
        <v>288</v>
      </c>
      <c r="G104" s="936">
        <v>480</v>
      </c>
    </row>
    <row r="105" spans="1:7" ht="5.25" customHeight="1" thickBot="1">
      <c r="A105" s="997"/>
      <c r="B105" s="589"/>
      <c r="C105" s="937"/>
      <c r="D105" s="937"/>
      <c r="E105" s="937"/>
      <c r="F105" s="937"/>
      <c r="G105" s="1000"/>
    </row>
    <row r="106" spans="1:7" ht="13.5" customHeight="1">
      <c r="A106" s="1776">
        <v>43262</v>
      </c>
      <c r="B106" s="901" t="s">
        <v>611</v>
      </c>
      <c r="C106" s="931">
        <v>120</v>
      </c>
      <c r="D106" s="931">
        <v>168</v>
      </c>
      <c r="E106" s="931" t="s">
        <v>126</v>
      </c>
      <c r="F106" s="931" t="s">
        <v>126</v>
      </c>
      <c r="G106" s="932">
        <v>480</v>
      </c>
    </row>
    <row r="107" spans="1:7" ht="14.25" customHeight="1">
      <c r="A107" s="1777"/>
      <c r="B107" s="902" t="s">
        <v>612</v>
      </c>
      <c r="C107" s="933">
        <v>120</v>
      </c>
      <c r="D107" s="933">
        <v>168</v>
      </c>
      <c r="E107" s="933">
        <v>192</v>
      </c>
      <c r="F107" s="933">
        <v>288</v>
      </c>
      <c r="G107" s="934">
        <v>480</v>
      </c>
    </row>
    <row r="108" spans="1:7" ht="14.25" customHeight="1" thickBot="1">
      <c r="A108" s="1778"/>
      <c r="B108" s="903" t="s">
        <v>602</v>
      </c>
      <c r="C108" s="935">
        <v>120</v>
      </c>
      <c r="D108" s="935">
        <v>168</v>
      </c>
      <c r="E108" s="935">
        <v>192</v>
      </c>
      <c r="F108" s="935">
        <v>288</v>
      </c>
      <c r="G108" s="936">
        <v>480</v>
      </c>
    </row>
    <row r="109" spans="1:7" ht="6" customHeight="1" thickBot="1">
      <c r="A109" s="997"/>
      <c r="B109" s="589"/>
      <c r="C109" s="937"/>
      <c r="D109" s="937"/>
      <c r="E109" s="937"/>
      <c r="F109" s="937"/>
      <c r="G109" s="1000"/>
    </row>
    <row r="110" spans="1:7" ht="12" customHeight="1">
      <c r="A110" s="1776">
        <v>43270</v>
      </c>
      <c r="B110" s="901" t="s">
        <v>611</v>
      </c>
      <c r="C110" s="931">
        <v>120</v>
      </c>
      <c r="D110" s="931">
        <v>168</v>
      </c>
      <c r="E110" s="931" t="s">
        <v>126</v>
      </c>
      <c r="F110" s="931" t="s">
        <v>126</v>
      </c>
      <c r="G110" s="932">
        <v>480</v>
      </c>
    </row>
    <row r="111" spans="1:7" ht="12" customHeight="1">
      <c r="A111" s="1777"/>
      <c r="B111" s="902" t="s">
        <v>612</v>
      </c>
      <c r="C111" s="933">
        <v>120</v>
      </c>
      <c r="D111" s="933">
        <v>168</v>
      </c>
      <c r="E111" s="933">
        <v>192</v>
      </c>
      <c r="F111" s="933">
        <v>288</v>
      </c>
      <c r="G111" s="934">
        <v>480</v>
      </c>
    </row>
    <row r="112" spans="1:7" ht="14.25" customHeight="1" thickBot="1">
      <c r="A112" s="1778"/>
      <c r="B112" s="903" t="s">
        <v>602</v>
      </c>
      <c r="C112" s="935">
        <v>120</v>
      </c>
      <c r="D112" s="935">
        <v>168</v>
      </c>
      <c r="E112" s="935">
        <v>192</v>
      </c>
      <c r="F112" s="935">
        <v>288</v>
      </c>
      <c r="G112" s="936">
        <v>480</v>
      </c>
    </row>
    <row r="113" spans="1:7" ht="4.5" customHeight="1" thickBot="1">
      <c r="A113" s="997"/>
      <c r="B113" s="589"/>
      <c r="C113" s="937"/>
      <c r="D113" s="937"/>
      <c r="E113" s="937"/>
      <c r="F113" s="937"/>
      <c r="G113" s="1000"/>
    </row>
    <row r="114" spans="1:7" ht="12" customHeight="1">
      <c r="A114" s="1776">
        <v>43277</v>
      </c>
      <c r="B114" s="901" t="s">
        <v>611</v>
      </c>
      <c r="C114" s="931">
        <v>120</v>
      </c>
      <c r="D114" s="931">
        <v>168</v>
      </c>
      <c r="E114" s="931" t="s">
        <v>126</v>
      </c>
      <c r="F114" s="931" t="s">
        <v>126</v>
      </c>
      <c r="G114" s="932">
        <v>480</v>
      </c>
    </row>
    <row r="115" spans="1:7" ht="12" customHeight="1">
      <c r="A115" s="1777"/>
      <c r="B115" s="902" t="s">
        <v>612</v>
      </c>
      <c r="C115" s="933">
        <v>120</v>
      </c>
      <c r="D115" s="933">
        <v>168</v>
      </c>
      <c r="E115" s="933">
        <v>192</v>
      </c>
      <c r="F115" s="933">
        <v>288</v>
      </c>
      <c r="G115" s="934">
        <v>480</v>
      </c>
    </row>
    <row r="116" spans="1:7" ht="14.25" customHeight="1" thickBot="1">
      <c r="A116" s="1778"/>
      <c r="B116" s="903" t="s">
        <v>602</v>
      </c>
      <c r="C116" s="935">
        <v>120</v>
      </c>
      <c r="D116" s="935">
        <v>168</v>
      </c>
      <c r="E116" s="935">
        <v>192</v>
      </c>
      <c r="F116" s="935">
        <v>288</v>
      </c>
      <c r="G116" s="936">
        <v>480</v>
      </c>
    </row>
    <row r="117" spans="1:7" ht="6" customHeight="1" thickBot="1">
      <c r="A117" s="997"/>
      <c r="B117" s="589"/>
      <c r="C117" s="937"/>
      <c r="D117" s="937"/>
      <c r="E117" s="937"/>
      <c r="F117" s="937"/>
      <c r="G117" s="1000"/>
    </row>
    <row r="118" spans="1:7" ht="12" customHeight="1">
      <c r="A118" s="1776">
        <v>43285</v>
      </c>
      <c r="B118" s="901" t="s">
        <v>611</v>
      </c>
      <c r="C118" s="931">
        <v>120</v>
      </c>
      <c r="D118" s="931">
        <v>168</v>
      </c>
      <c r="E118" s="931" t="s">
        <v>126</v>
      </c>
      <c r="F118" s="931" t="s">
        <v>126</v>
      </c>
      <c r="G118" s="932">
        <v>480</v>
      </c>
    </row>
    <row r="119" spans="1:7" ht="12" customHeight="1">
      <c r="A119" s="1777"/>
      <c r="B119" s="902" t="s">
        <v>612</v>
      </c>
      <c r="C119" s="933">
        <v>120</v>
      </c>
      <c r="D119" s="933">
        <v>168</v>
      </c>
      <c r="E119" s="933">
        <v>192</v>
      </c>
      <c r="F119" s="933">
        <v>288</v>
      </c>
      <c r="G119" s="934">
        <v>480</v>
      </c>
    </row>
    <row r="120" spans="1:7" ht="14.25" customHeight="1" thickBot="1">
      <c r="A120" s="1778"/>
      <c r="B120" s="903" t="s">
        <v>602</v>
      </c>
      <c r="C120" s="935">
        <v>120</v>
      </c>
      <c r="D120" s="935">
        <v>168</v>
      </c>
      <c r="E120" s="935">
        <v>192</v>
      </c>
      <c r="F120" s="935">
        <v>288</v>
      </c>
      <c r="G120" s="936">
        <v>480</v>
      </c>
    </row>
    <row r="121" spans="1:7" ht="6.75" customHeight="1" thickBot="1">
      <c r="A121" s="997"/>
      <c r="B121" s="589"/>
      <c r="C121" s="937"/>
      <c r="D121" s="937"/>
      <c r="E121" s="937"/>
      <c r="F121" s="937"/>
      <c r="G121" s="1000"/>
    </row>
    <row r="122" spans="1:7" ht="12" customHeight="1">
      <c r="A122" s="1776">
        <v>43291</v>
      </c>
      <c r="B122" s="901" t="s">
        <v>611</v>
      </c>
      <c r="C122" s="931">
        <v>120</v>
      </c>
      <c r="D122" s="931">
        <v>168</v>
      </c>
      <c r="E122" s="931" t="s">
        <v>126</v>
      </c>
      <c r="F122" s="931" t="s">
        <v>126</v>
      </c>
      <c r="G122" s="932">
        <v>480</v>
      </c>
    </row>
    <row r="123" spans="1:7" ht="12" customHeight="1">
      <c r="A123" s="1777"/>
      <c r="B123" s="902" t="s">
        <v>612</v>
      </c>
      <c r="C123" s="933">
        <v>120</v>
      </c>
      <c r="D123" s="933">
        <v>168</v>
      </c>
      <c r="E123" s="933">
        <v>192</v>
      </c>
      <c r="F123" s="933">
        <v>288</v>
      </c>
      <c r="G123" s="934">
        <v>480</v>
      </c>
    </row>
    <row r="124" spans="1:7" ht="14.25" customHeight="1" thickBot="1">
      <c r="A124" s="1778"/>
      <c r="B124" s="903" t="s">
        <v>602</v>
      </c>
      <c r="C124" s="935">
        <v>120</v>
      </c>
      <c r="D124" s="935">
        <v>168</v>
      </c>
      <c r="E124" s="935">
        <v>192</v>
      </c>
      <c r="F124" s="935">
        <v>288</v>
      </c>
      <c r="G124" s="936">
        <v>480</v>
      </c>
    </row>
    <row r="125" spans="1:7" ht="6" customHeight="1" thickBot="1">
      <c r="A125" s="997"/>
      <c r="B125" s="589"/>
      <c r="C125" s="937"/>
      <c r="D125" s="937"/>
      <c r="E125" s="937"/>
      <c r="F125" s="937"/>
      <c r="G125" s="1000"/>
    </row>
    <row r="126" spans="1:7" ht="12" customHeight="1">
      <c r="A126" s="1776">
        <v>43298</v>
      </c>
      <c r="B126" s="901" t="s">
        <v>123</v>
      </c>
      <c r="C126" s="931">
        <v>120</v>
      </c>
      <c r="D126" s="931">
        <v>168</v>
      </c>
      <c r="E126" s="931" t="s">
        <v>126</v>
      </c>
      <c r="F126" s="931" t="s">
        <v>126</v>
      </c>
      <c r="G126" s="932">
        <v>480</v>
      </c>
    </row>
    <row r="127" spans="1:7" ht="12" customHeight="1">
      <c r="A127" s="1777"/>
      <c r="B127" s="902" t="s">
        <v>124</v>
      </c>
      <c r="C127" s="933">
        <v>120</v>
      </c>
      <c r="D127" s="933">
        <v>168</v>
      </c>
      <c r="E127" s="933">
        <v>192</v>
      </c>
      <c r="F127" s="933">
        <v>288</v>
      </c>
      <c r="G127" s="934">
        <v>480</v>
      </c>
    </row>
    <row r="128" spans="1:7" ht="14.25" customHeight="1" thickBot="1">
      <c r="A128" s="1778"/>
      <c r="B128" s="903" t="s">
        <v>602</v>
      </c>
      <c r="C128" s="935">
        <v>120</v>
      </c>
      <c r="D128" s="935">
        <v>168</v>
      </c>
      <c r="E128" s="935">
        <v>192</v>
      </c>
      <c r="F128" s="935">
        <v>288</v>
      </c>
      <c r="G128" s="936">
        <v>480</v>
      </c>
    </row>
    <row r="129" spans="1:7" ht="6.75" customHeight="1" thickBot="1">
      <c r="A129" s="997"/>
      <c r="B129" s="589"/>
      <c r="C129" s="937"/>
      <c r="D129" s="937"/>
      <c r="E129" s="937"/>
      <c r="F129" s="937"/>
      <c r="G129" s="1000"/>
    </row>
    <row r="130" spans="1:7" ht="12" customHeight="1">
      <c r="A130" s="1776">
        <v>43305</v>
      </c>
      <c r="B130" s="901" t="s">
        <v>611</v>
      </c>
      <c r="C130" s="931">
        <v>120</v>
      </c>
      <c r="D130" s="931">
        <v>168</v>
      </c>
      <c r="E130" s="931" t="s">
        <v>126</v>
      </c>
      <c r="F130" s="931" t="s">
        <v>126</v>
      </c>
      <c r="G130" s="932">
        <v>480</v>
      </c>
    </row>
    <row r="131" spans="1:7" ht="12" customHeight="1">
      <c r="A131" s="1777"/>
      <c r="B131" s="902" t="s">
        <v>612</v>
      </c>
      <c r="C131" s="933">
        <v>120</v>
      </c>
      <c r="D131" s="933">
        <v>168</v>
      </c>
      <c r="E131" s="933">
        <v>192</v>
      </c>
      <c r="F131" s="933">
        <v>288</v>
      </c>
      <c r="G131" s="934">
        <v>480</v>
      </c>
    </row>
    <row r="132" spans="1:7" ht="14.25" customHeight="1" thickBot="1">
      <c r="A132" s="1778"/>
      <c r="B132" s="903" t="s">
        <v>602</v>
      </c>
      <c r="C132" s="935">
        <v>120</v>
      </c>
      <c r="D132" s="935">
        <v>168</v>
      </c>
      <c r="E132" s="935">
        <v>192</v>
      </c>
      <c r="F132" s="935">
        <v>288</v>
      </c>
      <c r="G132" s="936">
        <v>480</v>
      </c>
    </row>
    <row r="133" spans="1:7" ht="6" customHeight="1" thickBot="1">
      <c r="A133" s="997"/>
      <c r="B133" s="589"/>
      <c r="C133" s="937"/>
      <c r="D133" s="937"/>
      <c r="E133" s="937"/>
      <c r="F133" s="937"/>
      <c r="G133" s="1000"/>
    </row>
    <row r="134" spans="1:7" ht="12" customHeight="1">
      <c r="A134" s="1776">
        <v>43312</v>
      </c>
      <c r="B134" s="901" t="s">
        <v>611</v>
      </c>
      <c r="C134" s="931">
        <v>120</v>
      </c>
      <c r="D134" s="931">
        <v>168</v>
      </c>
      <c r="E134" s="931" t="s">
        <v>126</v>
      </c>
      <c r="F134" s="931" t="s">
        <v>126</v>
      </c>
      <c r="G134" s="932">
        <v>480</v>
      </c>
    </row>
    <row r="135" spans="1:7" ht="12" customHeight="1">
      <c r="A135" s="1777"/>
      <c r="B135" s="902" t="s">
        <v>612</v>
      </c>
      <c r="C135" s="933">
        <v>120</v>
      </c>
      <c r="D135" s="933">
        <v>168</v>
      </c>
      <c r="E135" s="933">
        <v>192</v>
      </c>
      <c r="F135" s="933">
        <v>288</v>
      </c>
      <c r="G135" s="934">
        <v>480</v>
      </c>
    </row>
    <row r="136" spans="1:7" ht="14.25" customHeight="1" thickBot="1">
      <c r="A136" s="1778"/>
      <c r="B136" s="903" t="s">
        <v>602</v>
      </c>
      <c r="C136" s="935">
        <v>120</v>
      </c>
      <c r="D136" s="935">
        <v>168</v>
      </c>
      <c r="E136" s="935">
        <v>192</v>
      </c>
      <c r="F136" s="935">
        <v>288</v>
      </c>
      <c r="G136" s="936">
        <v>480</v>
      </c>
    </row>
    <row r="137" spans="1:7" ht="6.75" customHeight="1" thickBot="1">
      <c r="A137" s="999"/>
      <c r="B137" s="581"/>
      <c r="C137" s="1012"/>
      <c r="D137" s="1012"/>
      <c r="E137" s="1012"/>
      <c r="F137" s="1012"/>
      <c r="G137" s="1013"/>
    </row>
    <row r="138" spans="1:7" ht="12" customHeight="1">
      <c r="A138" s="1776">
        <v>43318</v>
      </c>
      <c r="B138" s="901" t="s">
        <v>611</v>
      </c>
      <c r="C138" s="931">
        <v>120</v>
      </c>
      <c r="D138" s="931">
        <v>168</v>
      </c>
      <c r="E138" s="931" t="s">
        <v>126</v>
      </c>
      <c r="F138" s="931" t="s">
        <v>126</v>
      </c>
      <c r="G138" s="932">
        <v>480</v>
      </c>
    </row>
    <row r="139" spans="1:7" ht="12" customHeight="1">
      <c r="A139" s="1777"/>
      <c r="B139" s="902" t="s">
        <v>612</v>
      </c>
      <c r="C139" s="933">
        <v>120</v>
      </c>
      <c r="D139" s="933">
        <v>168</v>
      </c>
      <c r="E139" s="933">
        <v>192</v>
      </c>
      <c r="F139" s="933">
        <v>288</v>
      </c>
      <c r="G139" s="934">
        <v>480</v>
      </c>
    </row>
    <row r="140" spans="1:7" ht="14.25" customHeight="1" thickBot="1">
      <c r="A140" s="1778"/>
      <c r="B140" s="903" t="s">
        <v>602</v>
      </c>
      <c r="C140" s="935">
        <v>120</v>
      </c>
      <c r="D140" s="935">
        <v>168</v>
      </c>
      <c r="E140" s="935">
        <v>192</v>
      </c>
      <c r="F140" s="935">
        <v>288</v>
      </c>
      <c r="G140" s="936">
        <v>480</v>
      </c>
    </row>
    <row r="141" spans="1:7" ht="6" customHeight="1" thickBot="1">
      <c r="A141" s="997"/>
      <c r="B141" s="589"/>
      <c r="C141" s="937"/>
      <c r="D141" s="937"/>
      <c r="E141" s="937"/>
      <c r="F141" s="937"/>
      <c r="G141" s="1000"/>
    </row>
    <row r="142" spans="1:7" ht="12" customHeight="1">
      <c r="A142" s="1776">
        <v>43326</v>
      </c>
      <c r="B142" s="901" t="s">
        <v>611</v>
      </c>
      <c r="C142" s="931">
        <v>120</v>
      </c>
      <c r="D142" s="931">
        <v>168</v>
      </c>
      <c r="E142" s="931" t="s">
        <v>126</v>
      </c>
      <c r="F142" s="931" t="s">
        <v>126</v>
      </c>
      <c r="G142" s="932">
        <v>480</v>
      </c>
    </row>
    <row r="143" spans="1:7" ht="12" customHeight="1">
      <c r="A143" s="1777"/>
      <c r="B143" s="902" t="s">
        <v>612</v>
      </c>
      <c r="C143" s="933">
        <v>120</v>
      </c>
      <c r="D143" s="933">
        <v>168</v>
      </c>
      <c r="E143" s="933">
        <v>192</v>
      </c>
      <c r="F143" s="933">
        <v>288</v>
      </c>
      <c r="G143" s="934">
        <v>480</v>
      </c>
    </row>
    <row r="144" spans="1:7" ht="14.25" customHeight="1" thickBot="1">
      <c r="A144" s="1778"/>
      <c r="B144" s="903" t="s">
        <v>602</v>
      </c>
      <c r="C144" s="935">
        <v>120</v>
      </c>
      <c r="D144" s="935">
        <v>168</v>
      </c>
      <c r="E144" s="935">
        <v>192</v>
      </c>
      <c r="F144" s="935">
        <v>288</v>
      </c>
      <c r="G144" s="936">
        <v>480</v>
      </c>
    </row>
    <row r="145" spans="1:13" ht="6.75" customHeight="1" thickBot="1">
      <c r="A145" s="997"/>
      <c r="B145" s="589"/>
      <c r="C145" s="937"/>
      <c r="D145" s="937"/>
      <c r="E145" s="937"/>
      <c r="F145" s="937"/>
      <c r="G145" s="1000"/>
    </row>
    <row r="146" spans="1:13" ht="12" customHeight="1">
      <c r="A146" s="1776">
        <v>43333</v>
      </c>
      <c r="B146" s="901" t="s">
        <v>611</v>
      </c>
      <c r="C146" s="931">
        <v>120</v>
      </c>
      <c r="D146" s="931">
        <v>168</v>
      </c>
      <c r="E146" s="931" t="s">
        <v>126</v>
      </c>
      <c r="F146" s="931" t="s">
        <v>126</v>
      </c>
      <c r="G146" s="932">
        <v>480</v>
      </c>
    </row>
    <row r="147" spans="1:13" ht="12" customHeight="1">
      <c r="A147" s="1777"/>
      <c r="B147" s="902" t="s">
        <v>612</v>
      </c>
      <c r="C147" s="933">
        <v>120</v>
      </c>
      <c r="D147" s="933">
        <v>168</v>
      </c>
      <c r="E147" s="933">
        <v>192</v>
      </c>
      <c r="F147" s="933">
        <v>288</v>
      </c>
      <c r="G147" s="934">
        <v>480</v>
      </c>
    </row>
    <row r="148" spans="1:13" ht="14.25" customHeight="1" thickBot="1">
      <c r="A148" s="1778"/>
      <c r="B148" s="903" t="s">
        <v>602</v>
      </c>
      <c r="C148" s="935">
        <v>120</v>
      </c>
      <c r="D148" s="935">
        <v>168</v>
      </c>
      <c r="E148" s="935">
        <v>192</v>
      </c>
      <c r="F148" s="935">
        <v>288</v>
      </c>
      <c r="G148" s="936">
        <v>480</v>
      </c>
    </row>
    <row r="149" spans="1:13" ht="4.5" customHeight="1" thickBot="1">
      <c r="A149" s="997"/>
      <c r="B149" s="589"/>
      <c r="C149" s="937"/>
      <c r="D149" s="937"/>
      <c r="E149" s="937"/>
      <c r="F149" s="937"/>
      <c r="G149" s="1000"/>
    </row>
    <row r="150" spans="1:13" ht="12" customHeight="1">
      <c r="A150" s="1776">
        <v>43339</v>
      </c>
      <c r="B150" s="901" t="s">
        <v>611</v>
      </c>
      <c r="C150" s="931">
        <v>120</v>
      </c>
      <c r="D150" s="931">
        <v>168</v>
      </c>
      <c r="E150" s="931" t="s">
        <v>126</v>
      </c>
      <c r="F150" s="931" t="s">
        <v>126</v>
      </c>
      <c r="G150" s="932">
        <v>480</v>
      </c>
    </row>
    <row r="151" spans="1:13" ht="12" customHeight="1">
      <c r="A151" s="1777"/>
      <c r="B151" s="902" t="s">
        <v>612</v>
      </c>
      <c r="C151" s="933">
        <v>120</v>
      </c>
      <c r="D151" s="933">
        <v>168</v>
      </c>
      <c r="E151" s="933">
        <v>192</v>
      </c>
      <c r="F151" s="933">
        <v>288</v>
      </c>
      <c r="G151" s="934">
        <v>480</v>
      </c>
    </row>
    <row r="152" spans="1:13" ht="14.25" customHeight="1" thickBot="1">
      <c r="A152" s="1778"/>
      <c r="B152" s="903" t="s">
        <v>602</v>
      </c>
      <c r="C152" s="935">
        <v>120</v>
      </c>
      <c r="D152" s="935">
        <v>168</v>
      </c>
      <c r="E152" s="935">
        <v>192</v>
      </c>
      <c r="F152" s="935">
        <v>288</v>
      </c>
      <c r="G152" s="936">
        <v>480</v>
      </c>
    </row>
    <row r="153" spans="1:13" ht="5.25" customHeight="1" thickBot="1">
      <c r="A153" s="997"/>
      <c r="B153" s="589"/>
      <c r="C153" s="937"/>
      <c r="D153" s="937"/>
      <c r="E153" s="937"/>
      <c r="F153" s="937"/>
      <c r="G153" s="1000"/>
    </row>
    <row r="154" spans="1:13" ht="14.25" customHeight="1">
      <c r="A154" s="1776">
        <v>43346</v>
      </c>
      <c r="B154" s="901" t="s">
        <v>611</v>
      </c>
      <c r="C154" s="931">
        <v>120</v>
      </c>
      <c r="D154" s="931">
        <v>168</v>
      </c>
      <c r="E154" s="931" t="s">
        <v>126</v>
      </c>
      <c r="F154" s="931" t="s">
        <v>126</v>
      </c>
      <c r="G154" s="932">
        <v>480</v>
      </c>
    </row>
    <row r="155" spans="1:13" ht="14.25" customHeight="1">
      <c r="A155" s="1777"/>
      <c r="B155" s="902" t="s">
        <v>612</v>
      </c>
      <c r="C155" s="933">
        <v>120</v>
      </c>
      <c r="D155" s="933">
        <v>168</v>
      </c>
      <c r="E155" s="933">
        <v>192</v>
      </c>
      <c r="F155" s="933">
        <v>288</v>
      </c>
      <c r="G155" s="934">
        <v>480</v>
      </c>
    </row>
    <row r="156" spans="1:13" ht="14.25" customHeight="1" thickBot="1">
      <c r="A156" s="1778"/>
      <c r="B156" s="903" t="s">
        <v>602</v>
      </c>
      <c r="C156" s="935">
        <v>120</v>
      </c>
      <c r="D156" s="935">
        <v>168</v>
      </c>
      <c r="E156" s="935">
        <v>192</v>
      </c>
      <c r="F156" s="935">
        <v>288</v>
      </c>
      <c r="G156" s="936">
        <v>480</v>
      </c>
    </row>
    <row r="157" spans="1:13" ht="7.5" customHeight="1" thickBot="1">
      <c r="A157" s="997"/>
      <c r="B157" s="589"/>
      <c r="C157" s="937"/>
      <c r="D157" s="937"/>
      <c r="E157" s="937"/>
      <c r="F157" s="937"/>
      <c r="G157" s="1000"/>
    </row>
    <row r="158" spans="1:13" ht="14.25" customHeight="1">
      <c r="A158" s="1776">
        <v>43354</v>
      </c>
      <c r="B158" s="901" t="s">
        <v>611</v>
      </c>
      <c r="C158" s="931">
        <v>120</v>
      </c>
      <c r="D158" s="931">
        <v>168</v>
      </c>
      <c r="E158" s="931" t="s">
        <v>126</v>
      </c>
      <c r="F158" s="931" t="s">
        <v>126</v>
      </c>
      <c r="G158" s="932">
        <v>480</v>
      </c>
    </row>
    <row r="159" spans="1:13" ht="14.25" customHeight="1">
      <c r="A159" s="1777"/>
      <c r="B159" s="902" t="s">
        <v>612</v>
      </c>
      <c r="C159" s="933">
        <v>120</v>
      </c>
      <c r="D159" s="933">
        <v>168</v>
      </c>
      <c r="E159" s="933">
        <v>192</v>
      </c>
      <c r="F159" s="933">
        <v>288</v>
      </c>
      <c r="G159" s="934">
        <v>480</v>
      </c>
    </row>
    <row r="160" spans="1:13" ht="14.25" customHeight="1" thickBot="1">
      <c r="A160" s="1778"/>
      <c r="B160" s="903" t="s">
        <v>602</v>
      </c>
      <c r="C160" s="935">
        <v>120</v>
      </c>
      <c r="D160" s="935">
        <v>168</v>
      </c>
      <c r="E160" s="935">
        <v>192</v>
      </c>
      <c r="F160" s="935">
        <v>288</v>
      </c>
      <c r="G160" s="936">
        <v>480</v>
      </c>
      <c r="H160" s="564"/>
      <c r="I160" s="564"/>
      <c r="J160" s="564"/>
      <c r="K160" s="564"/>
      <c r="L160" s="564"/>
      <c r="M160" s="564"/>
    </row>
    <row r="161" spans="1:13" ht="4.5" customHeight="1" thickBot="1">
      <c r="A161" s="997"/>
      <c r="B161" s="589"/>
      <c r="C161" s="937"/>
      <c r="D161" s="937"/>
      <c r="E161" s="937"/>
      <c r="F161" s="937"/>
      <c r="G161" s="1000"/>
      <c r="H161" s="564"/>
      <c r="I161" s="564"/>
      <c r="J161" s="564"/>
      <c r="K161" s="564"/>
      <c r="L161" s="564"/>
      <c r="M161" s="564"/>
    </row>
    <row r="162" spans="1:13" ht="14.25" customHeight="1">
      <c r="A162" s="1776">
        <v>43361</v>
      </c>
      <c r="B162" s="901" t="s">
        <v>611</v>
      </c>
      <c r="C162" s="931">
        <v>120</v>
      </c>
      <c r="D162" s="931">
        <v>168</v>
      </c>
      <c r="E162" s="931" t="s">
        <v>126</v>
      </c>
      <c r="F162" s="931" t="s">
        <v>126</v>
      </c>
      <c r="G162" s="932">
        <v>480</v>
      </c>
      <c r="H162" s="564"/>
      <c r="I162" s="564"/>
      <c r="J162" s="564"/>
      <c r="K162" s="564"/>
      <c r="L162" s="564"/>
      <c r="M162" s="564"/>
    </row>
    <row r="163" spans="1:13" ht="14.25" customHeight="1">
      <c r="A163" s="1777"/>
      <c r="B163" s="902" t="s">
        <v>612</v>
      </c>
      <c r="C163" s="933">
        <v>120</v>
      </c>
      <c r="D163" s="933">
        <v>168</v>
      </c>
      <c r="E163" s="933">
        <v>192</v>
      </c>
      <c r="F163" s="933">
        <v>288</v>
      </c>
      <c r="G163" s="934">
        <v>480</v>
      </c>
      <c r="H163" s="564"/>
      <c r="I163" s="564"/>
      <c r="J163" s="564"/>
      <c r="K163" s="564"/>
      <c r="L163" s="564"/>
      <c r="M163" s="564"/>
    </row>
    <row r="164" spans="1:13" ht="14.25" customHeight="1" thickBot="1">
      <c r="A164" s="1778"/>
      <c r="B164" s="903" t="s">
        <v>602</v>
      </c>
      <c r="C164" s="935">
        <v>120</v>
      </c>
      <c r="D164" s="935">
        <v>168</v>
      </c>
      <c r="E164" s="935">
        <v>192</v>
      </c>
      <c r="F164" s="935">
        <v>288</v>
      </c>
      <c r="G164" s="936">
        <v>480</v>
      </c>
      <c r="H164" s="564"/>
      <c r="I164" s="564"/>
      <c r="J164" s="564"/>
      <c r="K164" s="564"/>
      <c r="L164" s="564"/>
      <c r="M164" s="564"/>
    </row>
    <row r="165" spans="1:13" ht="8.25" customHeight="1" thickBot="1">
      <c r="A165" s="579"/>
      <c r="B165" s="589"/>
      <c r="C165" s="937"/>
      <c r="D165" s="937"/>
      <c r="E165" s="937"/>
      <c r="F165" s="937"/>
      <c r="G165" s="937"/>
      <c r="H165" s="564"/>
      <c r="I165" s="564"/>
      <c r="J165" s="564"/>
      <c r="K165" s="564"/>
      <c r="L165" s="564"/>
      <c r="M165" s="564"/>
    </row>
    <row r="166" spans="1:13" ht="14.25" customHeight="1">
      <c r="A166" s="1776">
        <v>43370</v>
      </c>
      <c r="B166" s="901" t="s">
        <v>611</v>
      </c>
      <c r="C166" s="931">
        <v>120</v>
      </c>
      <c r="D166" s="931">
        <v>168</v>
      </c>
      <c r="E166" s="931" t="s">
        <v>126</v>
      </c>
      <c r="F166" s="931" t="s">
        <v>126</v>
      </c>
      <c r="G166" s="932">
        <v>480</v>
      </c>
      <c r="H166" s="564"/>
      <c r="I166" s="564"/>
      <c r="J166" s="564"/>
      <c r="K166" s="564"/>
      <c r="L166" s="564"/>
      <c r="M166" s="564"/>
    </row>
    <row r="167" spans="1:13" ht="14.25" customHeight="1">
      <c r="A167" s="1777"/>
      <c r="B167" s="902" t="s">
        <v>612</v>
      </c>
      <c r="C167" s="933">
        <v>120</v>
      </c>
      <c r="D167" s="933">
        <v>168</v>
      </c>
      <c r="E167" s="933">
        <v>192</v>
      </c>
      <c r="F167" s="933">
        <v>288</v>
      </c>
      <c r="G167" s="934">
        <v>480</v>
      </c>
      <c r="H167" s="564"/>
      <c r="I167" s="564"/>
      <c r="J167" s="564"/>
      <c r="K167" s="564"/>
      <c r="L167" s="564"/>
      <c r="M167" s="564"/>
    </row>
    <row r="168" spans="1:13" ht="14.25" customHeight="1" thickBot="1">
      <c r="A168" s="1778"/>
      <c r="B168" s="903" t="s">
        <v>602</v>
      </c>
      <c r="C168" s="935">
        <v>120</v>
      </c>
      <c r="D168" s="935">
        <v>168</v>
      </c>
      <c r="E168" s="935">
        <v>192</v>
      </c>
      <c r="F168" s="935">
        <v>288</v>
      </c>
      <c r="G168" s="936">
        <v>480</v>
      </c>
      <c r="H168" s="564"/>
      <c r="I168" s="564"/>
      <c r="J168" s="564"/>
      <c r="K168" s="564"/>
      <c r="L168" s="564"/>
      <c r="M168" s="564"/>
    </row>
    <row r="169" spans="1:13" ht="6.75" customHeight="1" thickBot="1">
      <c r="A169" s="997"/>
      <c r="B169" s="589"/>
      <c r="C169" s="937"/>
      <c r="D169" s="937"/>
      <c r="E169" s="937"/>
      <c r="F169" s="937"/>
      <c r="G169" s="1000"/>
      <c r="H169" s="564"/>
      <c r="I169" s="564"/>
      <c r="J169" s="564"/>
      <c r="K169" s="564"/>
      <c r="L169" s="564"/>
      <c r="M169" s="564"/>
    </row>
    <row r="170" spans="1:13" ht="14.25" customHeight="1">
      <c r="A170" s="1776">
        <v>43376</v>
      </c>
      <c r="B170" s="901" t="s">
        <v>611</v>
      </c>
      <c r="C170" s="931">
        <v>128</v>
      </c>
      <c r="D170" s="931">
        <v>180</v>
      </c>
      <c r="E170" s="931" t="s">
        <v>126</v>
      </c>
      <c r="F170" s="931" t="s">
        <v>126</v>
      </c>
      <c r="G170" s="932">
        <v>512</v>
      </c>
      <c r="H170" s="564"/>
      <c r="I170" s="564"/>
      <c r="J170" s="564"/>
      <c r="K170" s="564"/>
      <c r="L170" s="564"/>
      <c r="M170" s="564"/>
    </row>
    <row r="171" spans="1:13" ht="14.25" customHeight="1">
      <c r="A171" s="1777"/>
      <c r="B171" s="902" t="s">
        <v>612</v>
      </c>
      <c r="C171" s="933">
        <v>128</v>
      </c>
      <c r="D171" s="933">
        <v>180</v>
      </c>
      <c r="E171" s="933">
        <v>205</v>
      </c>
      <c r="F171" s="933">
        <v>308</v>
      </c>
      <c r="G171" s="934">
        <v>512</v>
      </c>
      <c r="H171" s="564"/>
      <c r="I171" s="564"/>
      <c r="J171" s="564"/>
      <c r="K171" s="564"/>
      <c r="L171" s="564"/>
      <c r="M171" s="564"/>
    </row>
    <row r="172" spans="1:13" ht="14.25" customHeight="1" thickBot="1">
      <c r="A172" s="1778"/>
      <c r="B172" s="903" t="s">
        <v>602</v>
      </c>
      <c r="C172" s="935">
        <v>128</v>
      </c>
      <c r="D172" s="935">
        <v>180</v>
      </c>
      <c r="E172" s="935">
        <v>205</v>
      </c>
      <c r="F172" s="935">
        <v>308</v>
      </c>
      <c r="G172" s="936">
        <v>512</v>
      </c>
      <c r="H172" s="564"/>
      <c r="I172" s="564"/>
      <c r="J172" s="564"/>
      <c r="K172" s="564"/>
      <c r="L172" s="564"/>
      <c r="M172" s="564"/>
    </row>
    <row r="173" spans="1:13" ht="5.25" customHeight="1" thickBot="1">
      <c r="A173" s="997"/>
      <c r="B173" s="589"/>
      <c r="C173" s="937"/>
      <c r="D173" s="937"/>
      <c r="E173" s="937"/>
      <c r="F173" s="937"/>
      <c r="G173" s="1000"/>
      <c r="H173" s="564"/>
      <c r="I173" s="564"/>
      <c r="J173" s="564"/>
      <c r="K173" s="564"/>
      <c r="L173" s="564"/>
      <c r="M173" s="564"/>
    </row>
    <row r="174" spans="1:13" ht="14.25" customHeight="1">
      <c r="A174" s="1776">
        <v>43382</v>
      </c>
      <c r="B174" s="901" t="s">
        <v>611</v>
      </c>
      <c r="C174" s="931">
        <v>128</v>
      </c>
      <c r="D174" s="931">
        <v>180</v>
      </c>
      <c r="E174" s="931" t="s">
        <v>126</v>
      </c>
      <c r="F174" s="931" t="s">
        <v>126</v>
      </c>
      <c r="G174" s="932">
        <v>512</v>
      </c>
      <c r="H174" s="564"/>
      <c r="I174" s="564"/>
      <c r="J174" s="564"/>
      <c r="K174" s="564"/>
      <c r="L174" s="564"/>
      <c r="M174" s="564"/>
    </row>
    <row r="175" spans="1:13" ht="14.25" customHeight="1">
      <c r="A175" s="1777"/>
      <c r="B175" s="902" t="s">
        <v>612</v>
      </c>
      <c r="C175" s="933">
        <v>128</v>
      </c>
      <c r="D175" s="933">
        <v>180</v>
      </c>
      <c r="E175" s="933">
        <v>205</v>
      </c>
      <c r="F175" s="933">
        <v>308</v>
      </c>
      <c r="G175" s="934">
        <v>512</v>
      </c>
      <c r="H175" s="564"/>
      <c r="I175" s="564"/>
      <c r="J175" s="564"/>
      <c r="K175" s="564"/>
      <c r="L175" s="564"/>
      <c r="M175" s="564"/>
    </row>
    <row r="176" spans="1:13" ht="14.25" customHeight="1" thickBot="1">
      <c r="A176" s="1778"/>
      <c r="B176" s="903" t="s">
        <v>602</v>
      </c>
      <c r="C176" s="935">
        <v>128</v>
      </c>
      <c r="D176" s="935">
        <v>180</v>
      </c>
      <c r="E176" s="935">
        <v>205</v>
      </c>
      <c r="F176" s="935">
        <v>308</v>
      </c>
      <c r="G176" s="936">
        <v>512</v>
      </c>
      <c r="H176" s="564"/>
      <c r="I176" s="564"/>
      <c r="J176" s="564"/>
      <c r="K176" s="564"/>
      <c r="L176" s="564"/>
      <c r="M176" s="564"/>
    </row>
    <row r="177" spans="1:13" ht="5.25" customHeight="1" thickBot="1">
      <c r="A177" s="997"/>
      <c r="B177" s="589"/>
      <c r="C177" s="937"/>
      <c r="D177" s="937"/>
      <c r="E177" s="937"/>
      <c r="F177" s="937"/>
      <c r="G177" s="1000"/>
      <c r="H177" s="564"/>
      <c r="I177" s="564"/>
      <c r="J177" s="564"/>
      <c r="K177" s="564"/>
      <c r="L177" s="564"/>
      <c r="M177" s="564"/>
    </row>
    <row r="178" spans="1:13" ht="14.25" customHeight="1">
      <c r="A178" s="1776">
        <v>43389</v>
      </c>
      <c r="B178" s="901" t="s">
        <v>611</v>
      </c>
      <c r="C178" s="931">
        <v>128</v>
      </c>
      <c r="D178" s="931">
        <v>180</v>
      </c>
      <c r="E178" s="931" t="s">
        <v>126</v>
      </c>
      <c r="F178" s="931" t="s">
        <v>126</v>
      </c>
      <c r="G178" s="932">
        <v>512</v>
      </c>
      <c r="H178" s="564"/>
      <c r="I178" s="564"/>
      <c r="J178" s="564"/>
      <c r="K178" s="564"/>
      <c r="L178" s="564"/>
      <c r="M178" s="564"/>
    </row>
    <row r="179" spans="1:13" ht="14.25" customHeight="1">
      <c r="A179" s="1777"/>
      <c r="B179" s="902" t="s">
        <v>612</v>
      </c>
      <c r="C179" s="933">
        <v>128</v>
      </c>
      <c r="D179" s="933">
        <v>180</v>
      </c>
      <c r="E179" s="933">
        <v>205</v>
      </c>
      <c r="F179" s="933">
        <v>308</v>
      </c>
      <c r="G179" s="934">
        <v>512</v>
      </c>
      <c r="H179" s="564"/>
      <c r="I179" s="564"/>
      <c r="J179" s="564"/>
      <c r="K179" s="564"/>
      <c r="L179" s="564"/>
      <c r="M179" s="564"/>
    </row>
    <row r="180" spans="1:13" ht="14.25" customHeight="1" thickBot="1">
      <c r="A180" s="1778"/>
      <c r="B180" s="903" t="s">
        <v>602</v>
      </c>
      <c r="C180" s="935">
        <v>128</v>
      </c>
      <c r="D180" s="935">
        <v>180</v>
      </c>
      <c r="E180" s="935">
        <v>205</v>
      </c>
      <c r="F180" s="935">
        <v>308</v>
      </c>
      <c r="G180" s="936">
        <v>512</v>
      </c>
      <c r="H180" s="564"/>
      <c r="I180" s="564"/>
      <c r="J180" s="564"/>
      <c r="K180" s="564"/>
      <c r="L180" s="564"/>
      <c r="M180" s="564"/>
    </row>
    <row r="181" spans="1:13" ht="6" customHeight="1" thickBot="1">
      <c r="A181" s="997"/>
      <c r="B181" s="589"/>
      <c r="C181" s="937"/>
      <c r="D181" s="937"/>
      <c r="E181" s="937"/>
      <c r="F181" s="937"/>
      <c r="G181" s="1000"/>
      <c r="H181" s="564"/>
      <c r="I181" s="564"/>
      <c r="J181" s="564"/>
      <c r="K181" s="564"/>
      <c r="L181" s="564"/>
      <c r="M181" s="564"/>
    </row>
    <row r="182" spans="1:13" ht="14.25" customHeight="1">
      <c r="A182" s="1776">
        <v>43397</v>
      </c>
      <c r="B182" s="901" t="s">
        <v>611</v>
      </c>
      <c r="C182" s="931">
        <v>128</v>
      </c>
      <c r="D182" s="931">
        <v>180</v>
      </c>
      <c r="E182" s="931" t="s">
        <v>126</v>
      </c>
      <c r="F182" s="931" t="s">
        <v>126</v>
      </c>
      <c r="G182" s="932">
        <v>512</v>
      </c>
      <c r="H182" s="564"/>
      <c r="I182" s="564"/>
      <c r="J182" s="564"/>
      <c r="K182" s="564"/>
      <c r="L182" s="564"/>
      <c r="M182" s="564"/>
    </row>
    <row r="183" spans="1:13" ht="14.25" customHeight="1">
      <c r="A183" s="1777"/>
      <c r="B183" s="902" t="s">
        <v>612</v>
      </c>
      <c r="C183" s="933">
        <v>128</v>
      </c>
      <c r="D183" s="933">
        <v>180</v>
      </c>
      <c r="E183" s="933">
        <v>205</v>
      </c>
      <c r="F183" s="933">
        <v>308</v>
      </c>
      <c r="G183" s="934">
        <v>512</v>
      </c>
      <c r="H183" s="564"/>
      <c r="I183" s="564"/>
      <c r="J183" s="564"/>
      <c r="K183" s="564"/>
      <c r="L183" s="564"/>
      <c r="M183" s="564"/>
    </row>
    <row r="184" spans="1:13" ht="14.25" customHeight="1" thickBot="1">
      <c r="A184" s="1778"/>
      <c r="B184" s="903" t="s">
        <v>602</v>
      </c>
      <c r="C184" s="935">
        <v>128</v>
      </c>
      <c r="D184" s="935">
        <v>180</v>
      </c>
      <c r="E184" s="935">
        <v>205</v>
      </c>
      <c r="F184" s="935">
        <v>308</v>
      </c>
      <c r="G184" s="936">
        <v>512</v>
      </c>
      <c r="H184" s="564"/>
      <c r="I184" s="564"/>
      <c r="J184" s="564"/>
      <c r="K184" s="564"/>
      <c r="L184" s="564"/>
      <c r="M184" s="564"/>
    </row>
    <row r="185" spans="1:13" ht="5.25" customHeight="1" thickBot="1">
      <c r="A185" s="997"/>
      <c r="B185" s="589"/>
      <c r="C185" s="937"/>
      <c r="D185" s="937"/>
      <c r="E185" s="937"/>
      <c r="F185" s="937"/>
      <c r="G185" s="1000"/>
      <c r="H185" s="564"/>
      <c r="I185" s="564"/>
      <c r="J185" s="564"/>
      <c r="K185" s="564"/>
      <c r="L185" s="564"/>
      <c r="M185" s="564"/>
    </row>
    <row r="186" spans="1:13" ht="14.25" customHeight="1">
      <c r="A186" s="1776">
        <v>43409</v>
      </c>
      <c r="B186" s="901" t="s">
        <v>611</v>
      </c>
      <c r="C186" s="931">
        <v>128</v>
      </c>
      <c r="D186" s="931">
        <v>180</v>
      </c>
      <c r="E186" s="931" t="s">
        <v>126</v>
      </c>
      <c r="F186" s="931" t="s">
        <v>126</v>
      </c>
      <c r="G186" s="932">
        <v>512</v>
      </c>
      <c r="H186" s="564"/>
      <c r="I186" s="564"/>
      <c r="J186" s="564"/>
      <c r="K186" s="564"/>
      <c r="L186" s="564"/>
      <c r="M186" s="564"/>
    </row>
    <row r="187" spans="1:13" ht="14.25" customHeight="1">
      <c r="A187" s="1777"/>
      <c r="B187" s="902" t="s">
        <v>612</v>
      </c>
      <c r="C187" s="933">
        <v>128</v>
      </c>
      <c r="D187" s="933">
        <v>180</v>
      </c>
      <c r="E187" s="933">
        <v>205</v>
      </c>
      <c r="F187" s="933">
        <v>308</v>
      </c>
      <c r="G187" s="934">
        <v>512</v>
      </c>
      <c r="H187" s="564"/>
      <c r="I187" s="564"/>
      <c r="J187" s="564"/>
      <c r="K187" s="564"/>
      <c r="L187" s="564"/>
      <c r="M187" s="564"/>
    </row>
    <row r="188" spans="1:13" ht="14.25" customHeight="1" thickBot="1">
      <c r="A188" s="1778"/>
      <c r="B188" s="903" t="s">
        <v>602</v>
      </c>
      <c r="C188" s="935">
        <v>128</v>
      </c>
      <c r="D188" s="935">
        <v>180</v>
      </c>
      <c r="E188" s="935">
        <v>205</v>
      </c>
      <c r="F188" s="935">
        <v>308</v>
      </c>
      <c r="G188" s="936">
        <v>512</v>
      </c>
      <c r="H188" s="564"/>
      <c r="I188" s="564"/>
      <c r="J188" s="564"/>
      <c r="K188" s="564"/>
      <c r="L188" s="564"/>
      <c r="M188" s="564"/>
    </row>
    <row r="189" spans="1:13" ht="6" customHeight="1" thickBot="1">
      <c r="A189" s="997"/>
      <c r="B189" s="589"/>
      <c r="C189" s="937"/>
      <c r="D189" s="937"/>
      <c r="E189" s="937"/>
      <c r="F189" s="937"/>
      <c r="G189" s="1000"/>
      <c r="H189" s="564"/>
      <c r="I189" s="564"/>
      <c r="J189" s="564"/>
      <c r="K189" s="564"/>
      <c r="L189" s="564"/>
      <c r="M189" s="564"/>
    </row>
    <row r="190" spans="1:13" ht="13.5" customHeight="1">
      <c r="A190" s="1776">
        <v>43417</v>
      </c>
      <c r="B190" s="901" t="s">
        <v>611</v>
      </c>
      <c r="C190" s="931">
        <v>128</v>
      </c>
      <c r="D190" s="931">
        <v>180</v>
      </c>
      <c r="E190" s="931" t="s">
        <v>126</v>
      </c>
      <c r="F190" s="931" t="s">
        <v>126</v>
      </c>
      <c r="G190" s="932">
        <v>512</v>
      </c>
      <c r="H190" s="564"/>
      <c r="I190" s="564"/>
      <c r="J190" s="564"/>
      <c r="K190" s="564"/>
      <c r="L190" s="564"/>
      <c r="M190" s="564"/>
    </row>
    <row r="191" spans="1:13" ht="9.75" customHeight="1">
      <c r="A191" s="1777"/>
      <c r="B191" s="902" t="s">
        <v>612</v>
      </c>
      <c r="C191" s="933">
        <v>128</v>
      </c>
      <c r="D191" s="933">
        <v>180</v>
      </c>
      <c r="E191" s="933">
        <v>205</v>
      </c>
      <c r="F191" s="933">
        <v>308</v>
      </c>
      <c r="G191" s="934">
        <v>512</v>
      </c>
      <c r="H191" s="564"/>
      <c r="I191" s="564"/>
      <c r="J191" s="564"/>
      <c r="K191" s="564"/>
      <c r="L191" s="564"/>
      <c r="M191" s="564"/>
    </row>
    <row r="192" spans="1:13" ht="14.25" customHeight="1" thickBot="1">
      <c r="A192" s="1778"/>
      <c r="B192" s="903" t="s">
        <v>602</v>
      </c>
      <c r="C192" s="935">
        <v>128</v>
      </c>
      <c r="D192" s="935">
        <v>180</v>
      </c>
      <c r="E192" s="935">
        <v>205</v>
      </c>
      <c r="F192" s="935">
        <v>308</v>
      </c>
      <c r="G192" s="936">
        <v>512</v>
      </c>
      <c r="H192" s="564"/>
      <c r="I192" s="564"/>
      <c r="J192" s="564"/>
      <c r="K192" s="564"/>
      <c r="L192" s="564"/>
      <c r="M192" s="564"/>
    </row>
    <row r="193" spans="1:13" ht="6" customHeight="1" thickBot="1">
      <c r="A193" s="997"/>
      <c r="B193" s="589"/>
      <c r="C193" s="937"/>
      <c r="D193" s="937"/>
      <c r="E193" s="937"/>
      <c r="F193" s="937"/>
      <c r="G193" s="1000"/>
      <c r="H193" s="564"/>
      <c r="I193" s="564"/>
      <c r="J193" s="564"/>
      <c r="K193" s="564"/>
      <c r="L193" s="564"/>
      <c r="M193" s="564"/>
    </row>
    <row r="194" spans="1:13" ht="12" customHeight="1">
      <c r="A194" s="1776">
        <v>43424</v>
      </c>
      <c r="B194" s="901" t="s">
        <v>611</v>
      </c>
      <c r="C194" s="931">
        <v>128</v>
      </c>
      <c r="D194" s="931">
        <v>180</v>
      </c>
      <c r="E194" s="931" t="s">
        <v>126</v>
      </c>
      <c r="F194" s="931" t="s">
        <v>126</v>
      </c>
      <c r="G194" s="932">
        <v>512</v>
      </c>
      <c r="H194" s="564"/>
      <c r="I194" s="564"/>
      <c r="J194" s="564"/>
      <c r="K194" s="564"/>
      <c r="L194" s="564"/>
      <c r="M194" s="564"/>
    </row>
    <row r="195" spans="1:13" ht="12" customHeight="1">
      <c r="A195" s="1777"/>
      <c r="B195" s="902" t="s">
        <v>612</v>
      </c>
      <c r="C195" s="933">
        <v>128</v>
      </c>
      <c r="D195" s="933">
        <v>180</v>
      </c>
      <c r="E195" s="933">
        <v>205</v>
      </c>
      <c r="F195" s="933">
        <v>308</v>
      </c>
      <c r="G195" s="934">
        <v>512</v>
      </c>
      <c r="H195" s="564"/>
      <c r="I195" s="564"/>
      <c r="J195" s="564"/>
      <c r="K195" s="564"/>
      <c r="L195" s="564"/>
      <c r="M195" s="564"/>
    </row>
    <row r="196" spans="1:13" ht="12.75" customHeight="1" thickBot="1">
      <c r="A196" s="1778"/>
      <c r="B196" s="903" t="s">
        <v>602</v>
      </c>
      <c r="C196" s="935">
        <v>128</v>
      </c>
      <c r="D196" s="935">
        <v>180</v>
      </c>
      <c r="E196" s="935">
        <v>205</v>
      </c>
      <c r="F196" s="935">
        <v>308</v>
      </c>
      <c r="G196" s="936">
        <v>512</v>
      </c>
      <c r="H196" s="564"/>
      <c r="I196" s="564"/>
      <c r="J196" s="564"/>
      <c r="K196" s="564"/>
      <c r="L196" s="564"/>
      <c r="M196" s="564"/>
    </row>
    <row r="197" spans="1:13" ht="5.25" customHeight="1" thickBot="1">
      <c r="A197" s="997"/>
      <c r="B197" s="589"/>
      <c r="C197" s="937"/>
      <c r="D197" s="937"/>
      <c r="E197" s="937"/>
      <c r="F197" s="937"/>
      <c r="G197" s="1000"/>
      <c r="H197" s="564"/>
      <c r="I197" s="564"/>
      <c r="J197" s="564"/>
      <c r="K197" s="564"/>
      <c r="L197" s="564"/>
      <c r="M197" s="564"/>
    </row>
    <row r="198" spans="1:13" ht="14.25" customHeight="1">
      <c r="A198" s="1776">
        <v>43431</v>
      </c>
      <c r="B198" s="901" t="s">
        <v>611</v>
      </c>
      <c r="C198" s="931">
        <v>123</v>
      </c>
      <c r="D198" s="931">
        <v>173</v>
      </c>
      <c r="E198" s="931" t="s">
        <v>126</v>
      </c>
      <c r="F198" s="931" t="s">
        <v>126</v>
      </c>
      <c r="G198" s="932">
        <v>492</v>
      </c>
      <c r="H198" s="564"/>
      <c r="I198" s="564"/>
      <c r="J198" s="564"/>
      <c r="K198" s="564"/>
      <c r="L198" s="564"/>
      <c r="M198" s="564"/>
    </row>
    <row r="199" spans="1:13" ht="12.75" customHeight="1">
      <c r="A199" s="1777"/>
      <c r="B199" s="902" t="s">
        <v>612</v>
      </c>
      <c r="C199" s="933">
        <v>123</v>
      </c>
      <c r="D199" s="933">
        <v>173</v>
      </c>
      <c r="E199" s="933">
        <v>197</v>
      </c>
      <c r="F199" s="933">
        <v>295</v>
      </c>
      <c r="G199" s="934">
        <v>492</v>
      </c>
      <c r="H199" s="564"/>
      <c r="I199" s="564"/>
      <c r="J199" s="564"/>
      <c r="K199" s="564"/>
      <c r="L199" s="564"/>
      <c r="M199" s="564"/>
    </row>
    <row r="200" spans="1:13" ht="12" customHeight="1" thickBot="1">
      <c r="A200" s="1778"/>
      <c r="B200" s="903" t="s">
        <v>602</v>
      </c>
      <c r="C200" s="935">
        <v>123</v>
      </c>
      <c r="D200" s="935">
        <v>173</v>
      </c>
      <c r="E200" s="935">
        <v>197</v>
      </c>
      <c r="F200" s="935">
        <v>295</v>
      </c>
      <c r="G200" s="936">
        <v>492</v>
      </c>
      <c r="H200" s="564"/>
      <c r="I200" s="564"/>
      <c r="J200" s="564"/>
      <c r="K200" s="564"/>
      <c r="L200" s="564"/>
      <c r="M200" s="564"/>
    </row>
    <row r="201" spans="1:13" ht="6" customHeight="1" thickBot="1">
      <c r="A201" s="997"/>
      <c r="B201" s="589"/>
      <c r="C201" s="937"/>
      <c r="D201" s="937"/>
      <c r="E201" s="937"/>
      <c r="F201" s="937"/>
      <c r="G201" s="1000"/>
      <c r="H201" s="564"/>
      <c r="I201" s="564"/>
      <c r="J201" s="564"/>
      <c r="K201" s="564"/>
      <c r="L201" s="564"/>
      <c r="M201" s="564"/>
    </row>
    <row r="202" spans="1:13" ht="12" customHeight="1">
      <c r="A202" s="1776">
        <v>43438</v>
      </c>
      <c r="B202" s="901" t="s">
        <v>611</v>
      </c>
      <c r="C202" s="931">
        <v>123</v>
      </c>
      <c r="D202" s="931">
        <v>173</v>
      </c>
      <c r="E202" s="931" t="s">
        <v>126</v>
      </c>
      <c r="F202" s="931" t="s">
        <v>126</v>
      </c>
      <c r="G202" s="932">
        <v>492</v>
      </c>
      <c r="H202" s="564"/>
      <c r="I202" s="564"/>
      <c r="J202" s="564"/>
      <c r="K202" s="564"/>
      <c r="L202" s="564"/>
      <c r="M202" s="564"/>
    </row>
    <row r="203" spans="1:13" ht="12" customHeight="1">
      <c r="A203" s="1777"/>
      <c r="B203" s="902" t="s">
        <v>612</v>
      </c>
      <c r="C203" s="933">
        <v>123</v>
      </c>
      <c r="D203" s="933">
        <v>173</v>
      </c>
      <c r="E203" s="933">
        <v>197</v>
      </c>
      <c r="F203" s="933">
        <v>295</v>
      </c>
      <c r="G203" s="934">
        <v>492</v>
      </c>
      <c r="H203" s="564"/>
      <c r="I203" s="564"/>
      <c r="J203" s="564"/>
      <c r="K203" s="564"/>
      <c r="L203" s="564"/>
      <c r="M203" s="564"/>
    </row>
    <row r="204" spans="1:13" ht="12" customHeight="1" thickBot="1">
      <c r="A204" s="1778"/>
      <c r="B204" s="903" t="s">
        <v>602</v>
      </c>
      <c r="C204" s="935">
        <v>123</v>
      </c>
      <c r="D204" s="935">
        <v>173</v>
      </c>
      <c r="E204" s="935">
        <v>197</v>
      </c>
      <c r="F204" s="935">
        <v>295</v>
      </c>
      <c r="G204" s="936">
        <v>492</v>
      </c>
      <c r="H204" s="564"/>
      <c r="I204" s="564"/>
      <c r="J204" s="564"/>
      <c r="K204" s="564"/>
      <c r="L204" s="564"/>
      <c r="M204" s="564"/>
    </row>
    <row r="205" spans="1:13" ht="4.5" customHeight="1" thickBot="1">
      <c r="A205" s="997"/>
      <c r="B205" s="589"/>
      <c r="C205" s="937"/>
      <c r="D205" s="937"/>
      <c r="E205" s="937"/>
      <c r="F205" s="937"/>
      <c r="G205" s="1000"/>
      <c r="H205" s="564"/>
      <c r="I205" s="564"/>
      <c r="J205" s="564"/>
      <c r="K205" s="564"/>
      <c r="L205" s="564"/>
      <c r="M205" s="564"/>
    </row>
    <row r="206" spans="1:13" ht="12" customHeight="1">
      <c r="A206" s="1776">
        <v>43445</v>
      </c>
      <c r="B206" s="901" t="s">
        <v>611</v>
      </c>
      <c r="C206" s="931">
        <v>123</v>
      </c>
      <c r="D206" s="931">
        <v>173</v>
      </c>
      <c r="E206" s="931" t="s">
        <v>126</v>
      </c>
      <c r="F206" s="931" t="s">
        <v>126</v>
      </c>
      <c r="G206" s="932">
        <v>492</v>
      </c>
      <c r="H206" s="564"/>
      <c r="I206" s="564"/>
      <c r="J206" s="564"/>
      <c r="K206" s="564"/>
      <c r="L206" s="564"/>
      <c r="M206" s="564"/>
    </row>
    <row r="207" spans="1:13" ht="12" customHeight="1">
      <c r="A207" s="1777"/>
      <c r="B207" s="902" t="s">
        <v>612</v>
      </c>
      <c r="C207" s="933">
        <v>123</v>
      </c>
      <c r="D207" s="933">
        <v>173</v>
      </c>
      <c r="E207" s="933">
        <v>197</v>
      </c>
      <c r="F207" s="933">
        <v>295</v>
      </c>
      <c r="G207" s="934">
        <v>492</v>
      </c>
      <c r="H207" s="564"/>
      <c r="I207" s="564"/>
      <c r="J207" s="564"/>
      <c r="K207" s="564"/>
      <c r="L207" s="564"/>
      <c r="M207" s="564"/>
    </row>
    <row r="208" spans="1:13" ht="12" customHeight="1" thickBot="1">
      <c r="A208" s="1778"/>
      <c r="B208" s="903" t="s">
        <v>602</v>
      </c>
      <c r="C208" s="935">
        <v>123</v>
      </c>
      <c r="D208" s="935">
        <v>173</v>
      </c>
      <c r="E208" s="935">
        <v>197</v>
      </c>
      <c r="F208" s="935">
        <v>295</v>
      </c>
      <c r="G208" s="936">
        <v>492</v>
      </c>
      <c r="H208" s="564"/>
      <c r="I208" s="564"/>
      <c r="J208" s="564"/>
      <c r="K208" s="564"/>
      <c r="L208" s="564"/>
      <c r="M208" s="564"/>
    </row>
    <row r="209" spans="1:13" ht="5.25" customHeight="1" thickBot="1">
      <c r="A209" s="997"/>
      <c r="B209" s="589"/>
      <c r="C209" s="937"/>
      <c r="D209" s="937"/>
      <c r="E209" s="937"/>
      <c r="F209" s="937"/>
      <c r="G209" s="1000"/>
      <c r="H209" s="564"/>
      <c r="I209" s="564"/>
      <c r="J209" s="564"/>
      <c r="K209" s="564"/>
      <c r="L209" s="564"/>
      <c r="M209" s="564"/>
    </row>
    <row r="210" spans="1:13" ht="11.25" customHeight="1">
      <c r="A210" s="1776">
        <v>43452</v>
      </c>
      <c r="B210" s="901" t="s">
        <v>611</v>
      </c>
      <c r="C210" s="931">
        <v>123</v>
      </c>
      <c r="D210" s="931">
        <v>173</v>
      </c>
      <c r="E210" s="931" t="s">
        <v>126</v>
      </c>
      <c r="F210" s="931" t="s">
        <v>126</v>
      </c>
      <c r="G210" s="932">
        <v>492</v>
      </c>
      <c r="H210" s="564"/>
      <c r="I210" s="564"/>
      <c r="J210" s="564"/>
      <c r="K210" s="564"/>
      <c r="L210" s="564"/>
      <c r="M210" s="564"/>
    </row>
    <row r="211" spans="1:13" ht="11.25" customHeight="1">
      <c r="A211" s="1777"/>
      <c r="B211" s="902" t="s">
        <v>612</v>
      </c>
      <c r="C211" s="933">
        <v>123</v>
      </c>
      <c r="D211" s="933">
        <v>173</v>
      </c>
      <c r="E211" s="933">
        <v>197</v>
      </c>
      <c r="F211" s="933">
        <v>295</v>
      </c>
      <c r="G211" s="934">
        <v>492</v>
      </c>
      <c r="H211" s="564"/>
      <c r="I211" s="564"/>
      <c r="J211" s="564"/>
      <c r="K211" s="564"/>
      <c r="L211" s="564"/>
      <c r="M211" s="564"/>
    </row>
    <row r="212" spans="1:13" ht="11.25" customHeight="1" thickBot="1">
      <c r="A212" s="1778"/>
      <c r="B212" s="903" t="s">
        <v>602</v>
      </c>
      <c r="C212" s="935">
        <v>123</v>
      </c>
      <c r="D212" s="935">
        <v>173</v>
      </c>
      <c r="E212" s="935">
        <v>197</v>
      </c>
      <c r="F212" s="935">
        <v>295</v>
      </c>
      <c r="G212" s="936">
        <v>492</v>
      </c>
      <c r="H212" s="564"/>
      <c r="I212" s="564"/>
      <c r="J212" s="564"/>
      <c r="K212" s="564"/>
      <c r="L212" s="564"/>
      <c r="M212" s="564"/>
    </row>
    <row r="213" spans="1:13" ht="6" customHeight="1" thickBot="1">
      <c r="A213" s="997"/>
      <c r="B213" s="589"/>
      <c r="C213" s="937"/>
      <c r="D213" s="937"/>
      <c r="E213" s="937"/>
      <c r="F213" s="937"/>
      <c r="G213" s="1000"/>
      <c r="H213" s="564"/>
      <c r="I213" s="564"/>
      <c r="J213" s="564"/>
      <c r="K213" s="564"/>
      <c r="L213" s="564"/>
      <c r="M213" s="564"/>
    </row>
    <row r="214" spans="1:13" ht="12" customHeight="1">
      <c r="A214" s="1776">
        <v>43460</v>
      </c>
      <c r="B214" s="901" t="s">
        <v>611</v>
      </c>
      <c r="C214" s="931">
        <v>123</v>
      </c>
      <c r="D214" s="931">
        <v>173</v>
      </c>
      <c r="E214" s="931" t="s">
        <v>126</v>
      </c>
      <c r="F214" s="931" t="s">
        <v>126</v>
      </c>
      <c r="G214" s="932">
        <v>492</v>
      </c>
      <c r="H214" s="564"/>
      <c r="I214" s="564"/>
      <c r="J214" s="564"/>
      <c r="K214" s="564"/>
      <c r="L214" s="564"/>
      <c r="M214" s="564"/>
    </row>
    <row r="215" spans="1:13" ht="12" customHeight="1">
      <c r="A215" s="1777"/>
      <c r="B215" s="902" t="s">
        <v>612</v>
      </c>
      <c r="C215" s="933">
        <v>123</v>
      </c>
      <c r="D215" s="933">
        <v>173</v>
      </c>
      <c r="E215" s="933">
        <v>197</v>
      </c>
      <c r="F215" s="933">
        <v>295</v>
      </c>
      <c r="G215" s="934">
        <v>492</v>
      </c>
      <c r="H215" s="564"/>
      <c r="I215" s="564"/>
      <c r="J215" s="564"/>
      <c r="K215" s="564"/>
      <c r="L215" s="564"/>
      <c r="M215" s="564"/>
    </row>
    <row r="216" spans="1:13" ht="12" customHeight="1" thickBot="1">
      <c r="A216" s="1778"/>
      <c r="B216" s="903" t="s">
        <v>602</v>
      </c>
      <c r="C216" s="935">
        <v>123</v>
      </c>
      <c r="D216" s="935">
        <v>173</v>
      </c>
      <c r="E216" s="935">
        <v>197</v>
      </c>
      <c r="F216" s="935">
        <v>295</v>
      </c>
      <c r="G216" s="936">
        <v>492</v>
      </c>
      <c r="H216" s="564"/>
      <c r="I216" s="564"/>
    </row>
    <row r="217" spans="1:13" ht="6" customHeight="1" thickBot="1">
      <c r="A217" s="1025"/>
      <c r="B217" s="581"/>
      <c r="C217" s="1012"/>
      <c r="D217" s="1012"/>
      <c r="E217" s="1012"/>
      <c r="F217" s="1012"/>
      <c r="G217" s="1012"/>
      <c r="H217" s="564"/>
      <c r="I217" s="564"/>
    </row>
    <row r="218" spans="1:13" ht="12" customHeight="1">
      <c r="A218" s="1776">
        <v>43467</v>
      </c>
      <c r="B218" s="901" t="s">
        <v>611</v>
      </c>
      <c r="C218" s="931">
        <v>123</v>
      </c>
      <c r="D218" s="931">
        <v>173</v>
      </c>
      <c r="E218" s="931" t="s">
        <v>126</v>
      </c>
      <c r="F218" s="931" t="s">
        <v>126</v>
      </c>
      <c r="G218" s="932">
        <v>492</v>
      </c>
      <c r="H218" s="564"/>
      <c r="I218" s="564"/>
    </row>
    <row r="219" spans="1:13" ht="12" customHeight="1">
      <c r="A219" s="1777"/>
      <c r="B219" s="902" t="s">
        <v>612</v>
      </c>
      <c r="C219" s="933">
        <v>123</v>
      </c>
      <c r="D219" s="933">
        <v>173</v>
      </c>
      <c r="E219" s="933">
        <v>197</v>
      </c>
      <c r="F219" s="933">
        <v>295</v>
      </c>
      <c r="G219" s="934">
        <v>492</v>
      </c>
      <c r="H219" s="564"/>
      <c r="I219" s="564"/>
    </row>
    <row r="220" spans="1:13" ht="12" customHeight="1" thickBot="1">
      <c r="A220" s="1778"/>
      <c r="B220" s="903" t="s">
        <v>602</v>
      </c>
      <c r="C220" s="935">
        <v>123</v>
      </c>
      <c r="D220" s="935">
        <v>173</v>
      </c>
      <c r="E220" s="935">
        <v>197</v>
      </c>
      <c r="F220" s="935">
        <v>295</v>
      </c>
      <c r="G220" s="936">
        <v>492</v>
      </c>
      <c r="H220" s="564"/>
      <c r="I220" s="564"/>
    </row>
    <row r="221" spans="1:13" ht="6" customHeight="1" thickBot="1">
      <c r="A221" s="1025"/>
      <c r="B221" s="581"/>
      <c r="C221" s="1012"/>
      <c r="D221" s="1012"/>
      <c r="E221" s="1012"/>
      <c r="F221" s="1012"/>
      <c r="G221" s="1012"/>
      <c r="H221" s="564"/>
      <c r="I221" s="564"/>
    </row>
    <row r="222" spans="1:13" ht="12" customHeight="1">
      <c r="A222" s="1776">
        <v>43472</v>
      </c>
      <c r="B222" s="901" t="s">
        <v>611</v>
      </c>
      <c r="C222" s="931">
        <v>123</v>
      </c>
      <c r="D222" s="931">
        <v>173</v>
      </c>
      <c r="E222" s="931" t="s">
        <v>126</v>
      </c>
      <c r="F222" s="931" t="s">
        <v>126</v>
      </c>
      <c r="G222" s="932">
        <v>492</v>
      </c>
      <c r="H222" s="564"/>
      <c r="I222" s="564"/>
    </row>
    <row r="223" spans="1:13" ht="12" customHeight="1">
      <c r="A223" s="1777"/>
      <c r="B223" s="902" t="s">
        <v>612</v>
      </c>
      <c r="C223" s="933">
        <v>123</v>
      </c>
      <c r="D223" s="933">
        <v>173</v>
      </c>
      <c r="E223" s="933">
        <v>197</v>
      </c>
      <c r="F223" s="933">
        <v>295</v>
      </c>
      <c r="G223" s="934">
        <v>492</v>
      </c>
      <c r="H223" s="564"/>
      <c r="I223" s="564"/>
    </row>
    <row r="224" spans="1:13" ht="12" customHeight="1" thickBot="1">
      <c r="A224" s="1778"/>
      <c r="B224" s="903" t="s">
        <v>602</v>
      </c>
      <c r="C224" s="935">
        <v>123</v>
      </c>
      <c r="D224" s="935">
        <v>173</v>
      </c>
      <c r="E224" s="935">
        <v>197</v>
      </c>
      <c r="F224" s="935">
        <v>295</v>
      </c>
      <c r="G224" s="936">
        <v>492</v>
      </c>
      <c r="H224" s="564"/>
      <c r="I224" s="564"/>
    </row>
    <row r="225" spans="1:9" ht="3.75" customHeight="1" thickBot="1">
      <c r="A225" s="1025"/>
      <c r="B225" s="1025"/>
      <c r="C225" s="1025"/>
      <c r="D225" s="1025"/>
      <c r="E225" s="1025"/>
      <c r="F225" s="1025"/>
      <c r="G225" s="1025"/>
      <c r="H225" s="564"/>
      <c r="I225" s="564"/>
    </row>
    <row r="226" spans="1:9" ht="12" customHeight="1">
      <c r="A226" s="1776">
        <v>43480</v>
      </c>
      <c r="B226" s="901" t="s">
        <v>611</v>
      </c>
      <c r="C226" s="931">
        <v>115</v>
      </c>
      <c r="D226" s="931">
        <v>161</v>
      </c>
      <c r="E226" s="931" t="s">
        <v>126</v>
      </c>
      <c r="F226" s="931" t="s">
        <v>126</v>
      </c>
      <c r="G226" s="932">
        <v>460</v>
      </c>
      <c r="H226" s="564"/>
      <c r="I226" s="564"/>
    </row>
    <row r="227" spans="1:9" ht="12" customHeight="1">
      <c r="A227" s="1777"/>
      <c r="B227" s="902" t="s">
        <v>612</v>
      </c>
      <c r="C227" s="933">
        <v>115</v>
      </c>
      <c r="D227" s="933">
        <v>161</v>
      </c>
      <c r="E227" s="933">
        <v>184</v>
      </c>
      <c r="F227" s="933">
        <v>276</v>
      </c>
      <c r="G227" s="934">
        <v>460</v>
      </c>
      <c r="H227" s="564"/>
      <c r="I227" s="564"/>
    </row>
    <row r="228" spans="1:9" ht="12" customHeight="1" thickBot="1">
      <c r="A228" s="1778"/>
      <c r="B228" s="903" t="s">
        <v>602</v>
      </c>
      <c r="C228" s="935">
        <v>115</v>
      </c>
      <c r="D228" s="935">
        <v>161</v>
      </c>
      <c r="E228" s="935">
        <v>184</v>
      </c>
      <c r="F228" s="935">
        <v>276</v>
      </c>
      <c r="G228" s="936">
        <v>460</v>
      </c>
      <c r="H228" s="564"/>
      <c r="I228" s="564"/>
    </row>
    <row r="229" spans="1:9" ht="5.25" customHeight="1" thickBot="1">
      <c r="A229" s="1025"/>
      <c r="B229" s="581"/>
      <c r="C229" s="1012"/>
      <c r="D229" s="1012"/>
      <c r="E229" s="1012"/>
      <c r="F229" s="1012"/>
      <c r="G229" s="1012"/>
      <c r="H229" s="564"/>
      <c r="I229" s="564"/>
    </row>
    <row r="230" spans="1:9" ht="12" customHeight="1">
      <c r="A230" s="1776">
        <v>43487</v>
      </c>
      <c r="B230" s="901" t="s">
        <v>611</v>
      </c>
      <c r="C230" s="931">
        <v>115</v>
      </c>
      <c r="D230" s="931">
        <v>161</v>
      </c>
      <c r="E230" s="931" t="s">
        <v>126</v>
      </c>
      <c r="F230" s="931" t="s">
        <v>126</v>
      </c>
      <c r="G230" s="932">
        <v>460</v>
      </c>
      <c r="H230" s="564"/>
      <c r="I230" s="564"/>
    </row>
    <row r="231" spans="1:9" ht="12" customHeight="1">
      <c r="A231" s="1777"/>
      <c r="B231" s="902" t="s">
        <v>612</v>
      </c>
      <c r="C231" s="933">
        <v>115</v>
      </c>
      <c r="D231" s="933">
        <v>161</v>
      </c>
      <c r="E231" s="933">
        <v>184</v>
      </c>
      <c r="F231" s="933">
        <v>276</v>
      </c>
      <c r="G231" s="934">
        <v>460</v>
      </c>
      <c r="H231" s="564"/>
      <c r="I231" s="564"/>
    </row>
    <row r="232" spans="1:9" ht="12" customHeight="1" thickBot="1">
      <c r="A232" s="1778"/>
      <c r="B232" s="903" t="s">
        <v>602</v>
      </c>
      <c r="C232" s="935">
        <v>115</v>
      </c>
      <c r="D232" s="935">
        <v>161</v>
      </c>
      <c r="E232" s="935">
        <v>184</v>
      </c>
      <c r="F232" s="935">
        <v>276</v>
      </c>
      <c r="G232" s="936">
        <v>460</v>
      </c>
      <c r="H232" s="564"/>
      <c r="I232" s="564"/>
    </row>
    <row r="233" spans="1:9" ht="5.25" customHeight="1" thickBot="1">
      <c r="A233" s="1025"/>
      <c r="B233" s="581"/>
      <c r="C233" s="1012"/>
      <c r="D233" s="1012"/>
      <c r="E233" s="1012"/>
      <c r="F233" s="1012"/>
      <c r="G233" s="1012"/>
      <c r="H233" s="564"/>
      <c r="I233" s="564"/>
    </row>
    <row r="234" spans="1:9" ht="12" customHeight="1">
      <c r="A234" s="1776">
        <v>43494</v>
      </c>
      <c r="B234" s="901" t="s">
        <v>611</v>
      </c>
      <c r="C234" s="931">
        <v>115</v>
      </c>
      <c r="D234" s="931">
        <v>161</v>
      </c>
      <c r="E234" s="931" t="s">
        <v>126</v>
      </c>
      <c r="F234" s="931" t="s">
        <v>126</v>
      </c>
      <c r="G234" s="932">
        <v>460</v>
      </c>
      <c r="H234" s="564"/>
      <c r="I234" s="564"/>
    </row>
    <row r="235" spans="1:9" ht="12" customHeight="1">
      <c r="A235" s="1777"/>
      <c r="B235" s="902" t="s">
        <v>612</v>
      </c>
      <c r="C235" s="933">
        <v>115</v>
      </c>
      <c r="D235" s="933">
        <v>161</v>
      </c>
      <c r="E235" s="933">
        <v>184</v>
      </c>
      <c r="F235" s="933">
        <v>276</v>
      </c>
      <c r="G235" s="934">
        <v>460</v>
      </c>
      <c r="H235" s="564"/>
      <c r="I235" s="564"/>
    </row>
    <row r="236" spans="1:9" ht="12" customHeight="1" thickBot="1">
      <c r="A236" s="1778"/>
      <c r="B236" s="903" t="s">
        <v>602</v>
      </c>
      <c r="C236" s="935">
        <v>115</v>
      </c>
      <c r="D236" s="935">
        <v>161</v>
      </c>
      <c r="E236" s="935">
        <v>184</v>
      </c>
      <c r="F236" s="935">
        <v>276</v>
      </c>
      <c r="G236" s="936">
        <v>460</v>
      </c>
      <c r="H236" s="564"/>
      <c r="I236" s="564"/>
    </row>
    <row r="237" spans="1:9" ht="5.25" customHeight="1" thickBot="1">
      <c r="A237" s="1025"/>
      <c r="B237" s="581"/>
      <c r="C237" s="1012"/>
      <c r="D237" s="1012"/>
      <c r="E237" s="1012"/>
      <c r="F237" s="1012"/>
      <c r="G237" s="1012"/>
      <c r="H237" s="564"/>
      <c r="I237" s="564"/>
    </row>
    <row r="238" spans="1:9" ht="12" customHeight="1">
      <c r="A238" s="1776">
        <v>43501</v>
      </c>
      <c r="B238" s="901" t="s">
        <v>611</v>
      </c>
      <c r="C238" s="931">
        <v>115</v>
      </c>
      <c r="D238" s="931">
        <v>161</v>
      </c>
      <c r="E238" s="931" t="s">
        <v>126</v>
      </c>
      <c r="F238" s="931" t="s">
        <v>126</v>
      </c>
      <c r="G238" s="932">
        <v>460</v>
      </c>
      <c r="H238" s="564"/>
      <c r="I238" s="564"/>
    </row>
    <row r="239" spans="1:9" ht="12" customHeight="1">
      <c r="A239" s="1777"/>
      <c r="B239" s="902" t="s">
        <v>612</v>
      </c>
      <c r="C239" s="933">
        <v>115</v>
      </c>
      <c r="D239" s="933">
        <v>161</v>
      </c>
      <c r="E239" s="933">
        <v>184</v>
      </c>
      <c r="F239" s="933">
        <v>276</v>
      </c>
      <c r="G239" s="934">
        <v>460</v>
      </c>
      <c r="H239" s="564"/>
      <c r="I239" s="564"/>
    </row>
    <row r="240" spans="1:9" ht="12" customHeight="1" thickBot="1">
      <c r="A240" s="1778"/>
      <c r="B240" s="903" t="s">
        <v>602</v>
      </c>
      <c r="C240" s="935">
        <v>115</v>
      </c>
      <c r="D240" s="935">
        <v>161</v>
      </c>
      <c r="E240" s="935">
        <v>184</v>
      </c>
      <c r="F240" s="935">
        <v>276</v>
      </c>
      <c r="G240" s="936">
        <v>460</v>
      </c>
      <c r="H240" s="564"/>
      <c r="I240" s="564"/>
    </row>
    <row r="241" spans="1:9" ht="7.5" customHeight="1" thickBot="1">
      <c r="A241" s="1025"/>
      <c r="B241" s="581"/>
      <c r="C241" s="1012"/>
      <c r="D241" s="1012"/>
      <c r="E241" s="1012"/>
      <c r="F241" s="1012"/>
      <c r="G241" s="1012"/>
      <c r="H241" s="564"/>
      <c r="I241" s="564"/>
    </row>
    <row r="242" spans="1:9" ht="12" customHeight="1">
      <c r="A242" s="1776">
        <v>43508</v>
      </c>
      <c r="B242" s="901" t="s">
        <v>611</v>
      </c>
      <c r="C242" s="931">
        <v>115</v>
      </c>
      <c r="D242" s="931">
        <v>161</v>
      </c>
      <c r="E242" s="931" t="s">
        <v>126</v>
      </c>
      <c r="F242" s="931" t="s">
        <v>126</v>
      </c>
      <c r="G242" s="932">
        <v>460</v>
      </c>
      <c r="H242" s="564"/>
      <c r="I242" s="564"/>
    </row>
    <row r="243" spans="1:9" ht="12" customHeight="1">
      <c r="A243" s="1777"/>
      <c r="B243" s="902" t="s">
        <v>612</v>
      </c>
      <c r="C243" s="933">
        <v>115</v>
      </c>
      <c r="D243" s="933">
        <v>161</v>
      </c>
      <c r="E243" s="933">
        <v>184</v>
      </c>
      <c r="F243" s="933">
        <v>276</v>
      </c>
      <c r="G243" s="934">
        <v>460</v>
      </c>
      <c r="H243" s="564"/>
      <c r="I243" s="564"/>
    </row>
    <row r="244" spans="1:9" ht="12" customHeight="1" thickBot="1">
      <c r="A244" s="1778"/>
      <c r="B244" s="903" t="s">
        <v>602</v>
      </c>
      <c r="C244" s="935">
        <v>115</v>
      </c>
      <c r="D244" s="935">
        <v>161</v>
      </c>
      <c r="E244" s="935">
        <v>184</v>
      </c>
      <c r="F244" s="935">
        <v>276</v>
      </c>
      <c r="G244" s="936">
        <v>460</v>
      </c>
      <c r="H244" s="564"/>
      <c r="I244" s="564"/>
    </row>
    <row r="245" spans="1:9" ht="6" customHeight="1" thickBot="1">
      <c r="A245" s="1025"/>
      <c r="B245" s="581"/>
      <c r="C245" s="1012"/>
      <c r="D245" s="1012"/>
      <c r="E245" s="1012"/>
      <c r="F245" s="1012"/>
      <c r="G245" s="1012"/>
      <c r="H245" s="564"/>
      <c r="I245" s="564"/>
    </row>
    <row r="246" spans="1:9" ht="12" customHeight="1">
      <c r="A246" s="1776">
        <v>43515</v>
      </c>
      <c r="B246" s="901" t="s">
        <v>611</v>
      </c>
      <c r="C246" s="931">
        <v>115</v>
      </c>
      <c r="D246" s="931">
        <v>161</v>
      </c>
      <c r="E246" s="931" t="s">
        <v>126</v>
      </c>
      <c r="F246" s="931" t="s">
        <v>126</v>
      </c>
      <c r="G246" s="932">
        <v>460</v>
      </c>
      <c r="H246" s="564"/>
      <c r="I246" s="564"/>
    </row>
    <row r="247" spans="1:9" ht="12" customHeight="1">
      <c r="A247" s="1777"/>
      <c r="B247" s="902" t="s">
        <v>612</v>
      </c>
      <c r="C247" s="933">
        <v>115</v>
      </c>
      <c r="D247" s="933">
        <v>161</v>
      </c>
      <c r="E247" s="933">
        <v>184</v>
      </c>
      <c r="F247" s="933">
        <v>276</v>
      </c>
      <c r="G247" s="934">
        <v>460</v>
      </c>
      <c r="H247" s="564"/>
      <c r="I247" s="564"/>
    </row>
    <row r="248" spans="1:9" ht="12" customHeight="1" thickBot="1">
      <c r="A248" s="1778"/>
      <c r="B248" s="903" t="s">
        <v>602</v>
      </c>
      <c r="C248" s="935">
        <v>115</v>
      </c>
      <c r="D248" s="935">
        <v>161</v>
      </c>
      <c r="E248" s="935">
        <v>184</v>
      </c>
      <c r="F248" s="935">
        <v>276</v>
      </c>
      <c r="G248" s="936">
        <v>460</v>
      </c>
      <c r="H248" s="564"/>
      <c r="I248" s="564"/>
    </row>
    <row r="249" spans="1:9" ht="6" customHeight="1" thickBot="1">
      <c r="A249" s="1025"/>
      <c r="B249" s="581"/>
      <c r="C249" s="1012"/>
      <c r="D249" s="1012"/>
      <c r="E249" s="1012"/>
      <c r="F249" s="1012"/>
      <c r="G249" s="1012"/>
      <c r="H249" s="564"/>
      <c r="I249" s="564"/>
    </row>
    <row r="250" spans="1:9" ht="12" customHeight="1">
      <c r="A250" s="1776">
        <v>43522</v>
      </c>
      <c r="B250" s="901" t="s">
        <v>611</v>
      </c>
      <c r="C250" s="931">
        <v>115</v>
      </c>
      <c r="D250" s="931">
        <v>161</v>
      </c>
      <c r="E250" s="931" t="s">
        <v>126</v>
      </c>
      <c r="F250" s="931" t="s">
        <v>126</v>
      </c>
      <c r="G250" s="932">
        <v>460</v>
      </c>
      <c r="H250" s="564"/>
      <c r="I250" s="564"/>
    </row>
    <row r="251" spans="1:9" ht="12" customHeight="1">
      <c r="A251" s="1777"/>
      <c r="B251" s="902" t="s">
        <v>612</v>
      </c>
      <c r="C251" s="933">
        <v>115</v>
      </c>
      <c r="D251" s="933">
        <v>161</v>
      </c>
      <c r="E251" s="933">
        <v>184</v>
      </c>
      <c r="F251" s="933">
        <v>276</v>
      </c>
      <c r="G251" s="934">
        <v>460</v>
      </c>
      <c r="H251" s="564"/>
      <c r="I251" s="564"/>
    </row>
    <row r="252" spans="1:9" ht="12" customHeight="1" thickBot="1">
      <c r="A252" s="1778"/>
      <c r="B252" s="903" t="s">
        <v>602</v>
      </c>
      <c r="C252" s="935">
        <v>115</v>
      </c>
      <c r="D252" s="935">
        <v>161</v>
      </c>
      <c r="E252" s="935">
        <v>184</v>
      </c>
      <c r="F252" s="935">
        <v>276</v>
      </c>
      <c r="G252" s="936">
        <v>460</v>
      </c>
      <c r="H252" s="564"/>
      <c r="I252" s="564"/>
    </row>
    <row r="253" spans="1:9" ht="7.5" customHeight="1" thickBot="1">
      <c r="A253" s="1025"/>
      <c r="B253" s="581"/>
      <c r="C253" s="1012"/>
      <c r="D253" s="1012"/>
      <c r="E253" s="1012"/>
      <c r="F253" s="1012"/>
      <c r="G253" s="1012"/>
      <c r="H253" s="564"/>
      <c r="I253" s="564"/>
    </row>
    <row r="254" spans="1:9" ht="12" customHeight="1">
      <c r="A254" s="1776">
        <v>43529</v>
      </c>
      <c r="B254" s="901" t="s">
        <v>611</v>
      </c>
      <c r="C254" s="931">
        <v>115</v>
      </c>
      <c r="D254" s="931">
        <v>161</v>
      </c>
      <c r="E254" s="931" t="s">
        <v>126</v>
      </c>
      <c r="F254" s="931" t="s">
        <v>126</v>
      </c>
      <c r="G254" s="932">
        <v>460</v>
      </c>
      <c r="H254" s="564"/>
      <c r="I254" s="564"/>
    </row>
    <row r="255" spans="1:9" ht="12" customHeight="1">
      <c r="A255" s="1777"/>
      <c r="B255" s="902" t="s">
        <v>612</v>
      </c>
      <c r="C255" s="933">
        <v>115</v>
      </c>
      <c r="D255" s="933">
        <v>161</v>
      </c>
      <c r="E255" s="933">
        <v>184</v>
      </c>
      <c r="F255" s="933">
        <v>276</v>
      </c>
      <c r="G255" s="934">
        <v>460</v>
      </c>
      <c r="H255" s="564"/>
      <c r="I255" s="564"/>
    </row>
    <row r="256" spans="1:9" ht="12" customHeight="1" thickBot="1">
      <c r="A256" s="1778"/>
      <c r="B256" s="903" t="s">
        <v>602</v>
      </c>
      <c r="C256" s="935">
        <v>115</v>
      </c>
      <c r="D256" s="935">
        <v>161</v>
      </c>
      <c r="E256" s="935">
        <v>184</v>
      </c>
      <c r="F256" s="935">
        <v>276</v>
      </c>
      <c r="G256" s="936">
        <v>460</v>
      </c>
      <c r="H256" s="564"/>
      <c r="I256" s="564"/>
    </row>
    <row r="257" spans="1:9" ht="6.75" customHeight="1" thickBot="1">
      <c r="A257" s="1025"/>
      <c r="B257" s="581"/>
      <c r="C257" s="1012"/>
      <c r="D257" s="1012"/>
      <c r="E257" s="1012"/>
      <c r="F257" s="1012"/>
      <c r="G257" s="1012"/>
      <c r="H257" s="564"/>
      <c r="I257" s="564"/>
    </row>
    <row r="258" spans="1:9" ht="12" customHeight="1">
      <c r="A258" s="1776">
        <v>43536</v>
      </c>
      <c r="B258" s="901" t="s">
        <v>611</v>
      </c>
      <c r="C258" s="931">
        <v>115</v>
      </c>
      <c r="D258" s="931">
        <v>161</v>
      </c>
      <c r="E258" s="931" t="s">
        <v>126</v>
      </c>
      <c r="F258" s="931" t="s">
        <v>126</v>
      </c>
      <c r="G258" s="932">
        <v>460</v>
      </c>
      <c r="H258" s="564"/>
      <c r="I258" s="564"/>
    </row>
    <row r="259" spans="1:9" ht="12" customHeight="1">
      <c r="A259" s="1777"/>
      <c r="B259" s="902" t="s">
        <v>612</v>
      </c>
      <c r="C259" s="933">
        <v>115</v>
      </c>
      <c r="D259" s="933">
        <v>161</v>
      </c>
      <c r="E259" s="933">
        <v>184</v>
      </c>
      <c r="F259" s="933">
        <v>276</v>
      </c>
      <c r="G259" s="934">
        <v>460</v>
      </c>
      <c r="H259" s="564"/>
      <c r="I259" s="564"/>
    </row>
    <row r="260" spans="1:9" ht="12" customHeight="1" thickBot="1">
      <c r="A260" s="1778"/>
      <c r="B260" s="903" t="s">
        <v>602</v>
      </c>
      <c r="C260" s="935">
        <v>115</v>
      </c>
      <c r="D260" s="935">
        <v>161</v>
      </c>
      <c r="E260" s="935">
        <v>184</v>
      </c>
      <c r="F260" s="935">
        <v>276</v>
      </c>
      <c r="G260" s="936">
        <v>460</v>
      </c>
      <c r="H260" s="564"/>
      <c r="I260" s="564"/>
    </row>
    <row r="261" spans="1:9" ht="6" customHeight="1" thickBot="1">
      <c r="A261" s="1025"/>
      <c r="B261" s="581"/>
      <c r="C261" s="1012"/>
      <c r="D261" s="1012"/>
      <c r="E261" s="1012"/>
      <c r="F261" s="1012"/>
      <c r="G261" s="1012"/>
      <c r="H261" s="564"/>
      <c r="I261" s="564"/>
    </row>
    <row r="262" spans="1:9" ht="12" customHeight="1">
      <c r="A262" s="1776">
        <v>43542</v>
      </c>
      <c r="B262" s="901" t="s">
        <v>611</v>
      </c>
      <c r="C262" s="931">
        <v>115</v>
      </c>
      <c r="D262" s="931">
        <v>161</v>
      </c>
      <c r="E262" s="931" t="s">
        <v>126</v>
      </c>
      <c r="F262" s="931" t="s">
        <v>126</v>
      </c>
      <c r="G262" s="932">
        <v>460</v>
      </c>
      <c r="H262" s="564"/>
      <c r="I262" s="564"/>
    </row>
    <row r="263" spans="1:9" ht="12" customHeight="1">
      <c r="A263" s="1777"/>
      <c r="B263" s="902" t="s">
        <v>612</v>
      </c>
      <c r="C263" s="933">
        <v>115</v>
      </c>
      <c r="D263" s="933">
        <v>161</v>
      </c>
      <c r="E263" s="933">
        <v>184</v>
      </c>
      <c r="F263" s="933">
        <v>276</v>
      </c>
      <c r="G263" s="934">
        <v>460</v>
      </c>
      <c r="H263" s="564"/>
      <c r="I263" s="564"/>
    </row>
    <row r="264" spans="1:9" ht="13.15" customHeight="1" thickBot="1">
      <c r="A264" s="1778"/>
      <c r="B264" s="903" t="s">
        <v>602</v>
      </c>
      <c r="C264" s="935">
        <v>115</v>
      </c>
      <c r="D264" s="935">
        <v>161</v>
      </c>
      <c r="E264" s="935">
        <v>184</v>
      </c>
      <c r="F264" s="935">
        <v>276</v>
      </c>
      <c r="G264" s="936">
        <v>460</v>
      </c>
      <c r="H264" s="564"/>
      <c r="I264" s="564"/>
    </row>
    <row r="265" spans="1:9" ht="3" customHeight="1" thickBot="1">
      <c r="A265" s="1025"/>
      <c r="B265" s="581"/>
      <c r="C265" s="1012"/>
      <c r="D265" s="1012"/>
      <c r="E265" s="1012"/>
      <c r="F265" s="1012"/>
      <c r="G265" s="1012"/>
      <c r="H265" s="564"/>
      <c r="I265" s="564"/>
    </row>
    <row r="266" spans="1:9" ht="12" customHeight="1">
      <c r="A266" s="1776">
        <v>43549</v>
      </c>
      <c r="B266" s="901" t="s">
        <v>611</v>
      </c>
      <c r="C266" s="931">
        <v>115</v>
      </c>
      <c r="D266" s="931">
        <v>161</v>
      </c>
      <c r="E266" s="931" t="s">
        <v>126</v>
      </c>
      <c r="F266" s="931" t="s">
        <v>126</v>
      </c>
      <c r="G266" s="932">
        <v>460</v>
      </c>
      <c r="H266" s="564"/>
      <c r="I266" s="564"/>
    </row>
    <row r="267" spans="1:9" ht="12" customHeight="1">
      <c r="A267" s="1777"/>
      <c r="B267" s="902" t="s">
        <v>612</v>
      </c>
      <c r="C267" s="933">
        <v>115</v>
      </c>
      <c r="D267" s="933">
        <v>161</v>
      </c>
      <c r="E267" s="933">
        <v>184</v>
      </c>
      <c r="F267" s="933">
        <v>276</v>
      </c>
      <c r="G267" s="934">
        <v>460</v>
      </c>
      <c r="H267" s="564"/>
      <c r="I267" s="564"/>
    </row>
    <row r="268" spans="1:9" ht="12" customHeight="1" thickBot="1">
      <c r="A268" s="1778"/>
      <c r="B268" s="903" t="s">
        <v>602</v>
      </c>
      <c r="C268" s="935">
        <v>115</v>
      </c>
      <c r="D268" s="935">
        <v>161</v>
      </c>
      <c r="E268" s="935">
        <v>184</v>
      </c>
      <c r="F268" s="935">
        <v>276</v>
      </c>
      <c r="G268" s="936">
        <v>460</v>
      </c>
      <c r="H268" s="564"/>
      <c r="I268" s="564"/>
    </row>
    <row r="269" spans="1:9" ht="5.25" customHeight="1" thickBot="1">
      <c r="A269" s="1025"/>
      <c r="B269" s="581"/>
      <c r="C269" s="1012"/>
      <c r="D269" s="1012"/>
      <c r="E269" s="1012"/>
      <c r="F269" s="1012"/>
      <c r="G269" s="1012"/>
      <c r="H269" s="564"/>
      <c r="I269" s="564"/>
    </row>
    <row r="270" spans="1:9" ht="12" customHeight="1">
      <c r="A270" s="1776">
        <v>43557</v>
      </c>
      <c r="B270" s="901" t="s">
        <v>611</v>
      </c>
      <c r="C270" s="931">
        <v>115</v>
      </c>
      <c r="D270" s="931">
        <v>161</v>
      </c>
      <c r="E270" s="931" t="s">
        <v>126</v>
      </c>
      <c r="F270" s="931" t="s">
        <v>126</v>
      </c>
      <c r="G270" s="932">
        <v>460</v>
      </c>
      <c r="H270" s="564"/>
      <c r="I270" s="564"/>
    </row>
    <row r="271" spans="1:9" ht="12" customHeight="1">
      <c r="A271" s="1777"/>
      <c r="B271" s="902" t="s">
        <v>612</v>
      </c>
      <c r="C271" s="933">
        <v>115</v>
      </c>
      <c r="D271" s="933">
        <v>161</v>
      </c>
      <c r="E271" s="933">
        <v>184</v>
      </c>
      <c r="F271" s="933">
        <v>276</v>
      </c>
      <c r="G271" s="934">
        <v>460</v>
      </c>
      <c r="H271" s="564"/>
      <c r="I271" s="564"/>
    </row>
    <row r="272" spans="1:9" ht="12" customHeight="1" thickBot="1">
      <c r="A272" s="1778"/>
      <c r="B272" s="903" t="s">
        <v>602</v>
      </c>
      <c r="C272" s="935">
        <v>115</v>
      </c>
      <c r="D272" s="935">
        <v>161</v>
      </c>
      <c r="E272" s="935">
        <v>184</v>
      </c>
      <c r="F272" s="935">
        <v>276</v>
      </c>
      <c r="G272" s="936">
        <v>460</v>
      </c>
      <c r="H272" s="564"/>
      <c r="I272" s="564"/>
    </row>
    <row r="273" spans="1:16" ht="5.25" customHeight="1" thickBot="1">
      <c r="A273" s="1025"/>
      <c r="B273" s="581"/>
      <c r="C273" s="1012"/>
      <c r="D273" s="1012"/>
      <c r="E273" s="1012"/>
      <c r="F273" s="1012"/>
      <c r="G273" s="1012"/>
      <c r="H273" s="564"/>
      <c r="I273" s="564"/>
    </row>
    <row r="274" spans="1:16" ht="12" customHeight="1">
      <c r="A274" s="1776">
        <v>43564</v>
      </c>
      <c r="B274" s="901" t="s">
        <v>611</v>
      </c>
      <c r="C274" s="931">
        <v>105</v>
      </c>
      <c r="D274" s="931">
        <v>147</v>
      </c>
      <c r="E274" s="931" t="s">
        <v>126</v>
      </c>
      <c r="F274" s="931" t="s">
        <v>126</v>
      </c>
      <c r="G274" s="932">
        <v>420</v>
      </c>
      <c r="H274" s="564"/>
      <c r="I274" s="564"/>
      <c r="L274">
        <v>105</v>
      </c>
      <c r="M274">
        <v>147</v>
      </c>
      <c r="N274" t="s">
        <v>126</v>
      </c>
      <c r="O274" t="s">
        <v>126</v>
      </c>
      <c r="P274">
        <v>420</v>
      </c>
    </row>
    <row r="275" spans="1:16" ht="12" customHeight="1">
      <c r="A275" s="1777"/>
      <c r="B275" s="902" t="s">
        <v>612</v>
      </c>
      <c r="C275" s="933">
        <v>99</v>
      </c>
      <c r="D275" s="933">
        <v>138.6</v>
      </c>
      <c r="E275" s="933">
        <v>158.4</v>
      </c>
      <c r="F275" s="933">
        <v>237.6</v>
      </c>
      <c r="G275" s="934">
        <v>396</v>
      </c>
      <c r="H275" s="564"/>
      <c r="I275" s="564"/>
      <c r="L275">
        <v>99</v>
      </c>
      <c r="M275">
        <v>138.6</v>
      </c>
      <c r="N275">
        <v>158.4</v>
      </c>
      <c r="O275">
        <v>237.6</v>
      </c>
      <c r="P275">
        <v>396</v>
      </c>
    </row>
    <row r="276" spans="1:16" ht="12" customHeight="1" thickBot="1">
      <c r="A276" s="1778"/>
      <c r="B276" s="903" t="s">
        <v>602</v>
      </c>
      <c r="C276" s="935">
        <v>99</v>
      </c>
      <c r="D276" s="935">
        <v>138.6</v>
      </c>
      <c r="E276" s="935">
        <v>158.4</v>
      </c>
      <c r="F276" s="935">
        <v>237.6</v>
      </c>
      <c r="G276" s="936">
        <v>396</v>
      </c>
      <c r="H276" s="564"/>
      <c r="I276" s="564"/>
      <c r="L276">
        <v>99</v>
      </c>
      <c r="M276">
        <v>138.6</v>
      </c>
      <c r="N276">
        <v>158.4</v>
      </c>
      <c r="O276">
        <v>237.6</v>
      </c>
      <c r="P276">
        <v>396</v>
      </c>
    </row>
    <row r="277" spans="1:16" ht="6.75" customHeight="1" thickBot="1">
      <c r="A277" s="1025"/>
      <c r="B277" s="581"/>
      <c r="C277" s="1012"/>
      <c r="D277" s="1012"/>
      <c r="E277" s="1012"/>
      <c r="F277" s="1012"/>
      <c r="G277" s="1012"/>
      <c r="H277" s="564"/>
      <c r="I277" s="564"/>
    </row>
    <row r="278" spans="1:16" ht="21.75" customHeight="1" thickBot="1">
      <c r="A278" s="559"/>
      <c r="B278" s="559"/>
      <c r="C278" s="1051" t="s">
        <v>118</v>
      </c>
      <c r="D278" s="1052" t="s">
        <v>119</v>
      </c>
      <c r="E278" s="1051" t="s">
        <v>120</v>
      </c>
      <c r="F278" s="1052" t="s">
        <v>121</v>
      </c>
      <c r="G278" s="1051" t="s">
        <v>122</v>
      </c>
      <c r="H278" s="564"/>
      <c r="I278" s="564"/>
    </row>
    <row r="279" spans="1:16" ht="6" customHeight="1">
      <c r="A279" s="559"/>
      <c r="B279" s="559"/>
      <c r="C279" s="559"/>
      <c r="D279" s="559"/>
      <c r="E279" s="559"/>
      <c r="F279" s="559"/>
      <c r="G279" s="559"/>
      <c r="H279" s="564"/>
      <c r="I279" s="564"/>
    </row>
    <row r="280" spans="1:16">
      <c r="A280" s="564"/>
      <c r="B280" s="564"/>
      <c r="C280" s="564"/>
      <c r="D280" s="564"/>
      <c r="E280" s="564"/>
      <c r="F280" s="564"/>
      <c r="G280" s="564"/>
      <c r="H280" s="564"/>
      <c r="I280" s="564"/>
    </row>
    <row r="281" spans="1:16">
      <c r="A281" s="564"/>
      <c r="B281" s="564"/>
      <c r="C281" s="727"/>
      <c r="D281" s="1779"/>
      <c r="E281" s="1779"/>
      <c r="F281" s="1779"/>
      <c r="G281" s="727"/>
      <c r="H281" s="564"/>
      <c r="I281" s="564"/>
      <c r="L281">
        <f>(K279*K278)</f>
        <v>0</v>
      </c>
    </row>
    <row r="282" spans="1:16">
      <c r="A282" s="712" t="s">
        <v>148</v>
      </c>
      <c r="B282" s="564"/>
      <c r="C282" s="727"/>
      <c r="D282" s="1779"/>
      <c r="E282" s="1779"/>
      <c r="F282" s="1779"/>
      <c r="G282" s="727"/>
    </row>
    <row r="283" spans="1:16">
      <c r="A283" s="564"/>
      <c r="B283" s="564"/>
      <c r="C283" s="727"/>
      <c r="D283" s="1779"/>
      <c r="E283" s="1779"/>
      <c r="F283" s="1779"/>
      <c r="G283" s="727"/>
    </row>
    <row r="284" spans="1:16">
      <c r="A284" s="564"/>
      <c r="B284" s="564"/>
      <c r="C284" s="727"/>
      <c r="D284" s="1779"/>
      <c r="E284" s="1779"/>
      <c r="F284" s="1779"/>
      <c r="G284" s="727"/>
    </row>
    <row r="285" spans="1:16">
      <c r="A285" s="564"/>
      <c r="B285" s="564"/>
      <c r="C285" s="727"/>
      <c r="D285" s="1779"/>
      <c r="E285" s="1779"/>
      <c r="F285" s="1779"/>
      <c r="G285" s="727"/>
    </row>
    <row r="286" spans="1:16">
      <c r="A286" s="564"/>
      <c r="B286" s="753"/>
      <c r="C286" s="564"/>
      <c r="D286" s="548"/>
      <c r="E286" s="548"/>
      <c r="F286" s="548"/>
      <c r="G286" s="564"/>
    </row>
    <row r="287" spans="1:16">
      <c r="A287" s="564"/>
      <c r="B287" s="564"/>
      <c r="C287" s="564"/>
      <c r="D287" s="564"/>
      <c r="E287" s="564"/>
      <c r="F287" s="564"/>
      <c r="G287" s="564"/>
    </row>
    <row r="288" spans="1:16">
      <c r="A288" s="564"/>
      <c r="B288" s="564"/>
      <c r="C288" s="564"/>
      <c r="D288" s="564"/>
      <c r="E288" s="564"/>
      <c r="F288" s="564"/>
      <c r="G288" s="564"/>
    </row>
    <row r="289" spans="1:7">
      <c r="A289" s="564"/>
      <c r="B289" s="564"/>
      <c r="C289" s="564"/>
      <c r="D289" s="564"/>
      <c r="E289" s="564"/>
      <c r="F289" s="564"/>
      <c r="G289" s="564"/>
    </row>
    <row r="290" spans="1:7">
      <c r="A290" s="564"/>
      <c r="B290" s="564"/>
      <c r="C290" s="564"/>
      <c r="D290" s="564"/>
      <c r="E290" s="564"/>
      <c r="F290" s="564"/>
      <c r="G290" s="564"/>
    </row>
    <row r="291" spans="1:7">
      <c r="A291" s="564"/>
      <c r="B291" s="564"/>
      <c r="C291" s="564"/>
      <c r="D291" s="564"/>
      <c r="E291" s="564"/>
      <c r="F291" s="564"/>
      <c r="G291" s="564"/>
    </row>
    <row r="292" spans="1:7">
      <c r="A292" s="564"/>
      <c r="B292" s="564">
        <v>120</v>
      </c>
      <c r="C292" s="564">
        <v>25</v>
      </c>
      <c r="D292" s="564">
        <f>(B292/C292)</f>
        <v>4.8</v>
      </c>
      <c r="E292" s="564"/>
      <c r="F292" s="564"/>
      <c r="G292" s="564"/>
    </row>
  </sheetData>
  <mergeCells count="72">
    <mergeCell ref="A266:A268"/>
    <mergeCell ref="A270:A272"/>
    <mergeCell ref="A274:A276"/>
    <mergeCell ref="A226:A228"/>
    <mergeCell ref="A230:A232"/>
    <mergeCell ref="A238:A240"/>
    <mergeCell ref="A234:A236"/>
    <mergeCell ref="A246:A248"/>
    <mergeCell ref="A250:A252"/>
    <mergeCell ref="A254:A256"/>
    <mergeCell ref="A258:A260"/>
    <mergeCell ref="A262:A264"/>
    <mergeCell ref="A222:A224"/>
    <mergeCell ref="A214:A216"/>
    <mergeCell ref="A154:A156"/>
    <mergeCell ref="A194:A196"/>
    <mergeCell ref="A190:A192"/>
    <mergeCell ref="A198:A200"/>
    <mergeCell ref="A202:A204"/>
    <mergeCell ref="A186:A188"/>
    <mergeCell ref="A130:A132"/>
    <mergeCell ref="A134:A136"/>
    <mergeCell ref="A138:A140"/>
    <mergeCell ref="A146:A148"/>
    <mergeCell ref="A142:A144"/>
    <mergeCell ref="A150:A152"/>
    <mergeCell ref="A218:A220"/>
    <mergeCell ref="A206:A208"/>
    <mergeCell ref="A170:A172"/>
    <mergeCell ref="A174:A176"/>
    <mergeCell ref="A178:A180"/>
    <mergeCell ref="A182:A184"/>
    <mergeCell ref="A158:A160"/>
    <mergeCell ref="A162:A164"/>
    <mergeCell ref="A166:A168"/>
    <mergeCell ref="A50:A52"/>
    <mergeCell ref="A54:A56"/>
    <mergeCell ref="A78:A80"/>
    <mergeCell ref="A94:A96"/>
    <mergeCell ref="A86:A88"/>
    <mergeCell ref="A90:A92"/>
    <mergeCell ref="A82:A84"/>
    <mergeCell ref="A70:A72"/>
    <mergeCell ref="A74:A76"/>
    <mergeCell ref="A66:A68"/>
    <mergeCell ref="A62:A64"/>
    <mergeCell ref="A106:A108"/>
    <mergeCell ref="A110:A112"/>
    <mergeCell ref="A114:A116"/>
    <mergeCell ref="A118:A120"/>
    <mergeCell ref="A98:A100"/>
    <mergeCell ref="A14:A16"/>
    <mergeCell ref="D281:F285"/>
    <mergeCell ref="A4:G4"/>
    <mergeCell ref="A10:G10"/>
    <mergeCell ref="A5:G5"/>
    <mergeCell ref="A6:G6"/>
    <mergeCell ref="A8:G8"/>
    <mergeCell ref="A210:A212"/>
    <mergeCell ref="A122:A124"/>
    <mergeCell ref="A126:A128"/>
    <mergeCell ref="A34:A36"/>
    <mergeCell ref="A22:A24"/>
    <mergeCell ref="A18:A20"/>
    <mergeCell ref="A58:A60"/>
    <mergeCell ref="A242:A244"/>
    <mergeCell ref="A102:A104"/>
    <mergeCell ref="A42:A44"/>
    <mergeCell ref="A38:A40"/>
    <mergeCell ref="A30:A32"/>
    <mergeCell ref="A26:A28"/>
    <mergeCell ref="A46:A48"/>
  </mergeCells>
  <phoneticPr fontId="5" type="noConversion"/>
  <printOptions horizontalCentered="1" gridLines="1"/>
  <pageMargins left="1.1811023622047245" right="0.98425196850393704" top="1.1023622047244095" bottom="0.39370078740157483" header="0" footer="0"/>
  <pageSetup scale="88" fitToHeight="2" orientation="landscape" r:id="rId1"/>
  <headerFooter alignWithMargins="0"/>
  <rowBreaks count="11" manualBreakCount="11">
    <brk id="12" max="16383" man="1"/>
    <brk id="32" max="16383" man="1"/>
    <brk id="49" max="16383" man="1"/>
    <brk id="64" max="16383" man="1"/>
    <brk id="81" max="16383" man="1"/>
    <brk id="101" max="16383" man="1"/>
    <brk id="117" max="16383" man="1"/>
    <brk id="136" max="16383" man="1"/>
    <brk id="168" max="16383" man="1"/>
    <brk id="201" max="16383" man="1"/>
    <brk id="216" max="11" man="1"/>
  </rowBreaks>
  <colBreaks count="1" manualBreakCount="1">
    <brk id="7" max="1048575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30"/>
  <dimension ref="A1:AN77"/>
  <sheetViews>
    <sheetView view="pageBreakPreview" zoomScale="85" zoomScaleSheetLayoutView="85" workbookViewId="0">
      <selection activeCell="AI86" sqref="AI86"/>
    </sheetView>
  </sheetViews>
  <sheetFormatPr baseColWidth="10" defaultColWidth="11.42578125" defaultRowHeight="12.75"/>
  <cols>
    <col min="1" max="1" width="5" style="590" customWidth="1"/>
    <col min="2" max="2" width="24.140625" style="590" customWidth="1"/>
    <col min="3" max="3" width="12.42578125" style="590" hidden="1" customWidth="1"/>
    <col min="4" max="4" width="1.42578125" style="590" hidden="1" customWidth="1"/>
    <col min="5" max="5" width="11.42578125" style="590" hidden="1" customWidth="1"/>
    <col min="6" max="6" width="1.7109375" style="590" customWidth="1"/>
    <col min="7" max="7" width="12.42578125" style="590" customWidth="1"/>
    <col min="8" max="8" width="1.5703125" style="590" customWidth="1"/>
    <col min="9" max="9" width="12.42578125" style="590" customWidth="1"/>
    <col min="10" max="10" width="2.140625" style="590" customWidth="1"/>
    <col min="11" max="11" width="12.42578125" style="590" customWidth="1"/>
    <col min="12" max="12" width="1.42578125" style="590" customWidth="1"/>
    <col min="13" max="13" width="11.42578125" style="590"/>
    <col min="14" max="14" width="2" style="590" customWidth="1"/>
    <col min="15" max="15" width="11.42578125" style="590"/>
    <col min="16" max="16" width="1.42578125" style="590" customWidth="1"/>
    <col min="17" max="17" width="11.42578125" style="590"/>
    <col min="18" max="18" width="0.140625" style="590" customWidth="1"/>
    <col min="19" max="19" width="1.5703125" style="590" customWidth="1"/>
    <col min="20" max="20" width="11.5703125" style="590" customWidth="1"/>
    <col min="21" max="21" width="1.28515625" style="590" customWidth="1"/>
    <col min="22" max="22" width="10.5703125" style="625" customWidth="1"/>
    <col min="23" max="23" width="12.28515625" style="590" bestFit="1" customWidth="1"/>
    <col min="24" max="27" width="11.42578125" style="590"/>
    <col min="28" max="28" width="11.28515625" style="590" customWidth="1"/>
    <col min="29" max="29" width="11.42578125" style="590"/>
    <col min="30" max="30" width="11.140625" style="590" customWidth="1"/>
    <col min="31" max="31" width="11.42578125" style="590" customWidth="1"/>
    <col min="32" max="32" width="10.85546875" style="590" customWidth="1"/>
    <col min="33" max="16384" width="11.42578125" style="590"/>
  </cols>
  <sheetData>
    <row r="1" spans="1:40" ht="15.75" customHeight="1"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  <c r="P1" s="591"/>
      <c r="Q1" s="591"/>
      <c r="R1" s="591"/>
      <c r="S1" s="591"/>
      <c r="T1" s="591"/>
      <c r="U1" s="591"/>
      <c r="W1" s="592"/>
      <c r="X1" s="592"/>
      <c r="AA1" s="1852"/>
      <c r="AB1" s="1852"/>
      <c r="AC1" s="1852"/>
      <c r="AD1" s="1852"/>
      <c r="AE1" s="1852"/>
      <c r="AF1" s="641"/>
      <c r="AG1" s="641"/>
      <c r="AH1" s="641"/>
      <c r="AI1" s="641"/>
      <c r="AJ1" s="641"/>
      <c r="AK1" s="641"/>
      <c r="AL1" s="641"/>
      <c r="AM1" s="641"/>
      <c r="AN1" s="641"/>
    </row>
    <row r="2" spans="1:40" ht="28.5" customHeight="1">
      <c r="A2" s="591"/>
      <c r="B2" s="591"/>
      <c r="C2" s="1855" t="s">
        <v>495</v>
      </c>
      <c r="D2" s="1848"/>
      <c r="E2" s="1848"/>
      <c r="F2" s="1848"/>
      <c r="G2" s="1848"/>
      <c r="H2" s="1848"/>
      <c r="I2" s="1848"/>
      <c r="J2" s="1848"/>
      <c r="K2" s="1848"/>
      <c r="L2" s="1848"/>
      <c r="M2" s="1848"/>
      <c r="N2" s="1848"/>
      <c r="O2" s="1848"/>
      <c r="P2" s="1848"/>
      <c r="Q2" s="1848"/>
      <c r="R2" s="591"/>
      <c r="S2" s="591"/>
      <c r="T2" s="591"/>
      <c r="U2" s="591"/>
      <c r="W2" s="592"/>
      <c r="X2" s="592"/>
      <c r="AA2" s="1853"/>
      <c r="AB2" s="1853"/>
      <c r="AC2" s="1853"/>
      <c r="AD2" s="1853"/>
      <c r="AE2" s="1853"/>
      <c r="AG2" s="695">
        <v>40909</v>
      </c>
      <c r="AH2" s="698">
        <v>136</v>
      </c>
    </row>
    <row r="3" spans="1:40" ht="13.5" customHeight="1">
      <c r="A3" s="591"/>
      <c r="B3" s="591"/>
      <c r="C3" s="1856" t="s">
        <v>499</v>
      </c>
      <c r="D3" s="1848"/>
      <c r="E3" s="1848"/>
      <c r="F3" s="1848"/>
      <c r="G3" s="1848"/>
      <c r="H3" s="1848"/>
      <c r="I3" s="1848"/>
      <c r="J3" s="1848"/>
      <c r="K3" s="1848"/>
      <c r="L3" s="1848"/>
      <c r="M3" s="1848"/>
      <c r="N3" s="1848"/>
      <c r="O3" s="1848"/>
      <c r="P3" s="1848"/>
      <c r="Q3" s="1848"/>
      <c r="R3" s="591"/>
      <c r="S3" s="591"/>
      <c r="T3" s="591"/>
      <c r="U3" s="591"/>
      <c r="AA3" s="1854"/>
      <c r="AB3" s="1854"/>
      <c r="AC3" s="1854"/>
      <c r="AD3" s="1854"/>
      <c r="AE3" s="1854"/>
      <c r="AG3" s="695">
        <v>40940</v>
      </c>
      <c r="AH3" s="698">
        <v>136</v>
      </c>
    </row>
    <row r="4" spans="1:40" ht="13.5" customHeight="1">
      <c r="A4" s="591"/>
      <c r="B4" s="591"/>
      <c r="C4" s="1848"/>
      <c r="D4" s="1848"/>
      <c r="E4" s="1848"/>
      <c r="F4" s="1848"/>
      <c r="G4" s="1848"/>
      <c r="H4" s="1848"/>
      <c r="I4" s="1848"/>
      <c r="J4" s="1848"/>
      <c r="K4" s="1848"/>
      <c r="L4" s="1848"/>
      <c r="M4" s="1848"/>
      <c r="N4" s="1848"/>
      <c r="O4" s="1848"/>
      <c r="P4" s="1848"/>
      <c r="Q4" s="1848"/>
      <c r="R4" s="591"/>
      <c r="S4" s="591"/>
      <c r="T4" s="591"/>
      <c r="U4" s="591"/>
      <c r="V4" s="643"/>
      <c r="AA4" s="624"/>
      <c r="AB4" s="624"/>
      <c r="AC4" s="624"/>
      <c r="AD4" s="624"/>
      <c r="AE4" s="624"/>
      <c r="AG4" s="695">
        <v>40969</v>
      </c>
      <c r="AH4" s="698">
        <v>116</v>
      </c>
    </row>
    <row r="5" spans="1:40" ht="15" customHeight="1">
      <c r="A5" s="591"/>
      <c r="B5" s="591"/>
      <c r="C5" s="1847" t="s">
        <v>510</v>
      </c>
      <c r="D5" s="1848"/>
      <c r="E5" s="1848"/>
      <c r="F5" s="1848"/>
      <c r="G5" s="1848"/>
      <c r="H5" s="1848"/>
      <c r="I5" s="1848"/>
      <c r="J5" s="1848"/>
      <c r="K5" s="1848"/>
      <c r="L5" s="1848"/>
      <c r="M5" s="1848"/>
      <c r="N5" s="1848"/>
      <c r="O5" s="1848"/>
      <c r="P5" s="1848"/>
      <c r="Q5" s="1848"/>
      <c r="R5" s="591"/>
      <c r="S5" s="591"/>
      <c r="T5" s="591"/>
      <c r="U5" s="591"/>
      <c r="V5" s="644"/>
      <c r="AA5" s="624"/>
      <c r="AB5" s="624"/>
      <c r="AC5" s="626"/>
      <c r="AD5" s="648"/>
      <c r="AE5" s="626"/>
      <c r="AG5" s="695">
        <v>41000</v>
      </c>
      <c r="AH5" s="698">
        <v>105</v>
      </c>
    </row>
    <row r="6" spans="1:40" ht="16.5" thickBot="1">
      <c r="A6" s="591"/>
      <c r="B6" s="591"/>
      <c r="C6" s="591"/>
      <c r="D6" s="591"/>
      <c r="E6" s="591"/>
      <c r="F6" s="591"/>
      <c r="G6" s="591"/>
      <c r="H6" s="591"/>
      <c r="I6" s="591"/>
      <c r="J6" s="591"/>
      <c r="K6" s="591"/>
      <c r="L6" s="591"/>
      <c r="M6" s="591"/>
      <c r="N6" s="591"/>
      <c r="O6" s="591"/>
      <c r="P6" s="591"/>
      <c r="Q6" s="591"/>
      <c r="R6" s="591"/>
      <c r="S6" s="591"/>
      <c r="T6" s="591"/>
      <c r="U6" s="591"/>
      <c r="V6" s="644"/>
      <c r="AA6" s="624"/>
      <c r="AB6" s="649"/>
      <c r="AC6" s="649"/>
      <c r="AD6" s="648"/>
      <c r="AE6" s="649"/>
      <c r="AG6" s="695">
        <v>41030</v>
      </c>
      <c r="AH6" s="698">
        <v>105</v>
      </c>
    </row>
    <row r="7" spans="1:40" ht="16.5" thickBot="1">
      <c r="A7" s="591"/>
      <c r="B7" s="591"/>
      <c r="C7" s="1849">
        <v>2011</v>
      </c>
      <c r="D7" s="1850"/>
      <c r="E7" s="1851"/>
      <c r="F7" s="628"/>
      <c r="G7" s="1849">
        <v>2012</v>
      </c>
      <c r="H7" s="1850"/>
      <c r="I7" s="1850"/>
      <c r="J7" s="593"/>
      <c r="K7" s="1849">
        <v>2013</v>
      </c>
      <c r="L7" s="1850"/>
      <c r="M7" s="1850"/>
      <c r="N7" s="593"/>
      <c r="O7" s="1849">
        <v>2014</v>
      </c>
      <c r="P7" s="1850"/>
      <c r="Q7" s="1851"/>
      <c r="R7" s="593"/>
      <c r="S7" s="668"/>
      <c r="T7" s="1849">
        <v>2015</v>
      </c>
      <c r="U7" s="1850"/>
      <c r="V7" s="1851"/>
      <c r="AA7" s="624"/>
      <c r="AB7" s="647"/>
      <c r="AC7" s="642"/>
      <c r="AD7" s="624"/>
      <c r="AE7" s="642"/>
      <c r="AG7" s="695">
        <v>41061</v>
      </c>
      <c r="AH7" s="698">
        <v>105</v>
      </c>
    </row>
    <row r="8" spans="1:40" ht="15.75" thickBot="1">
      <c r="A8" s="591"/>
      <c r="C8" s="594" t="s">
        <v>162</v>
      </c>
      <c r="D8" s="595"/>
      <c r="E8" s="596" t="s">
        <v>496</v>
      </c>
      <c r="F8" s="629"/>
      <c r="G8" s="633" t="s">
        <v>162</v>
      </c>
      <c r="H8" s="629"/>
      <c r="I8" s="634" t="s">
        <v>496</v>
      </c>
      <c r="J8" s="599"/>
      <c r="K8" s="598" t="s">
        <v>162</v>
      </c>
      <c r="L8" s="635"/>
      <c r="M8" s="596" t="s">
        <v>496</v>
      </c>
      <c r="N8" s="597"/>
      <c r="O8" s="598" t="s">
        <v>162</v>
      </c>
      <c r="P8" s="635"/>
      <c r="Q8" s="636" t="s">
        <v>496</v>
      </c>
      <c r="R8" s="599"/>
      <c r="S8" s="669"/>
      <c r="T8" s="594" t="s">
        <v>162</v>
      </c>
      <c r="U8" s="674"/>
      <c r="V8" s="636" t="s">
        <v>496</v>
      </c>
      <c r="AA8" s="624"/>
      <c r="AB8" s="647"/>
      <c r="AC8" s="642"/>
      <c r="AD8" s="624"/>
      <c r="AE8" s="642"/>
      <c r="AG8" s="695">
        <v>41091</v>
      </c>
      <c r="AH8" s="698">
        <v>98</v>
      </c>
    </row>
    <row r="9" spans="1:40" ht="16.5" thickBot="1">
      <c r="A9" s="591"/>
      <c r="B9" s="600" t="s">
        <v>25</v>
      </c>
      <c r="C9" s="601" t="s">
        <v>497</v>
      </c>
      <c r="D9" s="602"/>
      <c r="E9" s="603" t="s">
        <v>497</v>
      </c>
      <c r="F9" s="630"/>
      <c r="G9" s="605" t="s">
        <v>497</v>
      </c>
      <c r="H9" s="630"/>
      <c r="I9" s="605" t="s">
        <v>497</v>
      </c>
      <c r="J9" s="608"/>
      <c r="K9" s="605" t="s">
        <v>497</v>
      </c>
      <c r="L9" s="602"/>
      <c r="M9" s="605" t="s">
        <v>497</v>
      </c>
      <c r="N9" s="604"/>
      <c r="O9" s="606" t="s">
        <v>497</v>
      </c>
      <c r="P9" s="602"/>
      <c r="Q9" s="607" t="s">
        <v>497</v>
      </c>
      <c r="R9" s="608"/>
      <c r="S9" s="670"/>
      <c r="T9" s="606" t="s">
        <v>497</v>
      </c>
      <c r="U9" s="649"/>
      <c r="V9" s="606" t="s">
        <v>497</v>
      </c>
      <c r="AA9" s="624"/>
      <c r="AB9" s="647"/>
      <c r="AC9" s="642"/>
      <c r="AD9" s="624"/>
      <c r="AE9" s="642"/>
      <c r="AG9" s="695">
        <v>41122</v>
      </c>
      <c r="AH9" s="698">
        <v>94</v>
      </c>
    </row>
    <row r="10" spans="1:40" ht="15">
      <c r="A10" s="591"/>
      <c r="B10" s="609" t="s">
        <v>8</v>
      </c>
      <c r="C10" s="610">
        <f>AVERAGE('[9]GLP por Cía 03 a 06'!$C$1204,'[9]GLP por Cía 03 a 06'!$C$1208,'[9]GLP por Cía 03 a 06'!$C$1212,'[9]GLP por Cía 03 a 06'!$C$1216)</f>
        <v>124.30232558139535</v>
      </c>
      <c r="D10" s="611"/>
      <c r="E10" s="610">
        <f>AVERAGE('[9]GLP por Cía 03 a 06'!$C$1205,'[9]GLP por Cía 03 a 06'!$C$1209,'[9]GLP por Cía 03 a 06'!$C$1213,'[9]GLP por Cía 03 a 06'!$C$1217)</f>
        <v>122.12222222222222</v>
      </c>
      <c r="F10" s="631"/>
      <c r="G10" s="612">
        <v>136</v>
      </c>
      <c r="H10" s="637">
        <v>1</v>
      </c>
      <c r="I10" s="612">
        <v>137</v>
      </c>
      <c r="J10" s="637"/>
      <c r="K10" s="612">
        <v>90</v>
      </c>
      <c r="L10" s="639"/>
      <c r="M10" s="612">
        <v>90</v>
      </c>
      <c r="N10" s="604"/>
      <c r="O10" s="612">
        <v>135</v>
      </c>
      <c r="P10" s="611"/>
      <c r="Q10" s="613">
        <v>135</v>
      </c>
      <c r="R10" s="608"/>
      <c r="S10" s="670"/>
      <c r="T10" s="612">
        <v>105</v>
      </c>
      <c r="U10" s="626"/>
      <c r="V10" s="612">
        <v>105</v>
      </c>
      <c r="AA10" s="624"/>
      <c r="AB10" s="624"/>
      <c r="AC10" s="624"/>
      <c r="AD10" s="624"/>
      <c r="AE10" s="624"/>
      <c r="AG10" s="695">
        <v>41153</v>
      </c>
      <c r="AH10" s="698">
        <v>91</v>
      </c>
    </row>
    <row r="11" spans="1:40" ht="15">
      <c r="A11" s="591"/>
      <c r="B11" s="614" t="s">
        <v>9</v>
      </c>
      <c r="C11" s="610">
        <f>AVERAGE('[9]GLP por Cía 03 a 06'!$C$1220,'[9]GLP por Cía 03 a 06'!$C$1224,'[9]GLP por Cía 03 a 06'!$C$1228,'[9]GLP por Cía 03 a 06'!$C$1232)</f>
        <v>130</v>
      </c>
      <c r="D11" s="611"/>
      <c r="E11" s="610">
        <f>AVERAGE('[9]GLP por Cía 03 a 06'!$C$1221,'[9]GLP por Cía 03 a 06'!$C$1225,'[9]GLP por Cía 03 a 06'!$C$1229,'[9]GLP por Cía 03 a 06'!$C$1233)</f>
        <v>130</v>
      </c>
      <c r="F11" s="631"/>
      <c r="G11" s="615">
        <v>136</v>
      </c>
      <c r="H11" s="637"/>
      <c r="I11" s="615">
        <v>137</v>
      </c>
      <c r="J11" s="637"/>
      <c r="K11" s="615">
        <v>106</v>
      </c>
      <c r="L11" s="639"/>
      <c r="M11" s="615">
        <v>106</v>
      </c>
      <c r="N11" s="604"/>
      <c r="O11" s="615">
        <v>137</v>
      </c>
      <c r="P11" s="611"/>
      <c r="Q11" s="616">
        <v>137</v>
      </c>
      <c r="R11" s="608"/>
      <c r="S11" s="670"/>
      <c r="T11" s="615">
        <v>92</v>
      </c>
      <c r="U11" s="639"/>
      <c r="V11" s="615">
        <v>92</v>
      </c>
      <c r="AG11" s="695">
        <v>41183</v>
      </c>
      <c r="AH11" s="698">
        <v>65</v>
      </c>
    </row>
    <row r="12" spans="1:40" ht="15">
      <c r="A12" s="591"/>
      <c r="B12" s="614" t="s">
        <v>10</v>
      </c>
      <c r="C12" s="610">
        <v>130</v>
      </c>
      <c r="D12" s="611"/>
      <c r="E12" s="610">
        <v>130</v>
      </c>
      <c r="F12" s="631"/>
      <c r="G12" s="615">
        <v>116</v>
      </c>
      <c r="H12" s="637"/>
      <c r="I12" s="615">
        <v>116.75</v>
      </c>
      <c r="J12" s="637"/>
      <c r="K12" s="615">
        <v>109</v>
      </c>
      <c r="L12" s="639"/>
      <c r="M12" s="615">
        <v>109</v>
      </c>
      <c r="N12" s="604"/>
      <c r="O12" s="615">
        <v>140</v>
      </c>
      <c r="P12" s="611"/>
      <c r="Q12" s="616">
        <v>140</v>
      </c>
      <c r="R12" s="608"/>
      <c r="S12" s="670"/>
      <c r="T12" s="615">
        <v>90.75</v>
      </c>
      <c r="U12" s="639"/>
      <c r="V12" s="615">
        <v>90.75</v>
      </c>
      <c r="AG12" s="695">
        <v>41214</v>
      </c>
      <c r="AH12" s="698">
        <v>65</v>
      </c>
    </row>
    <row r="13" spans="1:40" ht="15">
      <c r="A13" s="591"/>
      <c r="B13" s="614" t="s">
        <v>11</v>
      </c>
      <c r="C13" s="610">
        <v>130</v>
      </c>
      <c r="D13" s="611">
        <v>1</v>
      </c>
      <c r="E13" s="610">
        <v>130</v>
      </c>
      <c r="F13" s="631"/>
      <c r="G13" s="615">
        <v>105</v>
      </c>
      <c r="H13" s="637"/>
      <c r="I13" s="615">
        <v>105</v>
      </c>
      <c r="J13" s="637"/>
      <c r="K13" s="615">
        <v>109</v>
      </c>
      <c r="L13" s="639"/>
      <c r="M13" s="615">
        <v>109</v>
      </c>
      <c r="N13" s="604"/>
      <c r="O13" s="615">
        <v>140</v>
      </c>
      <c r="P13" s="611"/>
      <c r="Q13" s="616">
        <v>140</v>
      </c>
      <c r="R13" s="608"/>
      <c r="S13" s="670"/>
      <c r="T13" s="615" t="e">
        <f>AVERAGE('GLP por Cía 03 a 06'!#REF!)</f>
        <v>#REF!</v>
      </c>
      <c r="U13" s="639"/>
      <c r="V13" s="615">
        <v>87</v>
      </c>
      <c r="AG13" s="695">
        <v>41244</v>
      </c>
      <c r="AH13" s="698">
        <v>90</v>
      </c>
    </row>
    <row r="14" spans="1:40" ht="15">
      <c r="A14" s="591"/>
      <c r="B14" s="614" t="s">
        <v>12</v>
      </c>
      <c r="C14" s="610">
        <f>AVERAGE('[9]GLP por Cía 03 a 06'!$C$1272,'[9]GLP por Cía 03 a 06'!$C$1276,'[9]GLP por Cía 03 a 06'!$C$1280,'[9]GLP por Cía 03 a 06'!$C$1284,'[9]GLP por Cía 03 a 06'!$C$1288)</f>
        <v>130.19999999999999</v>
      </c>
      <c r="D14" s="611"/>
      <c r="E14" s="610">
        <v>130</v>
      </c>
      <c r="F14" s="631"/>
      <c r="G14" s="615">
        <v>105</v>
      </c>
      <c r="H14" s="637"/>
      <c r="I14" s="615">
        <v>105</v>
      </c>
      <c r="J14" s="637"/>
      <c r="K14" s="615">
        <v>109</v>
      </c>
      <c r="L14" s="639"/>
      <c r="M14" s="615">
        <v>109</v>
      </c>
      <c r="N14" s="604"/>
      <c r="O14" s="615">
        <v>140</v>
      </c>
      <c r="P14" s="611"/>
      <c r="Q14" s="616">
        <v>140</v>
      </c>
      <c r="R14" s="608"/>
      <c r="S14" s="670"/>
      <c r="T14" s="615" t="e">
        <f>AVERAGE('GLP por Cía 03 a 06'!#REF!)</f>
        <v>#REF!</v>
      </c>
      <c r="U14" s="639"/>
      <c r="V14" s="615">
        <v>78.33</v>
      </c>
      <c r="AG14" s="696">
        <v>41275</v>
      </c>
      <c r="AH14" s="698">
        <v>90</v>
      </c>
    </row>
    <row r="15" spans="1:40" ht="15">
      <c r="A15" s="591"/>
      <c r="B15" s="614" t="s">
        <v>13</v>
      </c>
      <c r="C15" s="610">
        <f>AVERAGE('[9]GLP por Cía 03 a 06'!$C$1292,'[9]GLP por Cía 03 a 06'!$C$1296,'[9]GLP por Cía 03 a 06'!$C$1300,'[9]GLP por Cía 03 a 06'!$C$1304)</f>
        <v>131</v>
      </c>
      <c r="D15" s="611"/>
      <c r="E15" s="610">
        <v>130</v>
      </c>
      <c r="F15" s="631"/>
      <c r="G15" s="615">
        <v>105</v>
      </c>
      <c r="H15" s="637"/>
      <c r="I15" s="615">
        <v>105</v>
      </c>
      <c r="J15" s="637"/>
      <c r="K15" s="615">
        <v>117</v>
      </c>
      <c r="L15" s="639"/>
      <c r="M15" s="615">
        <v>117</v>
      </c>
      <c r="N15" s="604"/>
      <c r="O15" s="615">
        <v>140</v>
      </c>
      <c r="P15" s="611"/>
      <c r="Q15" s="616">
        <v>140</v>
      </c>
      <c r="R15" s="608"/>
      <c r="S15" s="670"/>
      <c r="T15" s="615" t="e">
        <f>AVERAGE('GLP por Cía 03 a 06'!#REF!)</f>
        <v>#REF!</v>
      </c>
      <c r="U15" s="639"/>
      <c r="V15" s="615">
        <v>75</v>
      </c>
      <c r="AG15" s="696">
        <v>41306</v>
      </c>
      <c r="AH15" s="698">
        <v>106</v>
      </c>
    </row>
    <row r="16" spans="1:40" ht="15">
      <c r="A16" s="591"/>
      <c r="B16" s="614" t="s">
        <v>14</v>
      </c>
      <c r="C16" s="610">
        <v>131</v>
      </c>
      <c r="D16" s="611"/>
      <c r="E16" s="610">
        <v>130</v>
      </c>
      <c r="F16" s="631"/>
      <c r="G16" s="615">
        <v>98</v>
      </c>
      <c r="H16" s="637"/>
      <c r="I16" s="615">
        <v>101</v>
      </c>
      <c r="J16" s="637"/>
      <c r="K16" s="615">
        <v>120</v>
      </c>
      <c r="L16" s="639"/>
      <c r="M16" s="615">
        <v>120</v>
      </c>
      <c r="N16" s="604"/>
      <c r="O16" s="615">
        <v>140</v>
      </c>
      <c r="P16" s="611"/>
      <c r="Q16" s="616">
        <v>140</v>
      </c>
      <c r="R16" s="608"/>
      <c r="S16" s="670"/>
      <c r="T16" s="615"/>
      <c r="U16" s="639"/>
      <c r="V16" s="615"/>
      <c r="AG16" s="696">
        <v>41334</v>
      </c>
      <c r="AH16" s="698">
        <v>109</v>
      </c>
    </row>
    <row r="17" spans="1:38" ht="15">
      <c r="A17" s="591"/>
      <c r="B17" s="614" t="s">
        <v>15</v>
      </c>
      <c r="C17" s="610">
        <f>AVERAGE('[9]GLP por Cía 03 a 06'!$C$1324,'[9]GLP por Cía 03 a 06'!$C$1328,'[9]GLP por Cía 03 a 06'!$C$1332,'[9]GLP por Cía 03 a 06'!$C$1336,'[9]GLP por Cía 03 a 06'!$C$1340)</f>
        <v>129.80000000000001</v>
      </c>
      <c r="D17" s="611"/>
      <c r="E17" s="610">
        <v>129.80000000000001</v>
      </c>
      <c r="F17" s="631"/>
      <c r="G17" s="615">
        <v>94</v>
      </c>
      <c r="H17" s="637"/>
      <c r="I17" s="615">
        <v>94</v>
      </c>
      <c r="J17" s="637"/>
      <c r="K17" s="615">
        <v>120</v>
      </c>
      <c r="L17" s="639"/>
      <c r="M17" s="615">
        <v>120</v>
      </c>
      <c r="N17" s="604"/>
      <c r="O17" s="615">
        <v>140</v>
      </c>
      <c r="P17" s="611"/>
      <c r="Q17" s="616">
        <v>140</v>
      </c>
      <c r="R17" s="608"/>
      <c r="S17" s="670"/>
      <c r="T17" s="615"/>
      <c r="U17" s="639"/>
      <c r="V17" s="615"/>
      <c r="AG17" s="696">
        <v>41365</v>
      </c>
      <c r="AH17" s="698">
        <v>109</v>
      </c>
    </row>
    <row r="18" spans="1:38" ht="15">
      <c r="A18" s="591"/>
      <c r="B18" s="614" t="s">
        <v>16</v>
      </c>
      <c r="C18" s="610">
        <v>128</v>
      </c>
      <c r="D18" s="611"/>
      <c r="E18" s="610">
        <v>128</v>
      </c>
      <c r="F18" s="631"/>
      <c r="G18" s="615">
        <v>91</v>
      </c>
      <c r="H18" s="637"/>
      <c r="I18" s="615">
        <v>71</v>
      </c>
      <c r="J18" s="637"/>
      <c r="K18" s="615">
        <v>128</v>
      </c>
      <c r="L18" s="639"/>
      <c r="M18" s="615">
        <v>128</v>
      </c>
      <c r="N18" s="604"/>
      <c r="O18" s="615">
        <v>140</v>
      </c>
      <c r="P18" s="611"/>
      <c r="Q18" s="616">
        <v>140</v>
      </c>
      <c r="R18" s="608"/>
      <c r="S18" s="670"/>
      <c r="T18" s="615"/>
      <c r="U18" s="639"/>
      <c r="V18" s="615"/>
      <c r="AG18" s="696">
        <v>41395</v>
      </c>
      <c r="AH18" s="698">
        <v>109</v>
      </c>
    </row>
    <row r="19" spans="1:38" ht="15">
      <c r="A19" s="591"/>
      <c r="B19" s="614" t="s">
        <v>17</v>
      </c>
      <c r="C19" s="610">
        <f>AVERAGE('[9]GLP por Cía 03 a 06'!$C$1360,'[9]GLP por Cía 03 a 06'!$C$1364,'[9]GLP por Cía 03 a 06'!$C$1368,'[9]GLP por Cía 03 a 06'!$C$1372,'[9]GLP por Cía 03 a 06'!$C$1376)</f>
        <v>129.6</v>
      </c>
      <c r="D19" s="611"/>
      <c r="E19" s="610">
        <f>AVERAGE('[9]GLP por Cía 03 a 06'!$C$1361,'[9]GLP por Cía 03 a 06'!$C$1365,'[9]GLP por Cía 03 a 06'!$C$1369,'[9]GLP por Cía 03 a 06'!$C$1373,'[9]GLP por Cía 03 a 06'!$C$1377)</f>
        <v>129.80000000000001</v>
      </c>
      <c r="F19" s="631"/>
      <c r="G19" s="615">
        <v>65</v>
      </c>
      <c r="H19" s="637"/>
      <c r="I19" s="615">
        <v>61</v>
      </c>
      <c r="J19" s="637"/>
      <c r="K19" s="617">
        <v>130</v>
      </c>
      <c r="L19" s="639"/>
      <c r="M19" s="617">
        <v>130</v>
      </c>
      <c r="N19" s="604"/>
      <c r="O19" s="615">
        <v>140</v>
      </c>
      <c r="P19" s="611"/>
      <c r="Q19" s="616">
        <v>140</v>
      </c>
      <c r="R19" s="608"/>
      <c r="S19" s="670"/>
      <c r="T19" s="615"/>
      <c r="U19" s="639"/>
      <c r="V19" s="615"/>
      <c r="AG19" s="696">
        <v>41426</v>
      </c>
      <c r="AH19" s="698">
        <v>117</v>
      </c>
    </row>
    <row r="20" spans="1:38" ht="15">
      <c r="A20" s="591"/>
      <c r="B20" s="614" t="s">
        <v>18</v>
      </c>
      <c r="C20" s="610">
        <f>AVERAGE('[9]GLP por Cía 03 a 06'!$C$1380,'[9]GLP por Cía 03 a 06'!$C$1384,'[9]GLP por Cía 03 a 06'!$C$1388,'[9]GLP por Cía 03 a 06'!$C$1392,'[9]GLP por Cía 03 a 06'!$C$1396)</f>
        <v>136</v>
      </c>
      <c r="D20" s="611"/>
      <c r="E20" s="610">
        <f>AVERAGE('[9]GLP por Cía 03 a 06'!$C$1381,'[9]GLP por Cía 03 a 06'!$C$1385,'[9]GLP por Cía 03 a 06'!$C$1389,'[9]GLP por Cía 03 a 06'!$C$1393,'[9]GLP por Cía 03 a 06'!$C$1397)</f>
        <v>137</v>
      </c>
      <c r="F20" s="631"/>
      <c r="G20" s="615">
        <v>65</v>
      </c>
      <c r="H20" s="637"/>
      <c r="I20" s="615">
        <v>60</v>
      </c>
      <c r="J20" s="637"/>
      <c r="K20" s="615">
        <v>130</v>
      </c>
      <c r="L20" s="639"/>
      <c r="M20" s="615">
        <v>130</v>
      </c>
      <c r="N20" s="604"/>
      <c r="O20" s="615">
        <v>140</v>
      </c>
      <c r="P20" s="611"/>
      <c r="Q20" s="616">
        <v>140</v>
      </c>
      <c r="R20" s="608"/>
      <c r="S20" s="670"/>
      <c r="T20" s="615"/>
      <c r="U20" s="639"/>
      <c r="V20" s="615"/>
      <c r="AG20" s="696">
        <v>41456</v>
      </c>
      <c r="AH20" s="698">
        <v>120</v>
      </c>
    </row>
    <row r="21" spans="1:38" ht="15.75" thickBot="1">
      <c r="A21" s="591"/>
      <c r="B21" s="618" t="s">
        <v>19</v>
      </c>
      <c r="C21" s="619">
        <v>136</v>
      </c>
      <c r="D21" s="620"/>
      <c r="E21" s="619">
        <f>AVERAGE('[9]GLP por Cía 03 a 06'!$C$1401,'[9]GLP por Cía 03 a 06'!$C$1405,'[9]GLP por Cía 03 a 06'!$C$1409,'[9]GLP por Cía 03 a 06'!$C$1413)</f>
        <v>137</v>
      </c>
      <c r="F21" s="632"/>
      <c r="G21" s="620">
        <v>90</v>
      </c>
      <c r="H21" s="638"/>
      <c r="I21" s="620">
        <v>90</v>
      </c>
      <c r="J21" s="638"/>
      <c r="K21" s="620">
        <v>132</v>
      </c>
      <c r="L21" s="640"/>
      <c r="M21" s="620">
        <v>132</v>
      </c>
      <c r="N21" s="621"/>
      <c r="O21" s="620">
        <v>130</v>
      </c>
      <c r="P21" s="620"/>
      <c r="Q21" s="622">
        <v>130</v>
      </c>
      <c r="R21" s="623"/>
      <c r="S21" s="671"/>
      <c r="T21" s="620"/>
      <c r="U21" s="675"/>
      <c r="V21" s="620"/>
      <c r="AG21" s="696">
        <v>41487</v>
      </c>
      <c r="AH21" s="698">
        <v>120</v>
      </c>
    </row>
    <row r="22" spans="1:38" ht="5.25" customHeight="1" thickBot="1">
      <c r="A22" s="591"/>
      <c r="B22" s="591"/>
      <c r="C22" s="591"/>
      <c r="D22" s="591"/>
      <c r="E22" s="591"/>
      <c r="F22" s="591"/>
      <c r="G22" s="591"/>
      <c r="H22" s="591"/>
      <c r="I22" s="591"/>
      <c r="J22" s="591"/>
      <c r="K22" s="591"/>
      <c r="L22" s="591"/>
      <c r="M22" s="591"/>
      <c r="N22" s="591"/>
      <c r="O22" s="591"/>
      <c r="P22" s="591"/>
      <c r="Q22" s="591"/>
      <c r="R22" s="591"/>
      <c r="S22" s="591"/>
      <c r="T22" s="672"/>
      <c r="U22" s="624"/>
      <c r="V22" s="624"/>
      <c r="AG22" s="696">
        <v>41518</v>
      </c>
      <c r="AH22" s="698">
        <v>128</v>
      </c>
    </row>
    <row r="23" spans="1:38" ht="15.75" thickBot="1">
      <c r="B23" s="650" t="s">
        <v>20</v>
      </c>
      <c r="G23" s="645">
        <v>100</v>
      </c>
      <c r="H23" s="646"/>
      <c r="I23" s="645">
        <v>98</v>
      </c>
      <c r="J23" s="646"/>
      <c r="K23" s="645">
        <v>116</v>
      </c>
      <c r="L23" s="646"/>
      <c r="M23" s="645">
        <v>116</v>
      </c>
      <c r="N23" s="646"/>
      <c r="O23" s="645">
        <v>138</v>
      </c>
      <c r="P23" s="646"/>
      <c r="Q23" s="645">
        <v>138</v>
      </c>
      <c r="R23" s="591"/>
      <c r="S23" s="646"/>
      <c r="T23" s="645" t="e">
        <f>AVERAGE(T10:T21)</f>
        <v>#REF!</v>
      </c>
      <c r="U23" s="673"/>
      <c r="V23" s="645">
        <f>AVERAGE(V10:V21)</f>
        <v>88.013333333333321</v>
      </c>
      <c r="AG23" s="696">
        <v>41548</v>
      </c>
      <c r="AH23" s="698">
        <v>130</v>
      </c>
    </row>
    <row r="24" spans="1:38" ht="15">
      <c r="A24" s="591"/>
      <c r="B24" s="591"/>
      <c r="C24" s="591"/>
      <c r="D24" s="591"/>
      <c r="E24" s="591"/>
      <c r="F24" s="591"/>
      <c r="G24" s="564"/>
      <c r="H24" s="564"/>
      <c r="I24" s="591"/>
      <c r="J24" s="591"/>
      <c r="K24" s="591"/>
      <c r="L24" s="591"/>
      <c r="M24" s="591"/>
      <c r="N24" s="591"/>
      <c r="O24" s="591"/>
      <c r="P24" s="591"/>
      <c r="Q24" s="591"/>
      <c r="R24" s="591"/>
      <c r="S24" s="591"/>
      <c r="T24" s="591"/>
      <c r="U24" s="591"/>
      <c r="V24" s="644"/>
      <c r="AG24" s="696">
        <v>41579</v>
      </c>
      <c r="AH24" s="698">
        <v>130</v>
      </c>
    </row>
    <row r="25" spans="1:38" ht="15">
      <c r="A25" s="591"/>
      <c r="B25" s="591"/>
      <c r="C25" s="591"/>
      <c r="D25" s="591"/>
      <c r="E25" s="591"/>
      <c r="F25" s="591"/>
      <c r="G25" s="564"/>
      <c r="H25" s="564"/>
      <c r="I25" s="591"/>
      <c r="J25" s="591"/>
      <c r="K25" s="591"/>
      <c r="L25" s="591"/>
      <c r="M25" s="591"/>
      <c r="N25" s="591"/>
      <c r="O25" s="591"/>
      <c r="P25" s="591"/>
      <c r="Q25" s="591"/>
      <c r="R25" s="591"/>
      <c r="S25" s="591"/>
      <c r="T25" s="591"/>
      <c r="U25" s="591"/>
      <c r="V25" s="644"/>
      <c r="X25" s="591"/>
      <c r="Y25" s="591"/>
      <c r="Z25" s="591"/>
      <c r="AA25" s="591"/>
      <c r="AB25" s="591"/>
      <c r="AC25" s="591"/>
      <c r="AD25" s="591"/>
      <c r="AE25" s="591"/>
      <c r="AG25" s="696">
        <v>41609</v>
      </c>
      <c r="AH25" s="698">
        <v>132</v>
      </c>
    </row>
    <row r="26" spans="1:38" ht="15">
      <c r="A26" s="591"/>
      <c r="B26" s="591"/>
      <c r="C26" s="591"/>
      <c r="D26" s="591"/>
      <c r="E26" s="591"/>
      <c r="F26" s="591"/>
      <c r="G26" s="564"/>
      <c r="H26" s="564"/>
      <c r="I26" s="591"/>
      <c r="J26" s="591"/>
      <c r="K26" s="591"/>
      <c r="L26" s="591"/>
      <c r="M26" s="591"/>
      <c r="N26" s="591"/>
      <c r="O26" s="591"/>
      <c r="P26" s="591"/>
      <c r="Q26" s="591"/>
      <c r="R26" s="591"/>
      <c r="S26" s="591"/>
      <c r="T26" s="591"/>
      <c r="U26" s="591"/>
      <c r="V26" s="644"/>
      <c r="X26" s="591"/>
      <c r="Y26" s="591"/>
      <c r="Z26" s="591"/>
      <c r="AA26" s="591"/>
      <c r="AB26" s="591"/>
      <c r="AC26" s="591"/>
      <c r="AD26" s="591"/>
      <c r="AE26" s="591"/>
      <c r="AG26" s="696">
        <v>41640</v>
      </c>
      <c r="AH26" s="699">
        <v>135</v>
      </c>
    </row>
    <row r="27" spans="1:38" ht="15">
      <c r="A27" s="591"/>
      <c r="B27" s="591"/>
      <c r="C27" s="591"/>
      <c r="D27" s="591"/>
      <c r="E27" s="591"/>
      <c r="F27" s="591"/>
      <c r="G27" s="564"/>
      <c r="H27" s="564"/>
      <c r="I27" s="591"/>
      <c r="J27" s="591"/>
      <c r="K27" s="591"/>
      <c r="L27" s="591"/>
      <c r="M27" s="591"/>
      <c r="N27" s="591"/>
      <c r="O27" s="591"/>
      <c r="P27" s="591"/>
      <c r="Q27" s="591"/>
      <c r="R27" s="591"/>
      <c r="S27" s="591"/>
      <c r="T27" s="591"/>
      <c r="U27" s="591"/>
      <c r="V27" s="644"/>
      <c r="X27" s="591"/>
      <c r="Y27" s="591"/>
      <c r="Z27" s="591"/>
      <c r="AA27" s="591"/>
      <c r="AB27" s="591"/>
      <c r="AC27" s="591"/>
      <c r="AD27" s="591"/>
      <c r="AE27" s="591"/>
      <c r="AG27" s="696">
        <v>41671</v>
      </c>
      <c r="AH27" s="699">
        <v>137</v>
      </c>
    </row>
    <row r="28" spans="1:38" ht="15.75" customHeight="1">
      <c r="B28" s="591"/>
      <c r="C28" s="591"/>
      <c r="D28" s="591"/>
      <c r="E28" s="591"/>
      <c r="F28" s="591"/>
      <c r="G28" s="591"/>
      <c r="H28" s="591"/>
      <c r="I28" s="591"/>
      <c r="J28" s="591"/>
      <c r="K28" s="591"/>
      <c r="L28" s="591"/>
      <c r="M28" s="591"/>
      <c r="N28" s="591"/>
      <c r="O28" s="591"/>
      <c r="P28" s="591"/>
      <c r="Q28" s="591"/>
      <c r="R28" s="591"/>
      <c r="S28" s="591"/>
      <c r="T28" s="591"/>
      <c r="U28" s="591"/>
      <c r="V28" s="644"/>
      <c r="X28" s="591"/>
      <c r="Y28" s="591"/>
      <c r="Z28" s="591"/>
      <c r="AA28" s="591"/>
      <c r="AB28" s="591"/>
      <c r="AC28" s="591"/>
      <c r="AD28" s="591"/>
      <c r="AE28" s="591"/>
      <c r="AG28" s="696">
        <v>41699</v>
      </c>
      <c r="AH28" s="699">
        <v>140</v>
      </c>
    </row>
    <row r="29" spans="1:38" ht="20.25" customHeight="1">
      <c r="A29" s="591"/>
      <c r="B29" s="591"/>
      <c r="C29" s="1855" t="s">
        <v>495</v>
      </c>
      <c r="D29" s="1848"/>
      <c r="E29" s="1848"/>
      <c r="F29" s="1848"/>
      <c r="G29" s="1848"/>
      <c r="H29" s="1848"/>
      <c r="I29" s="1848"/>
      <c r="J29" s="1848"/>
      <c r="K29" s="1848"/>
      <c r="L29" s="1848"/>
      <c r="M29" s="1848"/>
      <c r="N29" s="1848"/>
      <c r="O29" s="1848"/>
      <c r="P29" s="1848"/>
      <c r="Q29" s="1848"/>
      <c r="R29" s="591"/>
      <c r="S29" s="591"/>
      <c r="T29" s="591"/>
      <c r="U29" s="591"/>
      <c r="V29" s="644"/>
      <c r="X29" s="1858" t="s">
        <v>495</v>
      </c>
      <c r="Y29" s="1859"/>
      <c r="Z29" s="1859"/>
      <c r="AA29" s="1859"/>
      <c r="AB29" s="1859"/>
      <c r="AC29" s="1859"/>
      <c r="AD29" s="1859"/>
      <c r="AE29" s="1859"/>
      <c r="AF29" s="693"/>
      <c r="AG29" s="697">
        <v>41730</v>
      </c>
      <c r="AH29" s="700">
        <v>140</v>
      </c>
      <c r="AI29" s="693"/>
      <c r="AJ29" s="693"/>
      <c r="AK29" s="693"/>
      <c r="AL29" s="693"/>
    </row>
    <row r="30" spans="1:38" ht="23.25" customHeight="1" thickBot="1">
      <c r="A30" s="591"/>
      <c r="B30" s="591"/>
      <c r="C30" s="1856" t="s">
        <v>500</v>
      </c>
      <c r="D30" s="1848"/>
      <c r="E30" s="1848"/>
      <c r="F30" s="1848"/>
      <c r="G30" s="1848"/>
      <c r="H30" s="1848"/>
      <c r="I30" s="1848"/>
      <c r="J30" s="1848"/>
      <c r="K30" s="1848"/>
      <c r="L30" s="1848"/>
      <c r="M30" s="1848"/>
      <c r="N30" s="1848"/>
      <c r="O30" s="1848"/>
      <c r="P30" s="1848"/>
      <c r="Q30" s="1848"/>
      <c r="R30" s="591"/>
      <c r="S30" s="591"/>
      <c r="T30" s="591"/>
      <c r="U30" s="591"/>
      <c r="W30" s="676">
        <v>41001</v>
      </c>
      <c r="X30" s="1858" t="s">
        <v>500</v>
      </c>
      <c r="Y30" s="1859"/>
      <c r="Z30" s="1859"/>
      <c r="AA30" s="1859"/>
      <c r="AB30" s="1859"/>
      <c r="AC30" s="1859"/>
      <c r="AD30" s="1859"/>
      <c r="AE30" s="1859"/>
      <c r="AF30" s="694"/>
      <c r="AG30" s="697">
        <v>41760</v>
      </c>
      <c r="AH30" s="700">
        <v>140</v>
      </c>
      <c r="AI30" s="694"/>
      <c r="AJ30" s="694"/>
      <c r="AK30" s="694"/>
      <c r="AL30" s="694"/>
    </row>
    <row r="31" spans="1:38" ht="4.5" customHeight="1" thickBot="1">
      <c r="A31" s="591"/>
      <c r="B31" s="591"/>
      <c r="C31" s="1848"/>
      <c r="D31" s="1848"/>
      <c r="E31" s="1848"/>
      <c r="F31" s="1848"/>
      <c r="G31" s="1848"/>
      <c r="H31" s="1848"/>
      <c r="I31" s="1848"/>
      <c r="J31" s="1848"/>
      <c r="K31" s="1848"/>
      <c r="L31" s="1848"/>
      <c r="M31" s="1848"/>
      <c r="N31" s="1848"/>
      <c r="O31" s="1848"/>
      <c r="P31" s="1848"/>
      <c r="Q31" s="1848"/>
      <c r="R31" s="591"/>
      <c r="S31" s="591"/>
      <c r="T31" s="591"/>
      <c r="U31" s="591"/>
      <c r="W31" s="676">
        <v>41358</v>
      </c>
      <c r="X31" s="694"/>
      <c r="Y31" s="694"/>
      <c r="Z31" s="694"/>
      <c r="AA31" s="694"/>
      <c r="AB31" s="694"/>
      <c r="AC31" s="694"/>
      <c r="AD31" s="694"/>
      <c r="AE31" s="694"/>
      <c r="AF31" s="694"/>
      <c r="AG31" s="697">
        <v>41791</v>
      </c>
      <c r="AH31" s="700">
        <v>140</v>
      </c>
      <c r="AI31" s="694"/>
      <c r="AJ31" s="694"/>
      <c r="AK31" s="694"/>
      <c r="AL31" s="694"/>
    </row>
    <row r="32" spans="1:38" ht="16.5" thickBot="1">
      <c r="A32" s="591"/>
      <c r="B32" s="591"/>
      <c r="C32" s="1847" t="s">
        <v>498</v>
      </c>
      <c r="D32" s="1848"/>
      <c r="E32" s="1848"/>
      <c r="F32" s="1848"/>
      <c r="G32" s="1848"/>
      <c r="H32" s="1848"/>
      <c r="I32" s="1848"/>
      <c r="J32" s="1848"/>
      <c r="K32" s="1848"/>
      <c r="L32" s="1848"/>
      <c r="M32" s="1848"/>
      <c r="N32" s="1848"/>
      <c r="O32" s="1848"/>
      <c r="P32" s="1848"/>
      <c r="Q32" s="1848"/>
      <c r="R32" s="591"/>
      <c r="S32" s="591"/>
      <c r="T32" s="591"/>
      <c r="U32" s="591"/>
      <c r="W32" s="676">
        <v>41743</v>
      </c>
      <c r="X32" s="591"/>
      <c r="Y32" s="1857" t="s">
        <v>511</v>
      </c>
      <c r="Z32" s="1857"/>
      <c r="AA32" s="1857"/>
      <c r="AB32" s="1857"/>
      <c r="AC32" s="1857"/>
      <c r="AD32" s="1857"/>
      <c r="AE32" s="591"/>
      <c r="AG32" s="696">
        <v>41821</v>
      </c>
      <c r="AH32" s="699">
        <v>140</v>
      </c>
    </row>
    <row r="33" spans="1:34" ht="15.75" thickBot="1">
      <c r="A33" s="591"/>
      <c r="B33" s="591"/>
      <c r="C33" s="591"/>
      <c r="D33" s="591"/>
      <c r="E33" s="591"/>
      <c r="F33" s="591"/>
      <c r="G33" s="591"/>
      <c r="H33" s="591"/>
      <c r="I33" s="591"/>
      <c r="J33" s="591"/>
      <c r="K33" s="591"/>
      <c r="L33" s="591"/>
      <c r="M33" s="591"/>
      <c r="N33" s="591"/>
      <c r="O33" s="591"/>
      <c r="P33" s="591"/>
      <c r="Q33" s="591"/>
      <c r="R33" s="591"/>
      <c r="S33" s="591"/>
      <c r="T33" s="591"/>
      <c r="U33" s="591"/>
      <c r="X33" s="591"/>
      <c r="Z33" s="677" t="s">
        <v>118</v>
      </c>
      <c r="AA33" s="678" t="s">
        <v>119</v>
      </c>
      <c r="AB33" s="677" t="s">
        <v>120</v>
      </c>
      <c r="AC33" s="678" t="s">
        <v>121</v>
      </c>
      <c r="AD33" s="677" t="s">
        <v>122</v>
      </c>
      <c r="AE33" s="591"/>
      <c r="AG33" s="696">
        <v>41852</v>
      </c>
      <c r="AH33" s="699">
        <v>140</v>
      </c>
    </row>
    <row r="34" spans="1:34" ht="16.5" thickBot="1">
      <c r="A34" s="591"/>
      <c r="B34" s="591"/>
      <c r="C34" s="1849">
        <v>2011</v>
      </c>
      <c r="D34" s="1850"/>
      <c r="E34" s="1851"/>
      <c r="F34" s="628"/>
      <c r="G34" s="1849">
        <v>2012</v>
      </c>
      <c r="H34" s="1850"/>
      <c r="I34" s="1850"/>
      <c r="J34" s="593"/>
      <c r="K34" s="1849">
        <v>2013</v>
      </c>
      <c r="L34" s="1850"/>
      <c r="M34" s="1850"/>
      <c r="N34" s="593"/>
      <c r="O34" s="1849">
        <v>2014</v>
      </c>
      <c r="P34" s="1850"/>
      <c r="Q34" s="1851"/>
      <c r="R34" s="593"/>
      <c r="S34" s="591"/>
      <c r="T34" s="591"/>
      <c r="U34" s="591"/>
      <c r="W34" s="590">
        <v>189</v>
      </c>
      <c r="X34" s="591"/>
      <c r="Y34" s="679" t="s">
        <v>123</v>
      </c>
      <c r="Z34" s="680">
        <v>105</v>
      </c>
      <c r="AA34" s="680">
        <v>147</v>
      </c>
      <c r="AB34" s="680" t="s">
        <v>126</v>
      </c>
      <c r="AC34" s="680" t="s">
        <v>126</v>
      </c>
      <c r="AD34" s="681">
        <v>420</v>
      </c>
      <c r="AE34" s="591"/>
      <c r="AG34" s="696">
        <v>41883</v>
      </c>
      <c r="AH34" s="699">
        <v>140</v>
      </c>
    </row>
    <row r="35" spans="1:34" ht="15.75" thickBot="1">
      <c r="A35" s="591"/>
      <c r="C35" s="594" t="s">
        <v>162</v>
      </c>
      <c r="D35" s="595"/>
      <c r="E35" s="596" t="s">
        <v>496</v>
      </c>
      <c r="F35" s="629"/>
      <c r="G35" s="633" t="s">
        <v>162</v>
      </c>
      <c r="H35" s="629"/>
      <c r="I35" s="634" t="s">
        <v>496</v>
      </c>
      <c r="J35" s="599"/>
      <c r="K35" s="598" t="s">
        <v>162</v>
      </c>
      <c r="L35" s="635"/>
      <c r="M35" s="596" t="s">
        <v>496</v>
      </c>
      <c r="N35" s="597"/>
      <c r="O35" s="598" t="s">
        <v>162</v>
      </c>
      <c r="P35" s="635"/>
      <c r="Q35" s="636" t="s">
        <v>496</v>
      </c>
      <c r="R35" s="599"/>
      <c r="S35" s="591"/>
      <c r="T35" s="591"/>
      <c r="U35" s="591"/>
      <c r="W35" s="590">
        <v>189</v>
      </c>
      <c r="X35" s="591"/>
      <c r="Y35" s="682" t="s">
        <v>124</v>
      </c>
      <c r="Z35" s="136">
        <v>105</v>
      </c>
      <c r="AA35" s="136">
        <v>147</v>
      </c>
      <c r="AB35" s="136">
        <v>168</v>
      </c>
      <c r="AC35" s="136">
        <v>252</v>
      </c>
      <c r="AD35" s="683">
        <v>420</v>
      </c>
      <c r="AE35" s="591"/>
      <c r="AG35" s="696">
        <v>41913</v>
      </c>
      <c r="AH35" s="699">
        <v>140</v>
      </c>
    </row>
    <row r="36" spans="1:34" ht="16.5" thickBot="1">
      <c r="A36" s="591"/>
      <c r="B36" s="600" t="s">
        <v>25</v>
      </c>
      <c r="C36" s="601" t="s">
        <v>497</v>
      </c>
      <c r="D36" s="602"/>
      <c r="E36" s="603" t="s">
        <v>497</v>
      </c>
      <c r="F36" s="630"/>
      <c r="G36" s="605" t="s">
        <v>501</v>
      </c>
      <c r="H36" s="630"/>
      <c r="I36" s="605" t="s">
        <v>501</v>
      </c>
      <c r="J36" s="608"/>
      <c r="K36" s="605" t="s">
        <v>501</v>
      </c>
      <c r="L36" s="602"/>
      <c r="M36" s="605" t="s">
        <v>501</v>
      </c>
      <c r="N36" s="604"/>
      <c r="O36" s="605" t="s">
        <v>501</v>
      </c>
      <c r="P36" s="602"/>
      <c r="Q36" s="605" t="s">
        <v>501</v>
      </c>
      <c r="R36" s="608"/>
      <c r="S36" s="591"/>
      <c r="T36" s="591"/>
      <c r="U36" s="591"/>
      <c r="W36" s="590">
        <v>196</v>
      </c>
      <c r="X36" s="591"/>
      <c r="Y36" s="684" t="s">
        <v>125</v>
      </c>
      <c r="Z36" s="685">
        <v>105</v>
      </c>
      <c r="AA36" s="685">
        <v>147</v>
      </c>
      <c r="AB36" s="685" t="s">
        <v>126</v>
      </c>
      <c r="AC36" s="685" t="s">
        <v>126</v>
      </c>
      <c r="AD36" s="686">
        <v>420</v>
      </c>
      <c r="AE36" s="591"/>
      <c r="AG36" s="696">
        <v>41944</v>
      </c>
      <c r="AH36" s="699">
        <v>140</v>
      </c>
    </row>
    <row r="37" spans="1:34" ht="15">
      <c r="A37" s="591"/>
      <c r="B37" s="609" t="s">
        <v>8</v>
      </c>
      <c r="C37" s="610">
        <f>AVERAGE('[9]GLP por Cía 03 a 06'!$C$1204,'[9]GLP por Cía 03 a 06'!$C$1208,'[9]GLP por Cía 03 a 06'!$C$1212,'[9]GLP por Cía 03 a 06'!$C$1216)</f>
        <v>124.30232558139535</v>
      </c>
      <c r="D37" s="611"/>
      <c r="E37" s="610">
        <f>AVERAGE('[9]GLP por Cía 03 a 06'!$C$1205,'[9]GLP por Cía 03 a 06'!$C$1209,'[9]GLP por Cía 03 a 06'!$C$1213,'[9]GLP por Cía 03 a 06'!$C$1217)</f>
        <v>122.12222222222222</v>
      </c>
      <c r="F37" s="631"/>
      <c r="G37" s="612">
        <v>190</v>
      </c>
      <c r="H37" s="637"/>
      <c r="I37" s="612">
        <v>191</v>
      </c>
      <c r="J37" s="637"/>
      <c r="K37" s="612">
        <v>126</v>
      </c>
      <c r="L37" s="639"/>
      <c r="M37" s="612">
        <v>126</v>
      </c>
      <c r="N37" s="604"/>
      <c r="O37" s="612">
        <v>189</v>
      </c>
      <c r="P37" s="611"/>
      <c r="Q37" s="613">
        <v>189</v>
      </c>
      <c r="R37" s="608"/>
      <c r="S37" s="591"/>
      <c r="T37" s="591"/>
      <c r="U37" s="591"/>
      <c r="W37" s="590">
        <v>196</v>
      </c>
      <c r="X37" s="591"/>
      <c r="Y37" s="591"/>
      <c r="Z37" s="591"/>
      <c r="AA37" s="591"/>
      <c r="AB37" s="591"/>
      <c r="AC37" s="591"/>
      <c r="AD37" s="591"/>
      <c r="AE37" s="591"/>
      <c r="AG37" s="696">
        <v>41974</v>
      </c>
      <c r="AH37" s="699">
        <v>130</v>
      </c>
    </row>
    <row r="38" spans="1:34" ht="15.75" thickBot="1">
      <c r="A38" s="591"/>
      <c r="B38" s="614" t="s">
        <v>9</v>
      </c>
      <c r="C38" s="610">
        <f>AVERAGE('[9]GLP por Cía 03 a 06'!$C$1220,'[9]GLP por Cía 03 a 06'!$C$1224,'[9]GLP por Cía 03 a 06'!$C$1228,'[9]GLP por Cía 03 a 06'!$C$1232)</f>
        <v>130</v>
      </c>
      <c r="D38" s="611"/>
      <c r="E38" s="610">
        <f>AVERAGE('[9]GLP por Cía 03 a 06'!$C$1221,'[9]GLP por Cía 03 a 06'!$C$1225,'[9]GLP por Cía 03 a 06'!$C$1229,'[9]GLP por Cía 03 a 06'!$C$1233)</f>
        <v>130</v>
      </c>
      <c r="F38" s="631"/>
      <c r="G38" s="615">
        <v>190</v>
      </c>
      <c r="H38" s="637"/>
      <c r="I38" s="615">
        <v>191</v>
      </c>
      <c r="J38" s="637"/>
      <c r="K38" s="615">
        <v>139</v>
      </c>
      <c r="L38" s="639"/>
      <c r="M38" s="615">
        <v>138</v>
      </c>
      <c r="N38" s="604"/>
      <c r="O38" s="615">
        <v>192</v>
      </c>
      <c r="P38" s="611"/>
      <c r="Q38" s="616">
        <v>192</v>
      </c>
      <c r="R38" s="608"/>
      <c r="S38" s="591"/>
      <c r="T38" s="591"/>
      <c r="U38" s="591"/>
      <c r="X38" s="591"/>
      <c r="Y38" s="1857" t="s">
        <v>512</v>
      </c>
      <c r="Z38" s="1857"/>
      <c r="AA38" s="1857"/>
      <c r="AB38" s="1857"/>
      <c r="AC38" s="1857"/>
      <c r="AD38" s="1857"/>
      <c r="AE38" s="591"/>
      <c r="AG38" s="696">
        <v>42005</v>
      </c>
      <c r="AH38" s="699">
        <v>105</v>
      </c>
    </row>
    <row r="39" spans="1:34" ht="15.75" thickBot="1">
      <c r="A39" s="591"/>
      <c r="B39" s="614" t="s">
        <v>10</v>
      </c>
      <c r="C39" s="610">
        <v>130</v>
      </c>
      <c r="D39" s="611"/>
      <c r="E39" s="610">
        <v>130</v>
      </c>
      <c r="F39" s="631"/>
      <c r="G39" s="615">
        <v>163</v>
      </c>
      <c r="H39" s="637"/>
      <c r="I39" s="615">
        <v>163</v>
      </c>
      <c r="J39" s="637"/>
      <c r="K39" s="615">
        <v>139</v>
      </c>
      <c r="L39" s="639"/>
      <c r="M39" s="615">
        <v>138</v>
      </c>
      <c r="N39" s="604"/>
      <c r="O39" s="615">
        <v>196</v>
      </c>
      <c r="P39" s="611"/>
      <c r="Q39" s="616">
        <v>196</v>
      </c>
      <c r="R39" s="608"/>
      <c r="S39" s="591"/>
      <c r="T39" s="591"/>
      <c r="U39" s="591"/>
      <c r="W39" s="590">
        <f>AVERAGE(W34:W38)</f>
        <v>192.5</v>
      </c>
      <c r="X39" s="591"/>
      <c r="Z39" s="577" t="s">
        <v>118</v>
      </c>
      <c r="AA39" s="578" t="s">
        <v>119</v>
      </c>
      <c r="AB39" s="577" t="s">
        <v>120</v>
      </c>
      <c r="AC39" s="578" t="s">
        <v>121</v>
      </c>
      <c r="AD39" s="577" t="s">
        <v>122</v>
      </c>
      <c r="AE39" s="591"/>
      <c r="AG39" s="696">
        <v>42036</v>
      </c>
      <c r="AH39" s="699">
        <v>92</v>
      </c>
    </row>
    <row r="40" spans="1:34" ht="15">
      <c r="A40" s="591"/>
      <c r="B40" s="614" t="s">
        <v>11</v>
      </c>
      <c r="C40" s="610">
        <v>130</v>
      </c>
      <c r="D40" s="611">
        <v>1</v>
      </c>
      <c r="E40" s="610">
        <v>130</v>
      </c>
      <c r="F40" s="631"/>
      <c r="G40" s="615">
        <v>147</v>
      </c>
      <c r="H40" s="637"/>
      <c r="I40" s="615">
        <v>147</v>
      </c>
      <c r="J40" s="637"/>
      <c r="K40" s="615">
        <v>139</v>
      </c>
      <c r="L40" s="639"/>
      <c r="M40" s="615">
        <v>138</v>
      </c>
      <c r="N40" s="604"/>
      <c r="O40" s="615">
        <v>196</v>
      </c>
      <c r="P40" s="611"/>
      <c r="Q40" s="616">
        <v>196</v>
      </c>
      <c r="R40" s="608"/>
      <c r="S40" s="591"/>
      <c r="T40" s="591"/>
      <c r="U40" s="591"/>
      <c r="W40" s="627">
        <v>208</v>
      </c>
      <c r="X40" s="627"/>
      <c r="Y40" s="690" t="s">
        <v>123</v>
      </c>
      <c r="Z40" s="687">
        <v>109</v>
      </c>
      <c r="AA40" s="680">
        <v>153</v>
      </c>
      <c r="AB40" s="680" t="s">
        <v>126</v>
      </c>
      <c r="AC40" s="680" t="s">
        <v>126</v>
      </c>
      <c r="AD40" s="681">
        <v>436</v>
      </c>
      <c r="AE40" s="591"/>
      <c r="AG40" s="696">
        <v>42064</v>
      </c>
      <c r="AH40" s="699">
        <v>90</v>
      </c>
    </row>
    <row r="41" spans="1:34" ht="15">
      <c r="A41" s="591"/>
      <c r="B41" s="614" t="s">
        <v>12</v>
      </c>
      <c r="C41" s="610">
        <f>AVERAGE('[9]GLP por Cía 03 a 06'!$C$1272,'[9]GLP por Cía 03 a 06'!$C$1276,'[9]GLP por Cía 03 a 06'!$C$1280,'[9]GLP por Cía 03 a 06'!$C$1284,'[9]GLP por Cía 03 a 06'!$C$1288)</f>
        <v>130.19999999999999</v>
      </c>
      <c r="D41" s="611"/>
      <c r="E41" s="610">
        <v>130</v>
      </c>
      <c r="F41" s="631"/>
      <c r="G41" s="615">
        <v>147</v>
      </c>
      <c r="H41" s="637"/>
      <c r="I41" s="615">
        <v>147</v>
      </c>
      <c r="J41" s="637"/>
      <c r="K41" s="615">
        <v>139</v>
      </c>
      <c r="L41" s="639"/>
      <c r="M41" s="615">
        <v>138</v>
      </c>
      <c r="N41" s="604"/>
      <c r="O41" s="615">
        <v>196</v>
      </c>
      <c r="P41" s="611"/>
      <c r="Q41" s="616">
        <v>196</v>
      </c>
      <c r="R41" s="608"/>
      <c r="S41" s="591"/>
      <c r="T41" s="591"/>
      <c r="U41" s="591"/>
      <c r="X41" s="591"/>
      <c r="Y41" s="691" t="s">
        <v>124</v>
      </c>
      <c r="Z41" s="688">
        <v>109</v>
      </c>
      <c r="AA41" s="136">
        <v>152.6</v>
      </c>
      <c r="AB41" s="136">
        <v>174.4</v>
      </c>
      <c r="AC41" s="136">
        <v>261.60000000000002</v>
      </c>
      <c r="AD41" s="683">
        <v>436</v>
      </c>
      <c r="AE41" s="591"/>
      <c r="AG41" s="696">
        <v>42095</v>
      </c>
      <c r="AH41" s="699">
        <v>87</v>
      </c>
    </row>
    <row r="42" spans="1:34" ht="15.75" thickBot="1">
      <c r="A42" s="591"/>
      <c r="B42" s="614" t="s">
        <v>13</v>
      </c>
      <c r="C42" s="610">
        <f>AVERAGE('[9]GLP por Cía 03 a 06'!$C$1292,'[9]GLP por Cía 03 a 06'!$C$1296,'[9]GLP por Cía 03 a 06'!$C$1300,'[9]GLP por Cía 03 a 06'!$C$1304)</f>
        <v>131</v>
      </c>
      <c r="D42" s="611"/>
      <c r="E42" s="610">
        <v>130</v>
      </c>
      <c r="F42" s="631"/>
      <c r="G42" s="615">
        <v>147</v>
      </c>
      <c r="H42" s="637"/>
      <c r="I42" s="615">
        <v>147</v>
      </c>
      <c r="J42" s="637"/>
      <c r="K42" s="615">
        <v>164</v>
      </c>
      <c r="L42" s="639"/>
      <c r="M42" s="615">
        <v>164</v>
      </c>
      <c r="N42" s="604"/>
      <c r="O42" s="615">
        <v>196</v>
      </c>
      <c r="P42" s="611"/>
      <c r="Q42" s="616">
        <v>196</v>
      </c>
      <c r="R42" s="608"/>
      <c r="S42" s="591"/>
      <c r="T42" s="591"/>
      <c r="U42" s="591"/>
      <c r="X42" s="591"/>
      <c r="Y42" s="692" t="s">
        <v>125</v>
      </c>
      <c r="Z42" s="689">
        <v>109</v>
      </c>
      <c r="AA42" s="685">
        <v>153</v>
      </c>
      <c r="AB42" s="685">
        <v>174.4</v>
      </c>
      <c r="AC42" s="685">
        <v>261.60000000000002</v>
      </c>
      <c r="AD42" s="686">
        <v>396</v>
      </c>
      <c r="AE42" s="591"/>
      <c r="AG42" s="696">
        <v>42125</v>
      </c>
      <c r="AH42" s="699">
        <v>78</v>
      </c>
    </row>
    <row r="43" spans="1:34" ht="15">
      <c r="A43" s="591"/>
      <c r="B43" s="614" t="s">
        <v>14</v>
      </c>
      <c r="C43" s="610">
        <v>131</v>
      </c>
      <c r="D43" s="611"/>
      <c r="E43" s="610">
        <v>130</v>
      </c>
      <c r="F43" s="631"/>
      <c r="G43" s="615">
        <v>134</v>
      </c>
      <c r="H43" s="637"/>
      <c r="I43" s="615">
        <v>140</v>
      </c>
      <c r="J43" s="637"/>
      <c r="K43" s="615">
        <v>168</v>
      </c>
      <c r="L43" s="639"/>
      <c r="M43" s="615">
        <v>168</v>
      </c>
      <c r="N43" s="604"/>
      <c r="O43" s="615">
        <v>196</v>
      </c>
      <c r="P43" s="611"/>
      <c r="Q43" s="616">
        <v>196</v>
      </c>
      <c r="R43" s="608"/>
      <c r="S43" s="591"/>
      <c r="T43" s="591"/>
      <c r="U43" s="591"/>
      <c r="X43" s="591"/>
      <c r="Y43" s="591"/>
      <c r="Z43" s="591"/>
      <c r="AA43" s="591"/>
      <c r="AB43" s="591"/>
      <c r="AC43" s="591"/>
      <c r="AD43" s="591"/>
      <c r="AE43" s="591"/>
      <c r="AG43" s="696">
        <v>42156</v>
      </c>
      <c r="AH43" s="699">
        <v>75</v>
      </c>
    </row>
    <row r="44" spans="1:34" ht="15.75" thickBot="1">
      <c r="A44" s="591"/>
      <c r="B44" s="614" t="s">
        <v>15</v>
      </c>
      <c r="C44" s="610">
        <f>AVERAGE('[9]GLP por Cía 03 a 06'!$C$1324,'[9]GLP por Cía 03 a 06'!$C$1328,'[9]GLP por Cía 03 a 06'!$C$1332,'[9]GLP por Cía 03 a 06'!$C$1336,'[9]GLP por Cía 03 a 06'!$C$1340)</f>
        <v>129.80000000000001</v>
      </c>
      <c r="D44" s="611"/>
      <c r="E44" s="610">
        <v>129.80000000000001</v>
      </c>
      <c r="F44" s="631"/>
      <c r="G44" s="615">
        <v>131</v>
      </c>
      <c r="H44" s="637"/>
      <c r="I44" s="615">
        <v>131</v>
      </c>
      <c r="J44" s="637"/>
      <c r="K44" s="615">
        <v>168</v>
      </c>
      <c r="L44" s="639"/>
      <c r="M44" s="615">
        <v>168</v>
      </c>
      <c r="N44" s="604"/>
      <c r="O44" s="615">
        <v>196</v>
      </c>
      <c r="P44" s="611"/>
      <c r="Q44" s="616">
        <v>196</v>
      </c>
      <c r="R44" s="608"/>
      <c r="S44" s="591"/>
      <c r="T44" s="591"/>
      <c r="U44" s="591"/>
      <c r="X44" s="591"/>
      <c r="Y44" s="1857" t="s">
        <v>513</v>
      </c>
      <c r="Z44" s="1857"/>
      <c r="AA44" s="1857"/>
      <c r="AB44" s="1857"/>
      <c r="AC44" s="1857"/>
      <c r="AD44" s="1857"/>
      <c r="AE44" s="591"/>
    </row>
    <row r="45" spans="1:34" ht="15.75" thickBot="1">
      <c r="A45" s="591"/>
      <c r="B45" s="614" t="s">
        <v>16</v>
      </c>
      <c r="C45" s="610">
        <v>128</v>
      </c>
      <c r="D45" s="611"/>
      <c r="E45" s="610">
        <v>128</v>
      </c>
      <c r="F45" s="631"/>
      <c r="G45" s="615">
        <v>129</v>
      </c>
      <c r="H45" s="637"/>
      <c r="I45" s="615">
        <v>99</v>
      </c>
      <c r="J45" s="637"/>
      <c r="K45" s="615">
        <v>179</v>
      </c>
      <c r="L45" s="639"/>
      <c r="M45" s="615">
        <v>179</v>
      </c>
      <c r="N45" s="604"/>
      <c r="O45" s="615">
        <v>196</v>
      </c>
      <c r="P45" s="611"/>
      <c r="Q45" s="616">
        <v>196</v>
      </c>
      <c r="R45" s="608"/>
      <c r="S45" s="591"/>
      <c r="T45" s="591"/>
      <c r="U45" s="591"/>
      <c r="X45" s="591"/>
      <c r="Z45" s="677" t="s">
        <v>118</v>
      </c>
      <c r="AA45" s="678" t="s">
        <v>119</v>
      </c>
      <c r="AB45" s="677" t="s">
        <v>120</v>
      </c>
      <c r="AC45" s="678" t="s">
        <v>121</v>
      </c>
      <c r="AD45" s="677" t="s">
        <v>122</v>
      </c>
      <c r="AE45" s="591"/>
    </row>
    <row r="46" spans="1:34" ht="15.75">
      <c r="A46" s="591"/>
      <c r="B46" s="614" t="s">
        <v>17</v>
      </c>
      <c r="C46" s="610">
        <f>AVERAGE('[9]GLP por Cía 03 a 06'!$C$1360,'[9]GLP por Cía 03 a 06'!$C$1364,'[9]GLP por Cía 03 a 06'!$C$1368,'[9]GLP por Cía 03 a 06'!$C$1372,'[9]GLP por Cía 03 a 06'!$C$1376)</f>
        <v>129.6</v>
      </c>
      <c r="D46" s="611"/>
      <c r="E46" s="610">
        <f>AVERAGE('[9]GLP por Cía 03 a 06'!$C$1361,'[9]GLP por Cía 03 a 06'!$C$1365,'[9]GLP por Cía 03 a 06'!$C$1369,'[9]GLP por Cía 03 a 06'!$C$1373,'[9]GLP por Cía 03 a 06'!$C$1377)</f>
        <v>129.80000000000001</v>
      </c>
      <c r="F46" s="631"/>
      <c r="G46" s="615">
        <v>91</v>
      </c>
      <c r="H46" s="637"/>
      <c r="I46" s="615">
        <v>85</v>
      </c>
      <c r="J46" s="637"/>
      <c r="K46" s="617">
        <v>182</v>
      </c>
      <c r="L46" s="639"/>
      <c r="M46" s="617">
        <v>182</v>
      </c>
      <c r="N46" s="604"/>
      <c r="O46" s="615">
        <v>196</v>
      </c>
      <c r="P46" s="611"/>
      <c r="Q46" s="616">
        <v>196</v>
      </c>
      <c r="R46" s="608"/>
      <c r="S46" s="591"/>
      <c r="T46" s="591"/>
      <c r="U46" s="591"/>
      <c r="V46" s="644"/>
      <c r="X46" s="591"/>
      <c r="Y46" s="679" t="s">
        <v>123</v>
      </c>
      <c r="Z46" s="680">
        <v>140</v>
      </c>
      <c r="AA46" s="680">
        <v>196</v>
      </c>
      <c r="AB46" s="680" t="s">
        <v>126</v>
      </c>
      <c r="AC46" s="680" t="s">
        <v>126</v>
      </c>
      <c r="AD46" s="681">
        <v>560</v>
      </c>
      <c r="AE46" s="591"/>
    </row>
    <row r="47" spans="1:34" ht="15.75">
      <c r="A47" s="591"/>
      <c r="B47" s="614" t="s">
        <v>18</v>
      </c>
      <c r="C47" s="610">
        <f>AVERAGE('[9]GLP por Cía 03 a 06'!$C$1380,'[9]GLP por Cía 03 a 06'!$C$1384,'[9]GLP por Cía 03 a 06'!$C$1388,'[9]GLP por Cía 03 a 06'!$C$1392,'[9]GLP por Cía 03 a 06'!$C$1396)</f>
        <v>136</v>
      </c>
      <c r="D47" s="611"/>
      <c r="E47" s="610">
        <f>AVERAGE('[9]GLP por Cía 03 a 06'!$C$1381,'[9]GLP por Cía 03 a 06'!$C$1385,'[9]GLP por Cía 03 a 06'!$C$1389,'[9]GLP por Cía 03 a 06'!$C$1393,'[9]GLP por Cía 03 a 06'!$C$1397)</f>
        <v>137</v>
      </c>
      <c r="F47" s="631"/>
      <c r="G47" s="615">
        <v>91</v>
      </c>
      <c r="H47" s="637"/>
      <c r="I47" s="615">
        <v>84</v>
      </c>
      <c r="J47" s="637"/>
      <c r="K47" s="615">
        <v>182</v>
      </c>
      <c r="L47" s="639"/>
      <c r="M47" s="615">
        <v>182</v>
      </c>
      <c r="N47" s="604"/>
      <c r="O47" s="615">
        <v>196</v>
      </c>
      <c r="P47" s="611"/>
      <c r="Q47" s="616">
        <v>196</v>
      </c>
      <c r="R47" s="608"/>
      <c r="S47" s="591"/>
      <c r="T47" s="591"/>
      <c r="U47" s="591"/>
      <c r="V47" s="644"/>
      <c r="W47" s="590">
        <v>5.4</v>
      </c>
      <c r="X47" s="591"/>
      <c r="Y47" s="682" t="s">
        <v>124</v>
      </c>
      <c r="Z47" s="136">
        <v>140</v>
      </c>
      <c r="AA47" s="136">
        <v>196</v>
      </c>
      <c r="AB47" s="136">
        <v>224</v>
      </c>
      <c r="AC47" s="136">
        <v>336</v>
      </c>
      <c r="AD47" s="683">
        <v>560</v>
      </c>
      <c r="AE47" s="591"/>
    </row>
    <row r="48" spans="1:34" ht="16.5" thickBot="1">
      <c r="A48" s="591"/>
      <c r="B48" s="618" t="s">
        <v>19</v>
      </c>
      <c r="C48" s="619">
        <v>136</v>
      </c>
      <c r="D48" s="620"/>
      <c r="E48" s="619">
        <f>AVERAGE('[9]GLP por Cía 03 a 06'!$C$1401,'[9]GLP por Cía 03 a 06'!$C$1405,'[9]GLP por Cía 03 a 06'!$C$1409,'[9]GLP por Cía 03 a 06'!$C$1413)</f>
        <v>137</v>
      </c>
      <c r="F48" s="632"/>
      <c r="G48" s="620">
        <v>126</v>
      </c>
      <c r="H48" s="638"/>
      <c r="I48" s="620">
        <v>126</v>
      </c>
      <c r="J48" s="638"/>
      <c r="K48" s="620">
        <v>193</v>
      </c>
      <c r="L48" s="640"/>
      <c r="M48" s="620">
        <v>193</v>
      </c>
      <c r="N48" s="621"/>
      <c r="O48" s="620">
        <v>182</v>
      </c>
      <c r="P48" s="620"/>
      <c r="Q48" s="622">
        <v>182</v>
      </c>
      <c r="R48" s="623"/>
      <c r="S48" s="591"/>
      <c r="T48" s="591"/>
      <c r="U48" s="591"/>
      <c r="V48" s="644"/>
      <c r="W48" s="590">
        <v>5</v>
      </c>
      <c r="X48" s="591"/>
      <c r="Y48" s="684" t="s">
        <v>125</v>
      </c>
      <c r="Z48" s="685">
        <v>140</v>
      </c>
      <c r="AA48" s="685">
        <v>196</v>
      </c>
      <c r="AB48" s="685">
        <v>224</v>
      </c>
      <c r="AC48" s="685">
        <v>336</v>
      </c>
      <c r="AD48" s="686">
        <v>560</v>
      </c>
      <c r="AE48" s="591"/>
    </row>
    <row r="49" spans="1:31" ht="6" customHeight="1" thickBot="1">
      <c r="A49" s="591"/>
      <c r="B49" s="591"/>
      <c r="C49" s="591"/>
      <c r="D49" s="591"/>
      <c r="E49" s="591"/>
      <c r="F49" s="591"/>
      <c r="G49" s="591"/>
      <c r="H49" s="591"/>
      <c r="I49" s="591"/>
      <c r="J49" s="591"/>
      <c r="K49" s="591"/>
      <c r="L49" s="591"/>
      <c r="M49" s="591"/>
      <c r="N49" s="591"/>
      <c r="O49" s="591"/>
      <c r="P49" s="591"/>
      <c r="Q49" s="591"/>
      <c r="R49" s="591"/>
      <c r="S49" s="591"/>
      <c r="T49" s="591"/>
      <c r="U49" s="591"/>
      <c r="V49" s="644"/>
      <c r="X49" s="591"/>
      <c r="Y49" s="591" t="e">
        <f>AVERAGE(Y47:Y48)</f>
        <v>#DIV/0!</v>
      </c>
      <c r="Z49" s="591"/>
      <c r="AA49" s="591"/>
      <c r="AB49" s="591"/>
      <c r="AC49" s="591"/>
      <c r="AD49" s="591"/>
      <c r="AE49" s="591"/>
    </row>
    <row r="50" spans="1:31" ht="7.5" customHeight="1" thickBot="1">
      <c r="B50" s="650" t="s">
        <v>20</v>
      </c>
      <c r="G50" s="645">
        <f>AVERAGE(G37:G48)</f>
        <v>140.5</v>
      </c>
      <c r="H50" s="646"/>
      <c r="I50" s="645">
        <f>AVERAGE(I37:I48)</f>
        <v>137.58333333333334</v>
      </c>
      <c r="J50" s="646"/>
      <c r="K50" s="645">
        <f>AVERAGE(K37:K48)</f>
        <v>159.83333333333334</v>
      </c>
      <c r="L50" s="646"/>
      <c r="M50" s="645">
        <f>AVERAGE(M37:M48)</f>
        <v>159.5</v>
      </c>
      <c r="N50" s="646"/>
      <c r="O50" s="645">
        <f>AVERAGE(O37:O48)</f>
        <v>193.91666666666666</v>
      </c>
      <c r="P50" s="646"/>
      <c r="Q50" s="645">
        <f>AVERAGE(Q37:Q48)</f>
        <v>193.91666666666666</v>
      </c>
      <c r="R50" s="591"/>
      <c r="S50" s="591"/>
      <c r="T50" s="591"/>
      <c r="U50" s="591"/>
      <c r="V50" s="644"/>
      <c r="X50" s="591"/>
      <c r="Y50" s="591"/>
      <c r="Z50" s="591"/>
      <c r="AA50" s="591"/>
      <c r="AB50" s="591"/>
      <c r="AC50" s="591"/>
      <c r="AD50" s="591"/>
      <c r="AE50" s="591"/>
    </row>
    <row r="51" spans="1:31" ht="15.75" thickBot="1">
      <c r="A51" s="591"/>
      <c r="B51" s="591"/>
      <c r="C51" s="591"/>
      <c r="D51" s="591"/>
      <c r="E51" s="591"/>
      <c r="F51" s="591"/>
      <c r="G51" s="564"/>
      <c r="H51" s="564"/>
      <c r="I51" s="591"/>
      <c r="J51" s="591"/>
      <c r="K51" s="591"/>
      <c r="L51" s="591"/>
      <c r="M51" s="591"/>
      <c r="N51" s="591"/>
      <c r="O51" s="591"/>
      <c r="P51" s="591"/>
      <c r="Q51" s="591"/>
      <c r="R51" s="591"/>
      <c r="S51" s="591"/>
      <c r="T51" s="591"/>
      <c r="U51" s="591"/>
      <c r="V51" s="644"/>
      <c r="X51" s="591"/>
      <c r="Y51" s="1857" t="s">
        <v>514</v>
      </c>
      <c r="Z51" s="1857"/>
      <c r="AA51" s="1857"/>
      <c r="AB51" s="1857"/>
      <c r="AC51" s="1857"/>
      <c r="AD51" s="1857"/>
      <c r="AE51" s="591"/>
    </row>
    <row r="52" spans="1:31" ht="15.75" thickBot="1">
      <c r="B52" s="591"/>
      <c r="C52" s="591"/>
      <c r="D52" s="591"/>
      <c r="E52" s="591"/>
      <c r="F52" s="591"/>
      <c r="G52" s="591"/>
      <c r="H52" s="591"/>
      <c r="I52" s="591"/>
      <c r="J52" s="591"/>
      <c r="K52" s="591"/>
      <c r="L52" s="591"/>
      <c r="M52" s="591"/>
      <c r="N52" s="591"/>
      <c r="O52" s="591"/>
      <c r="P52" s="591"/>
      <c r="Q52" s="591"/>
      <c r="R52" s="591"/>
      <c r="S52" s="591"/>
      <c r="T52" s="591"/>
      <c r="U52" s="591"/>
      <c r="V52" s="644"/>
      <c r="W52" s="591"/>
      <c r="X52" s="591"/>
      <c r="Y52" s="591"/>
      <c r="Z52" s="677" t="s">
        <v>118</v>
      </c>
      <c r="AA52" s="678" t="s">
        <v>119</v>
      </c>
      <c r="AB52" s="677" t="s">
        <v>120</v>
      </c>
      <c r="AC52" s="678" t="s">
        <v>121</v>
      </c>
      <c r="AD52" s="677" t="s">
        <v>122</v>
      </c>
      <c r="AE52" s="591"/>
    </row>
    <row r="53" spans="1:31" ht="15.75" customHeight="1">
      <c r="A53" s="1855" t="s">
        <v>495</v>
      </c>
      <c r="B53" s="1606"/>
      <c r="C53" s="1606"/>
      <c r="D53" s="1606"/>
      <c r="E53" s="1606"/>
      <c r="F53" s="1606"/>
      <c r="G53" s="1606"/>
      <c r="H53" s="1606"/>
      <c r="I53" s="1606"/>
      <c r="J53" s="1606"/>
      <c r="K53" s="1606"/>
      <c r="L53" s="1606"/>
      <c r="M53" s="1606"/>
      <c r="N53" s="1606"/>
      <c r="O53" s="1606"/>
      <c r="P53" s="1606"/>
      <c r="Q53" s="1606"/>
      <c r="R53" s="1606"/>
      <c r="S53" s="1606"/>
      <c r="T53" s="1606"/>
      <c r="U53" s="1606"/>
      <c r="V53" s="1606"/>
      <c r="W53" s="1606"/>
      <c r="X53" s="591"/>
      <c r="Y53" s="679" t="s">
        <v>123</v>
      </c>
      <c r="Z53" s="680">
        <v>140</v>
      </c>
      <c r="AA53" s="680">
        <v>196</v>
      </c>
      <c r="AB53" s="680" t="s">
        <v>126</v>
      </c>
      <c r="AC53" s="680" t="s">
        <v>126</v>
      </c>
      <c r="AD53" s="681">
        <v>560</v>
      </c>
      <c r="AE53" s="591"/>
    </row>
    <row r="54" spans="1:31" ht="15" customHeight="1">
      <c r="A54" s="1856" t="s">
        <v>502</v>
      </c>
      <c r="B54" s="1606"/>
      <c r="C54" s="1606"/>
      <c r="D54" s="1606"/>
      <c r="E54" s="1606"/>
      <c r="F54" s="1606"/>
      <c r="G54" s="1606"/>
      <c r="H54" s="1606"/>
      <c r="I54" s="1606"/>
      <c r="J54" s="1606"/>
      <c r="K54" s="1606"/>
      <c r="L54" s="1606"/>
      <c r="M54" s="1606"/>
      <c r="N54" s="1606"/>
      <c r="O54" s="1606"/>
      <c r="P54" s="1606"/>
      <c r="Q54" s="1606"/>
      <c r="R54" s="1606"/>
      <c r="S54" s="1606"/>
      <c r="T54" s="1606"/>
      <c r="U54" s="1606"/>
      <c r="V54" s="1606"/>
      <c r="W54" s="1606"/>
      <c r="X54" s="591"/>
      <c r="Y54" s="682" t="s">
        <v>124</v>
      </c>
      <c r="Z54" s="136">
        <v>140</v>
      </c>
      <c r="AA54" s="136">
        <v>196</v>
      </c>
      <c r="AB54" s="136">
        <v>224</v>
      </c>
      <c r="AC54" s="136">
        <v>336</v>
      </c>
      <c r="AD54" s="683">
        <v>560</v>
      </c>
      <c r="AE54" s="591"/>
    </row>
    <row r="55" spans="1:31" ht="15" customHeight="1" thickBot="1">
      <c r="A55" s="1606"/>
      <c r="B55" s="1606"/>
      <c r="C55" s="1606"/>
      <c r="D55" s="1606"/>
      <c r="E55" s="1606"/>
      <c r="F55" s="1606"/>
      <c r="G55" s="1606"/>
      <c r="H55" s="1606"/>
      <c r="I55" s="1606"/>
      <c r="J55" s="1606"/>
      <c r="K55" s="1606"/>
      <c r="L55" s="1606"/>
      <c r="M55" s="1606"/>
      <c r="N55" s="1606"/>
      <c r="O55" s="1606"/>
      <c r="P55" s="1606"/>
      <c r="Q55" s="1606"/>
      <c r="R55" s="1606"/>
      <c r="S55" s="1606"/>
      <c r="T55" s="1606"/>
      <c r="U55" s="1606"/>
      <c r="V55" s="1606"/>
      <c r="W55" s="1606"/>
      <c r="X55" s="591"/>
      <c r="Y55" s="684" t="s">
        <v>125</v>
      </c>
      <c r="Z55" s="685">
        <v>140</v>
      </c>
      <c r="AA55" s="685">
        <v>196</v>
      </c>
      <c r="AB55" s="685">
        <v>224</v>
      </c>
      <c r="AC55" s="685">
        <v>336</v>
      </c>
      <c r="AD55" s="686">
        <v>560</v>
      </c>
      <c r="AE55" s="591"/>
    </row>
    <row r="56" spans="1:31" ht="15.75" customHeight="1">
      <c r="A56" s="1847" t="s">
        <v>510</v>
      </c>
      <c r="B56" s="1606"/>
      <c r="C56" s="1606"/>
      <c r="D56" s="1606"/>
      <c r="E56" s="1606"/>
      <c r="F56" s="1606"/>
      <c r="G56" s="1606"/>
      <c r="H56" s="1606"/>
      <c r="I56" s="1606"/>
      <c r="J56" s="1606"/>
      <c r="K56" s="1606"/>
      <c r="L56" s="1606"/>
      <c r="M56" s="1606"/>
      <c r="N56" s="1606"/>
      <c r="O56" s="1606"/>
      <c r="P56" s="1606"/>
      <c r="Q56" s="1606"/>
      <c r="R56" s="1606"/>
      <c r="S56" s="1606"/>
      <c r="T56" s="1606"/>
      <c r="U56" s="1606"/>
      <c r="V56" s="1606"/>
      <c r="W56" s="1606"/>
      <c r="X56" s="591"/>
      <c r="AE56" s="591"/>
    </row>
    <row r="57" spans="1:31" ht="15.75" thickBot="1">
      <c r="A57" s="591"/>
      <c r="B57" s="591"/>
      <c r="C57" s="591"/>
      <c r="D57" s="591"/>
      <c r="E57" s="591"/>
      <c r="F57" s="591"/>
      <c r="G57" s="591"/>
      <c r="H57" s="591"/>
      <c r="I57" s="591"/>
      <c r="J57" s="591"/>
      <c r="K57" s="591"/>
      <c r="L57" s="591"/>
      <c r="M57" s="591"/>
      <c r="N57" s="591"/>
      <c r="O57" s="591"/>
      <c r="P57" s="591"/>
      <c r="Q57" s="591"/>
      <c r="R57" s="591"/>
      <c r="S57" s="591"/>
      <c r="T57" s="591"/>
      <c r="U57" s="591"/>
      <c r="W57" s="591"/>
      <c r="X57" s="624"/>
      <c r="Y57" s="1857" t="s">
        <v>536</v>
      </c>
      <c r="Z57" s="1857"/>
      <c r="AA57" s="1857"/>
      <c r="AB57" s="1857"/>
      <c r="AC57" s="1857"/>
      <c r="AD57" s="1857"/>
      <c r="AE57" s="624"/>
    </row>
    <row r="58" spans="1:31" ht="16.5" thickBot="1">
      <c r="A58" s="591"/>
      <c r="B58" s="591"/>
      <c r="C58" s="1849">
        <v>2011</v>
      </c>
      <c r="D58" s="1850"/>
      <c r="E58" s="1851"/>
      <c r="F58" s="628"/>
      <c r="G58" s="1849">
        <v>2012</v>
      </c>
      <c r="H58" s="1850"/>
      <c r="I58" s="1850"/>
      <c r="J58" s="593"/>
      <c r="K58" s="1849">
        <v>2013</v>
      </c>
      <c r="L58" s="1850"/>
      <c r="M58" s="1850"/>
      <c r="N58" s="593"/>
      <c r="O58" s="1849">
        <v>2014</v>
      </c>
      <c r="P58" s="1850"/>
      <c r="Q58" s="1851"/>
      <c r="R58" s="593"/>
      <c r="S58" s="593"/>
      <c r="T58" s="1849">
        <v>2015</v>
      </c>
      <c r="U58" s="1850"/>
      <c r="V58" s="1851"/>
      <c r="W58" s="591"/>
      <c r="Y58" s="591"/>
      <c r="Z58" s="677" t="s">
        <v>118</v>
      </c>
      <c r="AA58" s="678" t="s">
        <v>119</v>
      </c>
      <c r="AB58" s="677" t="s">
        <v>120</v>
      </c>
      <c r="AC58" s="678" t="s">
        <v>121</v>
      </c>
      <c r="AD58" s="677" t="s">
        <v>122</v>
      </c>
    </row>
    <row r="59" spans="1:31" ht="15.75" thickBot="1">
      <c r="A59" s="591"/>
      <c r="C59" s="594" t="s">
        <v>162</v>
      </c>
      <c r="D59" s="595"/>
      <c r="E59" s="596" t="s">
        <v>496</v>
      </c>
      <c r="F59" s="629"/>
      <c r="G59" s="633" t="s">
        <v>162</v>
      </c>
      <c r="H59" s="629"/>
      <c r="I59" s="634" t="s">
        <v>496</v>
      </c>
      <c r="J59" s="599"/>
      <c r="K59" s="598" t="s">
        <v>162</v>
      </c>
      <c r="L59" s="635"/>
      <c r="M59" s="596" t="s">
        <v>496</v>
      </c>
      <c r="N59" s="597"/>
      <c r="O59" s="598" t="s">
        <v>162</v>
      </c>
      <c r="P59" s="635"/>
      <c r="Q59" s="636" t="s">
        <v>496</v>
      </c>
      <c r="R59" s="599"/>
      <c r="S59" s="599"/>
      <c r="T59" s="594" t="s">
        <v>162</v>
      </c>
      <c r="U59" s="674"/>
      <c r="V59" s="636" t="s">
        <v>496</v>
      </c>
      <c r="W59" s="591"/>
      <c r="Y59" s="679" t="s">
        <v>123</v>
      </c>
      <c r="Z59" s="680"/>
      <c r="AA59" s="680"/>
      <c r="AB59" s="680" t="s">
        <v>126</v>
      </c>
      <c r="AC59" s="680" t="s">
        <v>126</v>
      </c>
      <c r="AD59" s="681"/>
    </row>
    <row r="60" spans="1:31" ht="16.5" thickBot="1">
      <c r="A60" s="591"/>
      <c r="B60" s="600" t="s">
        <v>25</v>
      </c>
      <c r="C60" s="601" t="s">
        <v>497</v>
      </c>
      <c r="D60" s="602"/>
      <c r="E60" s="603" t="s">
        <v>497</v>
      </c>
      <c r="F60" s="630"/>
      <c r="G60" s="605" t="s">
        <v>503</v>
      </c>
      <c r="H60" s="630"/>
      <c r="I60" s="605" t="s">
        <v>503</v>
      </c>
      <c r="J60" s="608"/>
      <c r="K60" s="605" t="s">
        <v>503</v>
      </c>
      <c r="L60" s="602"/>
      <c r="M60" s="605" t="s">
        <v>503</v>
      </c>
      <c r="N60" s="604"/>
      <c r="O60" s="605" t="s">
        <v>503</v>
      </c>
      <c r="P60" s="602"/>
      <c r="Q60" s="605" t="s">
        <v>503</v>
      </c>
      <c r="R60" s="608"/>
      <c r="S60" s="608"/>
      <c r="T60" s="606" t="s">
        <v>503</v>
      </c>
      <c r="U60" s="649"/>
      <c r="V60" s="606" t="s">
        <v>503</v>
      </c>
      <c r="W60" s="591"/>
      <c r="Y60" s="682" t="s">
        <v>124</v>
      </c>
      <c r="Z60" s="136"/>
      <c r="AA60" s="136"/>
      <c r="AB60" s="136"/>
      <c r="AC60" s="136"/>
      <c r="AD60" s="683"/>
    </row>
    <row r="61" spans="1:31" ht="15.75" thickBot="1">
      <c r="A61" s="591"/>
      <c r="B61" s="609" t="s">
        <v>8</v>
      </c>
      <c r="C61" s="610">
        <f>AVERAGE('[9]GLP por Cía 03 a 06'!$C$1204,'[9]GLP por Cía 03 a 06'!$C$1208,'[9]GLP por Cía 03 a 06'!$C$1212,'[9]GLP por Cía 03 a 06'!$C$1216)</f>
        <v>124.30232558139535</v>
      </c>
      <c r="D61" s="611"/>
      <c r="E61" s="610">
        <f>AVERAGE('[9]GLP por Cía 03 a 06'!$C$1205,'[9]GLP por Cía 03 a 06'!$C$1209,'[9]GLP por Cía 03 a 06'!$C$1213,'[9]GLP por Cía 03 a 06'!$C$1217)</f>
        <v>122.12222222222222</v>
      </c>
      <c r="F61" s="631"/>
      <c r="G61" s="612">
        <v>560</v>
      </c>
      <c r="H61" s="637"/>
      <c r="I61" s="612">
        <v>545</v>
      </c>
      <c r="J61" s="637"/>
      <c r="K61" s="612">
        <v>360</v>
      </c>
      <c r="L61" s="639"/>
      <c r="M61" s="612">
        <v>360</v>
      </c>
      <c r="N61" s="604"/>
      <c r="O61" s="612">
        <v>520</v>
      </c>
      <c r="P61" s="611"/>
      <c r="Q61" s="613">
        <v>520</v>
      </c>
      <c r="R61" s="608"/>
      <c r="S61" s="608"/>
      <c r="T61" s="612">
        <v>420</v>
      </c>
      <c r="U61" s="626"/>
      <c r="V61" s="612">
        <v>420</v>
      </c>
      <c r="W61" s="591"/>
      <c r="Y61" s="684" t="s">
        <v>125</v>
      </c>
      <c r="Z61" s="685"/>
      <c r="AA61" s="685"/>
      <c r="AB61" s="685"/>
      <c r="AC61" s="685"/>
      <c r="AD61" s="686"/>
    </row>
    <row r="62" spans="1:31" ht="15">
      <c r="A62" s="591"/>
      <c r="B62" s="614" t="s">
        <v>9</v>
      </c>
      <c r="C62" s="610">
        <f>AVERAGE('[9]GLP por Cía 03 a 06'!$C$1220,'[9]GLP por Cía 03 a 06'!$C$1224,'[9]GLP por Cía 03 a 06'!$C$1228,'[9]GLP por Cía 03 a 06'!$C$1232)</f>
        <v>130</v>
      </c>
      <c r="D62" s="611"/>
      <c r="E62" s="610">
        <f>AVERAGE('[9]GLP por Cía 03 a 06'!$C$1221,'[9]GLP por Cía 03 a 06'!$C$1225,'[9]GLP por Cía 03 a 06'!$C$1229,'[9]GLP por Cía 03 a 06'!$C$1233)</f>
        <v>130</v>
      </c>
      <c r="F62" s="631"/>
      <c r="G62" s="615">
        <v>560</v>
      </c>
      <c r="H62" s="637"/>
      <c r="I62" s="615">
        <v>545</v>
      </c>
      <c r="J62" s="637"/>
      <c r="K62" s="615">
        <v>396</v>
      </c>
      <c r="L62" s="639"/>
      <c r="M62" s="615">
        <v>396</v>
      </c>
      <c r="N62" s="604"/>
      <c r="O62" s="615">
        <v>540</v>
      </c>
      <c r="P62" s="611"/>
      <c r="Q62" s="616">
        <v>540</v>
      </c>
      <c r="R62" s="608"/>
      <c r="S62" s="608"/>
      <c r="T62" s="615">
        <v>368</v>
      </c>
      <c r="U62" s="639">
        <v>3</v>
      </c>
      <c r="V62" s="615">
        <v>368</v>
      </c>
      <c r="W62" s="591"/>
      <c r="AA62" s="136"/>
    </row>
    <row r="63" spans="1:31" ht="15">
      <c r="A63" s="591"/>
      <c r="B63" s="614" t="s">
        <v>10</v>
      </c>
      <c r="C63" s="610">
        <v>130</v>
      </c>
      <c r="D63" s="611"/>
      <c r="E63" s="610">
        <v>130</v>
      </c>
      <c r="F63" s="631"/>
      <c r="G63" s="615">
        <v>470</v>
      </c>
      <c r="H63" s="637"/>
      <c r="I63" s="615">
        <v>466</v>
      </c>
      <c r="J63" s="637"/>
      <c r="K63" s="615">
        <v>396</v>
      </c>
      <c r="L63" s="639"/>
      <c r="M63" s="615">
        <v>396</v>
      </c>
      <c r="N63" s="604"/>
      <c r="O63" s="615">
        <v>540</v>
      </c>
      <c r="P63" s="611"/>
      <c r="Q63" s="616">
        <v>540</v>
      </c>
      <c r="R63" s="608"/>
      <c r="S63" s="608"/>
      <c r="T63" s="615">
        <v>363</v>
      </c>
      <c r="U63" s="639"/>
      <c r="V63" s="615">
        <v>363</v>
      </c>
      <c r="W63" s="591"/>
      <c r="AA63" s="136"/>
    </row>
    <row r="64" spans="1:31" ht="15">
      <c r="A64" s="591"/>
      <c r="B64" s="614" t="s">
        <v>11</v>
      </c>
      <c r="C64" s="610">
        <v>130</v>
      </c>
      <c r="D64" s="611">
        <v>1</v>
      </c>
      <c r="E64" s="610">
        <v>130</v>
      </c>
      <c r="F64" s="631"/>
      <c r="G64" s="615">
        <v>420</v>
      </c>
      <c r="H64" s="637"/>
      <c r="I64" s="615">
        <v>420</v>
      </c>
      <c r="J64" s="637"/>
      <c r="K64" s="615">
        <v>396</v>
      </c>
      <c r="L64" s="639"/>
      <c r="M64" s="615">
        <v>396</v>
      </c>
      <c r="N64" s="604"/>
      <c r="O64" s="615">
        <v>560</v>
      </c>
      <c r="P64" s="611"/>
      <c r="Q64" s="616">
        <v>560</v>
      </c>
      <c r="R64" s="608"/>
      <c r="S64" s="608"/>
      <c r="T64" s="615"/>
      <c r="U64" s="639"/>
      <c r="V64" s="615"/>
      <c r="W64" s="591"/>
      <c r="AA64" s="580"/>
    </row>
    <row r="65" spans="1:27" ht="15">
      <c r="A65" s="591"/>
      <c r="B65" s="614" t="s">
        <v>12</v>
      </c>
      <c r="C65" s="610">
        <f>AVERAGE('[9]GLP por Cía 03 a 06'!$C$1272,'[9]GLP por Cía 03 a 06'!$C$1276,'[9]GLP por Cía 03 a 06'!$C$1280,'[9]GLP por Cía 03 a 06'!$C$1284,'[9]GLP por Cía 03 a 06'!$C$1288)</f>
        <v>130.19999999999999</v>
      </c>
      <c r="D65" s="611"/>
      <c r="E65" s="610">
        <v>130</v>
      </c>
      <c r="F65" s="631"/>
      <c r="G65" s="615">
        <v>420</v>
      </c>
      <c r="H65" s="637"/>
      <c r="I65" s="615">
        <v>420</v>
      </c>
      <c r="J65" s="637"/>
      <c r="K65" s="615">
        <v>396</v>
      </c>
      <c r="L65" s="639"/>
      <c r="M65" s="615">
        <v>396</v>
      </c>
      <c r="N65" s="604"/>
      <c r="O65" s="615">
        <v>560</v>
      </c>
      <c r="P65" s="611"/>
      <c r="Q65" s="616">
        <v>560</v>
      </c>
      <c r="R65" s="608"/>
      <c r="S65" s="608"/>
      <c r="T65" s="615"/>
      <c r="U65" s="639"/>
      <c r="V65" s="615"/>
      <c r="W65" s="591"/>
      <c r="AA65" s="136">
        <v>92</v>
      </c>
    </row>
    <row r="66" spans="1:27" ht="15">
      <c r="A66" s="591"/>
      <c r="B66" s="614" t="s">
        <v>13</v>
      </c>
      <c r="C66" s="610">
        <f>AVERAGE('[9]GLP por Cía 03 a 06'!$C$1292,'[9]GLP por Cía 03 a 06'!$C$1296,'[9]GLP por Cía 03 a 06'!$C$1300,'[9]GLP por Cía 03 a 06'!$C$1304)</f>
        <v>131</v>
      </c>
      <c r="D66" s="611"/>
      <c r="E66" s="610">
        <v>130</v>
      </c>
      <c r="F66" s="631"/>
      <c r="G66" s="615">
        <v>420</v>
      </c>
      <c r="H66" s="637"/>
      <c r="I66" s="615">
        <v>420</v>
      </c>
      <c r="J66" s="637"/>
      <c r="K66" s="615">
        <v>469</v>
      </c>
      <c r="L66" s="639"/>
      <c r="M66" s="615">
        <v>469</v>
      </c>
      <c r="N66" s="604"/>
      <c r="O66" s="615">
        <v>560</v>
      </c>
      <c r="P66" s="611"/>
      <c r="Q66" s="616">
        <v>560</v>
      </c>
      <c r="R66" s="608"/>
      <c r="S66" s="608"/>
      <c r="T66" s="615"/>
      <c r="U66" s="639"/>
      <c r="V66" s="615"/>
      <c r="W66" s="591"/>
      <c r="AA66" s="136"/>
    </row>
    <row r="67" spans="1:27" ht="15">
      <c r="A67" s="591"/>
      <c r="B67" s="614" t="s">
        <v>14</v>
      </c>
      <c r="C67" s="610">
        <v>131</v>
      </c>
      <c r="D67" s="611"/>
      <c r="E67" s="610">
        <v>130</v>
      </c>
      <c r="F67" s="631"/>
      <c r="G67" s="615">
        <v>384</v>
      </c>
      <c r="H67" s="637"/>
      <c r="I67" s="615">
        <v>384</v>
      </c>
      <c r="J67" s="637"/>
      <c r="K67" s="615">
        <v>480</v>
      </c>
      <c r="L67" s="639"/>
      <c r="M67" s="615">
        <v>480</v>
      </c>
      <c r="N67" s="604"/>
      <c r="O67" s="615">
        <v>560</v>
      </c>
      <c r="P67" s="611"/>
      <c r="Q67" s="616">
        <v>560</v>
      </c>
      <c r="R67" s="608"/>
      <c r="S67" s="608"/>
      <c r="T67" s="615"/>
      <c r="U67" s="639"/>
      <c r="V67" s="615"/>
      <c r="W67" s="591"/>
      <c r="AA67" s="136"/>
    </row>
    <row r="68" spans="1:27" ht="15">
      <c r="A68" s="591"/>
      <c r="B68" s="614" t="s">
        <v>15</v>
      </c>
      <c r="C68" s="610">
        <f>AVERAGE('[9]GLP por Cía 03 a 06'!$C$1324,'[9]GLP por Cía 03 a 06'!$C$1328,'[9]GLP por Cía 03 a 06'!$C$1332,'[9]GLP por Cía 03 a 06'!$C$1336,'[9]GLP por Cía 03 a 06'!$C$1340)</f>
        <v>129.80000000000001</v>
      </c>
      <c r="D68" s="611"/>
      <c r="E68" s="610">
        <v>129.80000000000001</v>
      </c>
      <c r="F68" s="631"/>
      <c r="G68" s="615">
        <v>376</v>
      </c>
      <c r="H68" s="637"/>
      <c r="I68" s="615">
        <v>376</v>
      </c>
      <c r="J68" s="637"/>
      <c r="K68" s="615">
        <v>480</v>
      </c>
      <c r="L68" s="639"/>
      <c r="M68" s="615">
        <v>480</v>
      </c>
      <c r="N68" s="604"/>
      <c r="O68" s="615">
        <v>560</v>
      </c>
      <c r="P68" s="611"/>
      <c r="Q68" s="616">
        <v>560</v>
      </c>
      <c r="R68" s="608"/>
      <c r="S68" s="608"/>
      <c r="T68" s="615"/>
      <c r="U68" s="639"/>
      <c r="V68" s="615"/>
      <c r="W68" s="591"/>
      <c r="AA68" s="580"/>
    </row>
    <row r="69" spans="1:27" ht="15">
      <c r="A69" s="591"/>
      <c r="B69" s="614" t="s">
        <v>16</v>
      </c>
      <c r="C69" s="610">
        <v>128</v>
      </c>
      <c r="D69" s="611"/>
      <c r="E69" s="610">
        <v>128</v>
      </c>
      <c r="F69" s="631"/>
      <c r="G69" s="615">
        <v>355</v>
      </c>
      <c r="H69" s="637"/>
      <c r="I69" s="615">
        <v>305</v>
      </c>
      <c r="J69" s="637"/>
      <c r="K69" s="615">
        <v>512</v>
      </c>
      <c r="L69" s="639"/>
      <c r="M69" s="615">
        <v>512</v>
      </c>
      <c r="N69" s="604"/>
      <c r="O69" s="615">
        <v>560</v>
      </c>
      <c r="P69" s="611"/>
      <c r="Q69" s="616">
        <v>560</v>
      </c>
      <c r="R69" s="608"/>
      <c r="S69" s="608"/>
      <c r="T69" s="615"/>
      <c r="U69" s="639"/>
      <c r="V69" s="615"/>
      <c r="W69" s="591"/>
      <c r="AA69" s="136">
        <v>87</v>
      </c>
    </row>
    <row r="70" spans="1:27" ht="15">
      <c r="A70" s="591"/>
      <c r="B70" s="614" t="s">
        <v>17</v>
      </c>
      <c r="C70" s="610">
        <f>AVERAGE('[9]GLP por Cía 03 a 06'!$C$1360,'[9]GLP por Cía 03 a 06'!$C$1364,'[9]GLP por Cía 03 a 06'!$C$1368,'[9]GLP por Cía 03 a 06'!$C$1372,'[9]GLP por Cía 03 a 06'!$C$1376)</f>
        <v>129.6</v>
      </c>
      <c r="D70" s="611"/>
      <c r="E70" s="610">
        <f>AVERAGE('[9]GLP por Cía 03 a 06'!$C$1361,'[9]GLP por Cía 03 a 06'!$C$1365,'[9]GLP por Cía 03 a 06'!$C$1369,'[9]GLP por Cía 03 a 06'!$C$1373,'[9]GLP por Cía 03 a 06'!$C$1377)</f>
        <v>129.80000000000001</v>
      </c>
      <c r="F70" s="631"/>
      <c r="G70" s="615">
        <v>260</v>
      </c>
      <c r="H70" s="637"/>
      <c r="I70" s="615">
        <v>244</v>
      </c>
      <c r="J70" s="637"/>
      <c r="K70" s="617">
        <v>520</v>
      </c>
      <c r="L70" s="639">
        <v>56</v>
      </c>
      <c r="M70" s="617">
        <v>520</v>
      </c>
      <c r="N70" s="604"/>
      <c r="O70" s="615">
        <v>560</v>
      </c>
      <c r="P70" s="611"/>
      <c r="Q70" s="616">
        <v>560</v>
      </c>
      <c r="R70" s="608"/>
      <c r="S70" s="608"/>
      <c r="T70" s="615"/>
      <c r="U70" s="639"/>
      <c r="V70" s="615"/>
      <c r="W70" s="591"/>
      <c r="AA70" s="136">
        <f>AVERAGE(AA57:AA69)</f>
        <v>89.5</v>
      </c>
    </row>
    <row r="71" spans="1:27" ht="15">
      <c r="A71" s="591"/>
      <c r="B71" s="614" t="s">
        <v>18</v>
      </c>
      <c r="C71" s="610">
        <f>AVERAGE('[9]GLP por Cía 03 a 06'!$C$1380,'[9]GLP por Cía 03 a 06'!$C$1384,'[9]GLP por Cía 03 a 06'!$C$1388,'[9]GLP por Cía 03 a 06'!$C$1392,'[9]GLP por Cía 03 a 06'!$C$1396)</f>
        <v>136</v>
      </c>
      <c r="D71" s="611"/>
      <c r="E71" s="610">
        <f>AVERAGE('[9]GLP por Cía 03 a 06'!$C$1381,'[9]GLP por Cía 03 a 06'!$C$1385,'[9]GLP por Cía 03 a 06'!$C$1389,'[9]GLP por Cía 03 a 06'!$C$1393,'[9]GLP por Cía 03 a 06'!$C$1397)</f>
        <v>137</v>
      </c>
      <c r="F71" s="631"/>
      <c r="G71" s="615">
        <v>260</v>
      </c>
      <c r="H71" s="637"/>
      <c r="I71" s="615">
        <v>240</v>
      </c>
      <c r="J71" s="637"/>
      <c r="K71" s="615">
        <v>520</v>
      </c>
      <c r="L71" s="639"/>
      <c r="M71" s="615">
        <v>520</v>
      </c>
      <c r="N71" s="604"/>
      <c r="O71" s="615">
        <v>560</v>
      </c>
      <c r="P71" s="611"/>
      <c r="Q71" s="616">
        <v>560</v>
      </c>
      <c r="R71" s="608"/>
      <c r="S71" s="608"/>
      <c r="T71" s="615"/>
      <c r="U71" s="639"/>
      <c r="V71" s="615"/>
      <c r="W71" s="591"/>
      <c r="AA71" s="136"/>
    </row>
    <row r="72" spans="1:27" ht="15.75" thickBot="1">
      <c r="A72" s="591"/>
      <c r="B72" s="618" t="s">
        <v>19</v>
      </c>
      <c r="C72" s="619">
        <v>136</v>
      </c>
      <c r="D72" s="620"/>
      <c r="E72" s="619">
        <f>AVERAGE('[9]GLP por Cía 03 a 06'!$C$1401,'[9]GLP por Cía 03 a 06'!$C$1405,'[9]GLP por Cía 03 a 06'!$C$1409,'[9]GLP por Cía 03 a 06'!$C$1413)</f>
        <v>137</v>
      </c>
      <c r="F72" s="632"/>
      <c r="G72" s="620">
        <v>360</v>
      </c>
      <c r="H72" s="638"/>
      <c r="I72" s="620">
        <v>360</v>
      </c>
      <c r="J72" s="638"/>
      <c r="K72" s="620">
        <v>552</v>
      </c>
      <c r="L72" s="640"/>
      <c r="M72" s="620">
        <v>552</v>
      </c>
      <c r="N72" s="621"/>
      <c r="O72" s="620">
        <v>520</v>
      </c>
      <c r="P72" s="620"/>
      <c r="Q72" s="622">
        <v>520</v>
      </c>
      <c r="R72" s="623"/>
      <c r="S72" s="623"/>
      <c r="T72" s="620"/>
      <c r="U72" s="675"/>
      <c r="V72" s="620"/>
      <c r="W72" s="591"/>
    </row>
    <row r="73" spans="1:27" ht="5.25" customHeight="1" thickBot="1">
      <c r="A73" s="591"/>
      <c r="B73" s="591"/>
      <c r="C73" s="591"/>
      <c r="D73" s="591"/>
      <c r="E73" s="591"/>
      <c r="F73" s="591"/>
      <c r="G73" s="591"/>
      <c r="H73" s="591"/>
      <c r="I73" s="591"/>
      <c r="J73" s="591"/>
      <c r="K73" s="591"/>
      <c r="L73" s="591"/>
      <c r="M73" s="591"/>
      <c r="N73" s="591"/>
      <c r="O73" s="591"/>
      <c r="P73" s="591"/>
      <c r="Q73" s="591"/>
      <c r="R73" s="591"/>
      <c r="S73" s="591"/>
      <c r="T73" s="672"/>
      <c r="U73" s="624"/>
      <c r="V73" s="624"/>
      <c r="W73" s="591"/>
    </row>
    <row r="74" spans="1:27" ht="15.75" thickBot="1">
      <c r="B74" s="650" t="s">
        <v>20</v>
      </c>
      <c r="G74" s="645">
        <f>AVERAGE(G61:G72)</f>
        <v>403.75</v>
      </c>
      <c r="H74" s="646"/>
      <c r="I74" s="645">
        <f>AVERAGE(I61:I72)</f>
        <v>393.75</v>
      </c>
      <c r="J74" s="646"/>
      <c r="K74" s="645">
        <f>AVERAGE(K61:K72)</f>
        <v>456.41666666666669</v>
      </c>
      <c r="L74" s="646"/>
      <c r="M74" s="645">
        <f>AVERAGE(M61:M72)</f>
        <v>456.41666666666669</v>
      </c>
      <c r="N74" s="646"/>
      <c r="O74" s="645">
        <f>AVERAGE(O61:O72)</f>
        <v>550</v>
      </c>
      <c r="P74" s="646"/>
      <c r="Q74" s="645">
        <f>AVERAGE(Q61:Q72)</f>
        <v>550</v>
      </c>
      <c r="R74" s="591"/>
      <c r="S74" s="593"/>
      <c r="T74" s="645">
        <f>AVERAGE(T61:T72)</f>
        <v>383.66666666666669</v>
      </c>
      <c r="U74" s="673"/>
      <c r="V74" s="645">
        <f>AVERAGE(V61:V72)</f>
        <v>383.66666666666669</v>
      </c>
      <c r="W74" s="591"/>
    </row>
    <row r="75" spans="1:27">
      <c r="A75" s="591"/>
      <c r="B75" s="591"/>
      <c r="C75" s="591"/>
      <c r="D75" s="591"/>
      <c r="E75" s="591"/>
      <c r="F75" s="591"/>
      <c r="G75" s="564"/>
      <c r="H75" s="564"/>
      <c r="I75" s="591"/>
      <c r="J75" s="591"/>
      <c r="K75" s="591"/>
      <c r="L75" s="591"/>
      <c r="M75" s="591"/>
      <c r="N75" s="591"/>
      <c r="O75" s="591"/>
      <c r="P75" s="591"/>
      <c r="Q75" s="591"/>
      <c r="R75" s="591"/>
      <c r="S75" s="591"/>
      <c r="T75" s="591"/>
      <c r="U75" s="591"/>
      <c r="W75" s="591"/>
    </row>
    <row r="76" spans="1:27">
      <c r="B76" s="625"/>
      <c r="C76" s="625"/>
      <c r="D76" s="625"/>
      <c r="E76" s="625"/>
      <c r="F76" s="625"/>
      <c r="G76" s="625"/>
      <c r="H76" s="625"/>
      <c r="I76" s="625"/>
    </row>
    <row r="77" spans="1:27">
      <c r="B77" s="625"/>
      <c r="C77" s="625"/>
      <c r="D77" s="625"/>
      <c r="E77" s="625"/>
      <c r="F77" s="625"/>
      <c r="G77" s="625"/>
      <c r="H77" s="625"/>
      <c r="I77" s="625"/>
    </row>
  </sheetData>
  <mergeCells count="33">
    <mergeCell ref="K34:M34"/>
    <mergeCell ref="T7:V7"/>
    <mergeCell ref="Y57:AD57"/>
    <mergeCell ref="X29:AE29"/>
    <mergeCell ref="X30:AE30"/>
    <mergeCell ref="C29:Q29"/>
    <mergeCell ref="C30:Q31"/>
    <mergeCell ref="C58:E58"/>
    <mergeCell ref="G58:I58"/>
    <mergeCell ref="K58:M58"/>
    <mergeCell ref="Y32:AD32"/>
    <mergeCell ref="Y38:AD38"/>
    <mergeCell ref="Y44:AD44"/>
    <mergeCell ref="A56:W56"/>
    <mergeCell ref="C32:Q32"/>
    <mergeCell ref="C34:E34"/>
    <mergeCell ref="G34:I34"/>
    <mergeCell ref="A53:W53"/>
    <mergeCell ref="O34:Q34"/>
    <mergeCell ref="O58:Q58"/>
    <mergeCell ref="A54:W55"/>
    <mergeCell ref="Y51:AD51"/>
    <mergeCell ref="T58:V58"/>
    <mergeCell ref="AA1:AE1"/>
    <mergeCell ref="AA2:AE2"/>
    <mergeCell ref="AA3:AE3"/>
    <mergeCell ref="C2:Q2"/>
    <mergeCell ref="C3:Q4"/>
    <mergeCell ref="C5:Q5"/>
    <mergeCell ref="C7:E7"/>
    <mergeCell ref="K7:M7"/>
    <mergeCell ref="O7:Q7"/>
    <mergeCell ref="G7:I7"/>
  </mergeCells>
  <printOptions horizontalCentered="1" verticalCentered="1"/>
  <pageMargins left="0.39370078740157483" right="0.39370078740157483" top="0.59055118110236227" bottom="0.59055118110236227" header="0" footer="0"/>
  <pageSetup scale="68" orientation="landscape" horizontalDpi="300" verticalDpi="300" r:id="rId1"/>
  <headerFooter alignWithMargins="0"/>
  <rowBreaks count="2" manualBreakCount="2">
    <brk id="24" max="30" man="1"/>
    <brk id="86" min="1" max="23" man="1"/>
  </rowBreaks>
  <colBreaks count="1" manualBreakCount="1">
    <brk id="23" max="71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31"/>
  <dimension ref="A1:O576"/>
  <sheetViews>
    <sheetView workbookViewId="0">
      <selection activeCell="C40" sqref="C40"/>
    </sheetView>
  </sheetViews>
  <sheetFormatPr baseColWidth="10" defaultColWidth="11.42578125" defaultRowHeight="12.75"/>
  <cols>
    <col min="1" max="1" width="18.140625" customWidth="1"/>
    <col min="2" max="2" width="13.140625" customWidth="1"/>
    <col min="4" max="4" width="0.140625" customWidth="1"/>
    <col min="10" max="10" width="11.5703125" bestFit="1" customWidth="1"/>
  </cols>
  <sheetData>
    <row r="1" spans="1:2">
      <c r="A1" s="474" t="s">
        <v>436</v>
      </c>
      <c r="B1" s="474" t="s">
        <v>466</v>
      </c>
    </row>
    <row r="2" spans="1:2">
      <c r="A2" s="475"/>
      <c r="B2" s="476" t="s">
        <v>437</v>
      </c>
    </row>
    <row r="3" spans="1:2">
      <c r="A3" s="475" t="s">
        <v>41</v>
      </c>
      <c r="B3" s="477">
        <v>20.399999999999999</v>
      </c>
    </row>
    <row r="4" spans="1:2">
      <c r="A4" s="475" t="s">
        <v>42</v>
      </c>
      <c r="B4" s="477">
        <v>20.399999999999999</v>
      </c>
    </row>
    <row r="5" spans="1:2">
      <c r="A5" s="475" t="s">
        <v>43</v>
      </c>
      <c r="B5" s="477">
        <v>20.399999999999999</v>
      </c>
    </row>
    <row r="6" spans="1:2">
      <c r="A6" s="475" t="s">
        <v>44</v>
      </c>
      <c r="B6" s="477">
        <v>20.399999999999999</v>
      </c>
    </row>
    <row r="7" spans="1:2">
      <c r="A7" s="475" t="s">
        <v>45</v>
      </c>
      <c r="B7" s="477">
        <v>20.399999999999999</v>
      </c>
    </row>
    <row r="8" spans="1:2">
      <c r="A8" s="475" t="s">
        <v>46</v>
      </c>
      <c r="B8" s="477">
        <v>20.399999999999999</v>
      </c>
    </row>
    <row r="9" spans="1:2">
      <c r="A9" s="475" t="s">
        <v>47</v>
      </c>
      <c r="B9" s="477">
        <v>20.399999999999999</v>
      </c>
    </row>
    <row r="10" spans="1:2">
      <c r="A10" s="475" t="s">
        <v>48</v>
      </c>
      <c r="B10" s="477">
        <v>20.399999999999999</v>
      </c>
    </row>
    <row r="11" spans="1:2">
      <c r="A11" s="475" t="s">
        <v>49</v>
      </c>
      <c r="B11" s="477">
        <v>20.399999999999999</v>
      </c>
    </row>
    <row r="12" spans="1:2">
      <c r="A12" s="475" t="s">
        <v>50</v>
      </c>
      <c r="B12" s="477">
        <v>20.399999999999999</v>
      </c>
    </row>
    <row r="13" spans="1:2">
      <c r="A13" s="475" t="s">
        <v>51</v>
      </c>
      <c r="B13" s="477">
        <v>20.399999999999999</v>
      </c>
    </row>
    <row r="14" spans="1:2">
      <c r="A14" s="475" t="s">
        <v>52</v>
      </c>
      <c r="B14" s="477">
        <v>20.399999999999999</v>
      </c>
    </row>
    <row r="15" spans="1:2">
      <c r="A15" s="478" t="s">
        <v>7</v>
      </c>
      <c r="B15" s="277">
        <f>AVERAGE(B3:B14)</f>
        <v>20.400000000000002</v>
      </c>
    </row>
    <row r="16" spans="1:2">
      <c r="A16" s="475" t="s">
        <v>438</v>
      </c>
    </row>
    <row r="19" spans="1:2">
      <c r="A19" s="474" t="s">
        <v>439</v>
      </c>
      <c r="B19" s="474" t="s">
        <v>466</v>
      </c>
    </row>
    <row r="20" spans="1:2">
      <c r="A20" s="475"/>
      <c r="B20" s="476" t="s">
        <v>437</v>
      </c>
    </row>
    <row r="21" spans="1:2">
      <c r="A21" s="475" t="s">
        <v>41</v>
      </c>
      <c r="B21" s="477">
        <v>20.399999999999999</v>
      </c>
    </row>
    <row r="22" spans="1:2">
      <c r="A22" s="475" t="s">
        <v>42</v>
      </c>
      <c r="B22" s="477">
        <v>20.399999999999999</v>
      </c>
    </row>
    <row r="23" spans="1:2">
      <c r="A23" s="475" t="s">
        <v>43</v>
      </c>
      <c r="B23" s="477">
        <v>20.399999999999999</v>
      </c>
    </row>
    <row r="24" spans="1:2">
      <c r="A24" s="475" t="s">
        <v>44</v>
      </c>
      <c r="B24" s="477">
        <v>20.399999999999999</v>
      </c>
    </row>
    <row r="25" spans="1:2">
      <c r="A25" s="475" t="s">
        <v>45</v>
      </c>
      <c r="B25" s="477">
        <v>20.399999999999999</v>
      </c>
    </row>
    <row r="26" spans="1:2">
      <c r="A26" s="475" t="s">
        <v>46</v>
      </c>
      <c r="B26" s="477">
        <v>20.399999999999999</v>
      </c>
    </row>
    <row r="27" spans="1:2">
      <c r="A27" s="475" t="s">
        <v>47</v>
      </c>
      <c r="B27" s="477">
        <v>20.399999999999999</v>
      </c>
    </row>
    <row r="28" spans="1:2">
      <c r="A28" s="475" t="s">
        <v>48</v>
      </c>
      <c r="B28" s="477">
        <v>20.399999999999999</v>
      </c>
    </row>
    <row r="29" spans="1:2">
      <c r="A29" s="475" t="s">
        <v>49</v>
      </c>
      <c r="B29" s="477">
        <f>(27*20.4+3*20.3)/30</f>
        <v>20.389999999999997</v>
      </c>
    </row>
    <row r="30" spans="1:2">
      <c r="A30" s="475" t="s">
        <v>50</v>
      </c>
      <c r="B30" s="477">
        <v>20.3</v>
      </c>
    </row>
    <row r="31" spans="1:2">
      <c r="A31" s="475" t="s">
        <v>51</v>
      </c>
      <c r="B31" s="477">
        <v>20.3</v>
      </c>
    </row>
    <row r="32" spans="1:2">
      <c r="A32" s="475" t="s">
        <v>52</v>
      </c>
      <c r="B32" s="477">
        <v>20.3</v>
      </c>
    </row>
    <row r="33" spans="1:2">
      <c r="A33" s="478" t="s">
        <v>7</v>
      </c>
      <c r="B33" s="277">
        <f>AVERAGE(B21:B32)</f>
        <v>20.374166666666671</v>
      </c>
    </row>
    <row r="34" spans="1:2">
      <c r="A34" s="475" t="s">
        <v>438</v>
      </c>
    </row>
    <row r="38" spans="1:2">
      <c r="A38" s="474" t="s">
        <v>440</v>
      </c>
      <c r="B38" s="474" t="s">
        <v>466</v>
      </c>
    </row>
    <row r="39" spans="1:2">
      <c r="A39" s="475"/>
      <c r="B39" s="476" t="s">
        <v>437</v>
      </c>
    </row>
    <row r="40" spans="1:2">
      <c r="A40" s="475" t="s">
        <v>41</v>
      </c>
      <c r="B40" s="477">
        <v>20.3</v>
      </c>
    </row>
    <row r="41" spans="1:2">
      <c r="A41" s="475" t="s">
        <v>42</v>
      </c>
      <c r="B41" s="477">
        <v>20.3</v>
      </c>
    </row>
    <row r="42" spans="1:2">
      <c r="A42" s="475" t="s">
        <v>43</v>
      </c>
      <c r="B42" s="477">
        <v>20.3</v>
      </c>
    </row>
    <row r="43" spans="1:2">
      <c r="A43" s="475" t="s">
        <v>44</v>
      </c>
      <c r="B43" s="477">
        <v>20.3</v>
      </c>
    </row>
    <row r="44" spans="1:2">
      <c r="A44" s="475" t="s">
        <v>45</v>
      </c>
      <c r="B44" s="477">
        <v>20.3</v>
      </c>
    </row>
    <row r="45" spans="1:2">
      <c r="A45" s="475" t="s">
        <v>46</v>
      </c>
      <c r="B45" s="477">
        <v>20.3</v>
      </c>
    </row>
    <row r="46" spans="1:2">
      <c r="A46" s="475" t="s">
        <v>47</v>
      </c>
      <c r="B46" s="477">
        <v>20.3</v>
      </c>
    </row>
    <row r="47" spans="1:2">
      <c r="A47" s="475" t="s">
        <v>48</v>
      </c>
      <c r="B47" s="477">
        <v>20.3</v>
      </c>
    </row>
    <row r="48" spans="1:2">
      <c r="A48" s="475" t="s">
        <v>49</v>
      </c>
      <c r="B48" s="477">
        <v>20.3</v>
      </c>
    </row>
    <row r="49" spans="1:2">
      <c r="A49" s="475" t="s">
        <v>50</v>
      </c>
      <c r="B49" s="477">
        <v>20.3</v>
      </c>
    </row>
    <row r="50" spans="1:2">
      <c r="A50" s="475" t="s">
        <v>51</v>
      </c>
      <c r="B50" s="477">
        <v>20.3</v>
      </c>
    </row>
    <row r="51" spans="1:2">
      <c r="A51" s="475" t="s">
        <v>52</v>
      </c>
      <c r="B51" s="477">
        <v>20.3</v>
      </c>
    </row>
    <row r="52" spans="1:2">
      <c r="A52" s="478" t="s">
        <v>7</v>
      </c>
      <c r="B52" s="277">
        <f>AVERAGE(B40:B51)</f>
        <v>20.300000000000004</v>
      </c>
    </row>
    <row r="53" spans="1:2">
      <c r="A53" s="475" t="s">
        <v>438</v>
      </c>
    </row>
    <row r="56" spans="1:2">
      <c r="A56" s="474" t="s">
        <v>441</v>
      </c>
      <c r="B56" s="474" t="s">
        <v>466</v>
      </c>
    </row>
    <row r="57" spans="1:2">
      <c r="A57" s="475"/>
      <c r="B57" s="476" t="s">
        <v>437</v>
      </c>
    </row>
    <row r="58" spans="1:2">
      <c r="A58" s="475" t="s">
        <v>41</v>
      </c>
      <c r="B58" s="477">
        <v>20.3</v>
      </c>
    </row>
    <row r="59" spans="1:2">
      <c r="A59" s="475" t="s">
        <v>42</v>
      </c>
      <c r="B59" s="477">
        <v>20.3</v>
      </c>
    </row>
    <row r="60" spans="1:2">
      <c r="A60" s="475" t="s">
        <v>43</v>
      </c>
      <c r="B60" s="477">
        <v>20.3</v>
      </c>
    </row>
    <row r="61" spans="1:2">
      <c r="A61" s="475" t="s">
        <v>44</v>
      </c>
      <c r="B61" s="477">
        <v>20.3</v>
      </c>
    </row>
    <row r="62" spans="1:2">
      <c r="A62" s="475" t="s">
        <v>45</v>
      </c>
      <c r="B62" s="477">
        <v>20.3</v>
      </c>
    </row>
    <row r="63" spans="1:2">
      <c r="A63" s="475" t="s">
        <v>46</v>
      </c>
      <c r="B63" s="477">
        <v>20.3</v>
      </c>
    </row>
    <row r="64" spans="1:2">
      <c r="A64" s="475" t="s">
        <v>47</v>
      </c>
      <c r="B64" s="477">
        <v>20.3</v>
      </c>
    </row>
    <row r="65" spans="1:2">
      <c r="A65" s="475" t="s">
        <v>48</v>
      </c>
      <c r="B65" s="477">
        <v>20.3</v>
      </c>
    </row>
    <row r="66" spans="1:2">
      <c r="A66" s="475" t="s">
        <v>49</v>
      </c>
      <c r="B66" s="477">
        <v>20.3</v>
      </c>
    </row>
    <row r="67" spans="1:2">
      <c r="A67" s="475" t="s">
        <v>50</v>
      </c>
      <c r="B67" s="477">
        <v>20.3</v>
      </c>
    </row>
    <row r="68" spans="1:2">
      <c r="A68" s="475" t="s">
        <v>51</v>
      </c>
      <c r="B68" s="477">
        <v>20.3</v>
      </c>
    </row>
    <row r="69" spans="1:2">
      <c r="A69" s="475" t="s">
        <v>52</v>
      </c>
      <c r="B69" s="477">
        <v>20.3</v>
      </c>
    </row>
    <row r="70" spans="1:2">
      <c r="A70" s="478" t="s">
        <v>7</v>
      </c>
      <c r="B70" s="277">
        <f>AVERAGE(B58:B69)</f>
        <v>20.300000000000004</v>
      </c>
    </row>
    <row r="71" spans="1:2">
      <c r="A71" s="475" t="s">
        <v>438</v>
      </c>
    </row>
    <row r="74" spans="1:2">
      <c r="A74" s="474" t="s">
        <v>442</v>
      </c>
      <c r="B74" s="474" t="s">
        <v>466</v>
      </c>
    </row>
    <row r="75" spans="1:2">
      <c r="A75" s="475"/>
      <c r="B75" s="476" t="s">
        <v>437</v>
      </c>
    </row>
    <row r="76" spans="1:2">
      <c r="A76" s="475" t="s">
        <v>41</v>
      </c>
      <c r="B76" s="477">
        <v>20.3</v>
      </c>
    </row>
    <row r="77" spans="1:2">
      <c r="A77" s="475" t="s">
        <v>42</v>
      </c>
      <c r="B77" s="477">
        <v>20.3</v>
      </c>
    </row>
    <row r="78" spans="1:2">
      <c r="A78" s="475" t="s">
        <v>43</v>
      </c>
      <c r="B78" s="477">
        <v>20.3</v>
      </c>
    </row>
    <row r="79" spans="1:2">
      <c r="A79" s="475" t="s">
        <v>44</v>
      </c>
      <c r="B79" s="477">
        <v>20.3</v>
      </c>
    </row>
    <row r="80" spans="1:2">
      <c r="A80" s="475" t="s">
        <v>45</v>
      </c>
      <c r="B80" s="477">
        <v>20.3</v>
      </c>
    </row>
    <row r="81" spans="1:2">
      <c r="A81" s="475" t="s">
        <v>46</v>
      </c>
      <c r="B81" s="477">
        <v>20.3</v>
      </c>
    </row>
    <row r="82" spans="1:2">
      <c r="A82" s="475" t="s">
        <v>47</v>
      </c>
      <c r="B82" s="477">
        <v>20.3</v>
      </c>
    </row>
    <row r="83" spans="1:2">
      <c r="A83" s="475" t="s">
        <v>48</v>
      </c>
      <c r="B83" s="477">
        <v>20.3</v>
      </c>
    </row>
    <row r="84" spans="1:2">
      <c r="A84" s="475" t="s">
        <v>49</v>
      </c>
      <c r="B84" s="477">
        <v>20.3</v>
      </c>
    </row>
    <row r="85" spans="1:2">
      <c r="A85" s="475" t="s">
        <v>50</v>
      </c>
      <c r="B85" s="477">
        <v>20.3</v>
      </c>
    </row>
    <row r="86" spans="1:2">
      <c r="A86" s="475" t="s">
        <v>51</v>
      </c>
      <c r="B86" s="477">
        <v>20.3</v>
      </c>
    </row>
    <row r="87" spans="1:2">
      <c r="A87" s="475" t="s">
        <v>52</v>
      </c>
      <c r="B87" s="477">
        <v>20.3</v>
      </c>
    </row>
    <row r="88" spans="1:2">
      <c r="A88" s="478" t="s">
        <v>7</v>
      </c>
      <c r="B88" s="277">
        <f>AVERAGE(B76:B87)</f>
        <v>20.300000000000004</v>
      </c>
    </row>
    <row r="89" spans="1:2">
      <c r="A89" s="475" t="s">
        <v>438</v>
      </c>
    </row>
    <row r="92" spans="1:2">
      <c r="A92" s="474" t="s">
        <v>443</v>
      </c>
      <c r="B92" s="474" t="s">
        <v>466</v>
      </c>
    </row>
    <row r="93" spans="1:2">
      <c r="A93" s="475"/>
      <c r="B93" s="476" t="s">
        <v>437</v>
      </c>
    </row>
    <row r="94" spans="1:2">
      <c r="A94" s="475" t="s">
        <v>41</v>
      </c>
      <c r="B94" s="477">
        <v>20.3</v>
      </c>
    </row>
    <row r="95" spans="1:2">
      <c r="A95" s="475" t="s">
        <v>42</v>
      </c>
      <c r="B95" s="477">
        <v>20.3</v>
      </c>
    </row>
    <row r="96" spans="1:2">
      <c r="A96" s="475" t="s">
        <v>43</v>
      </c>
      <c r="B96" s="477">
        <v>20.3</v>
      </c>
    </row>
    <row r="97" spans="1:2">
      <c r="A97" s="475" t="s">
        <v>44</v>
      </c>
      <c r="B97" s="477">
        <v>20.3</v>
      </c>
    </row>
    <row r="98" spans="1:2">
      <c r="A98" s="475" t="s">
        <v>45</v>
      </c>
      <c r="B98" s="477">
        <v>20.3</v>
      </c>
    </row>
    <row r="99" spans="1:2">
      <c r="A99" s="475" t="s">
        <v>46</v>
      </c>
      <c r="B99" s="477">
        <f>(9*20.3+21*23)/30</f>
        <v>22.19</v>
      </c>
    </row>
    <row r="100" spans="1:2">
      <c r="A100" s="475" t="s">
        <v>47</v>
      </c>
      <c r="B100" s="477">
        <v>23</v>
      </c>
    </row>
    <row r="101" spans="1:2">
      <c r="A101" s="475" t="s">
        <v>48</v>
      </c>
      <c r="B101" s="477">
        <v>23</v>
      </c>
    </row>
    <row r="102" spans="1:2">
      <c r="A102" s="475" t="s">
        <v>49</v>
      </c>
      <c r="B102" s="477">
        <v>23</v>
      </c>
    </row>
    <row r="103" spans="1:2">
      <c r="A103" s="475" t="s">
        <v>50</v>
      </c>
      <c r="B103" s="477">
        <v>23</v>
      </c>
    </row>
    <row r="104" spans="1:2">
      <c r="A104" s="475" t="s">
        <v>51</v>
      </c>
      <c r="B104" s="477">
        <v>23</v>
      </c>
    </row>
    <row r="105" spans="1:2">
      <c r="A105" s="475" t="s">
        <v>52</v>
      </c>
      <c r="B105" s="477">
        <v>23</v>
      </c>
    </row>
    <row r="106" spans="1:2">
      <c r="A106" s="478" t="s">
        <v>7</v>
      </c>
      <c r="B106" s="277">
        <f>AVERAGE(B94:B105)</f>
        <v>21.807500000000001</v>
      </c>
    </row>
    <row r="107" spans="1:2">
      <c r="A107" s="475" t="s">
        <v>438</v>
      </c>
    </row>
    <row r="111" spans="1:2">
      <c r="A111" s="474" t="s">
        <v>444</v>
      </c>
      <c r="B111" s="474" t="s">
        <v>466</v>
      </c>
    </row>
    <row r="112" spans="1:2">
      <c r="A112" s="475"/>
      <c r="B112" s="476" t="s">
        <v>437</v>
      </c>
    </row>
    <row r="113" spans="1:2">
      <c r="A113" s="475" t="s">
        <v>41</v>
      </c>
      <c r="B113" s="477">
        <v>23</v>
      </c>
    </row>
    <row r="114" spans="1:2">
      <c r="A114" s="475" t="s">
        <v>42</v>
      </c>
      <c r="B114" s="477">
        <v>23</v>
      </c>
    </row>
    <row r="115" spans="1:2">
      <c r="A115" s="475" t="s">
        <v>43</v>
      </c>
      <c r="B115" s="477">
        <v>23</v>
      </c>
    </row>
    <row r="116" spans="1:2">
      <c r="A116" s="475" t="s">
        <v>44</v>
      </c>
      <c r="B116" s="477">
        <v>23</v>
      </c>
    </row>
    <row r="117" spans="1:2">
      <c r="A117" s="475" t="s">
        <v>45</v>
      </c>
      <c r="B117" s="477">
        <v>23</v>
      </c>
    </row>
    <row r="118" spans="1:2">
      <c r="A118" s="475" t="s">
        <v>46</v>
      </c>
      <c r="B118" s="477">
        <v>23</v>
      </c>
    </row>
    <row r="119" spans="1:2">
      <c r="A119" s="475" t="s">
        <v>47</v>
      </c>
      <c r="B119" s="477">
        <v>23</v>
      </c>
    </row>
    <row r="120" spans="1:2">
      <c r="A120" s="475" t="s">
        <v>48</v>
      </c>
      <c r="B120" s="477">
        <v>23</v>
      </c>
    </row>
    <row r="121" spans="1:2">
      <c r="A121" s="475" t="s">
        <v>49</v>
      </c>
      <c r="B121" s="477">
        <v>23</v>
      </c>
    </row>
    <row r="122" spans="1:2">
      <c r="A122" s="475" t="s">
        <v>50</v>
      </c>
      <c r="B122" s="477">
        <v>23</v>
      </c>
    </row>
    <row r="123" spans="1:2">
      <c r="A123" s="475" t="s">
        <v>51</v>
      </c>
      <c r="B123" s="477">
        <v>23</v>
      </c>
    </row>
    <row r="124" spans="1:2">
      <c r="A124" s="475" t="s">
        <v>52</v>
      </c>
      <c r="B124" s="477">
        <v>23</v>
      </c>
    </row>
    <row r="125" spans="1:2">
      <c r="A125" s="475"/>
      <c r="B125" s="277">
        <f>AVERAGE(B113:B124)</f>
        <v>23</v>
      </c>
    </row>
    <row r="126" spans="1:2">
      <c r="A126" s="475" t="s">
        <v>438</v>
      </c>
    </row>
    <row r="128" spans="1:2">
      <c r="A128" s="476" t="s">
        <v>445</v>
      </c>
    </row>
    <row r="129" spans="1:2">
      <c r="A129" s="476" t="s">
        <v>446</v>
      </c>
    </row>
    <row r="130" spans="1:2">
      <c r="A130" s="475"/>
    </row>
    <row r="131" spans="1:2">
      <c r="A131" s="474" t="s">
        <v>447</v>
      </c>
      <c r="B131" s="474" t="s">
        <v>466</v>
      </c>
    </row>
    <row r="132" spans="1:2">
      <c r="A132" s="475"/>
      <c r="B132" s="476" t="s">
        <v>437</v>
      </c>
    </row>
    <row r="133" spans="1:2">
      <c r="A133" s="475" t="s">
        <v>41</v>
      </c>
      <c r="B133" s="477">
        <v>23</v>
      </c>
    </row>
    <row r="134" spans="1:2">
      <c r="A134" s="475" t="s">
        <v>42</v>
      </c>
      <c r="B134" s="477">
        <v>23</v>
      </c>
    </row>
    <row r="135" spans="1:2">
      <c r="A135" s="475" t="s">
        <v>43</v>
      </c>
      <c r="B135" s="477">
        <v>23</v>
      </c>
    </row>
    <row r="136" spans="1:2">
      <c r="A136" s="475" t="s">
        <v>44</v>
      </c>
      <c r="B136" s="477">
        <v>23</v>
      </c>
    </row>
    <row r="137" spans="1:2">
      <c r="A137" s="475" t="s">
        <v>45</v>
      </c>
      <c r="B137" s="477">
        <v>23</v>
      </c>
    </row>
    <row r="138" spans="1:2">
      <c r="A138" s="475" t="s">
        <v>46</v>
      </c>
      <c r="B138" s="477">
        <v>23</v>
      </c>
    </row>
    <row r="139" spans="1:2">
      <c r="A139" s="475" t="s">
        <v>47</v>
      </c>
      <c r="B139" s="477">
        <v>29.05</v>
      </c>
    </row>
    <row r="140" spans="1:2">
      <c r="A140" s="475" t="s">
        <v>48</v>
      </c>
      <c r="B140" s="477">
        <v>29.05</v>
      </c>
    </row>
    <row r="141" spans="1:2">
      <c r="A141" s="475" t="s">
        <v>49</v>
      </c>
      <c r="B141" s="477">
        <v>23</v>
      </c>
    </row>
    <row r="142" spans="1:2">
      <c r="A142" s="475" t="s">
        <v>50</v>
      </c>
      <c r="B142" s="477">
        <v>23</v>
      </c>
    </row>
    <row r="143" spans="1:2">
      <c r="A143" s="475" t="s">
        <v>51</v>
      </c>
      <c r="B143" s="477">
        <v>23</v>
      </c>
    </row>
    <row r="144" spans="1:2">
      <c r="A144" s="475" t="s">
        <v>52</v>
      </c>
      <c r="B144" s="477">
        <v>23</v>
      </c>
    </row>
    <row r="145" spans="1:2">
      <c r="A145" s="475"/>
      <c r="B145" s="277">
        <f>AVERAGE(B133:B144)</f>
        <v>24.008333333333336</v>
      </c>
    </row>
    <row r="146" spans="1:2">
      <c r="A146" s="475" t="s">
        <v>438</v>
      </c>
      <c r="B146" s="277"/>
    </row>
    <row r="147" spans="1:2">
      <c r="A147" s="475"/>
      <c r="B147" s="277"/>
    </row>
    <row r="148" spans="1:2">
      <c r="A148" s="475"/>
      <c r="B148" s="277"/>
    </row>
    <row r="149" spans="1:2">
      <c r="A149" s="476" t="s">
        <v>448</v>
      </c>
      <c r="B149" s="474" t="s">
        <v>466</v>
      </c>
    </row>
    <row r="150" spans="1:2">
      <c r="A150" s="476" t="s">
        <v>148</v>
      </c>
      <c r="B150" s="476" t="s">
        <v>437</v>
      </c>
    </row>
    <row r="151" spans="1:2">
      <c r="A151" s="475" t="s">
        <v>41</v>
      </c>
      <c r="B151" s="477">
        <v>23</v>
      </c>
    </row>
    <row r="152" spans="1:2">
      <c r="A152" s="475" t="s">
        <v>42</v>
      </c>
      <c r="B152" s="477">
        <v>23</v>
      </c>
    </row>
    <row r="153" spans="1:2">
      <c r="A153" s="475" t="s">
        <v>43</v>
      </c>
      <c r="B153" s="477">
        <v>23</v>
      </c>
    </row>
    <row r="154" spans="1:2">
      <c r="A154" s="475" t="s">
        <v>44</v>
      </c>
      <c r="B154" s="477">
        <v>23</v>
      </c>
    </row>
    <row r="155" spans="1:2">
      <c r="A155" s="475" t="s">
        <v>45</v>
      </c>
      <c r="B155" s="477">
        <v>23</v>
      </c>
    </row>
    <row r="156" spans="1:2">
      <c r="A156" s="475" t="s">
        <v>46</v>
      </c>
      <c r="B156" s="477">
        <v>23</v>
      </c>
    </row>
    <row r="157" spans="1:2">
      <c r="A157" s="475" t="s">
        <v>47</v>
      </c>
      <c r="B157" s="477">
        <v>23</v>
      </c>
    </row>
    <row r="158" spans="1:2">
      <c r="A158" s="475" t="s">
        <v>48</v>
      </c>
      <c r="B158" s="479">
        <v>23.95</v>
      </c>
    </row>
    <row r="159" spans="1:2">
      <c r="A159" s="475" t="s">
        <v>49</v>
      </c>
      <c r="B159" s="479">
        <v>23.95</v>
      </c>
    </row>
    <row r="160" spans="1:2">
      <c r="A160" s="475" t="s">
        <v>50</v>
      </c>
      <c r="B160" s="479">
        <v>23.95</v>
      </c>
    </row>
    <row r="161" spans="1:3">
      <c r="A161" s="475" t="s">
        <v>51</v>
      </c>
      <c r="B161" s="477">
        <v>28</v>
      </c>
    </row>
    <row r="162" spans="1:3">
      <c r="A162" s="475" t="s">
        <v>52</v>
      </c>
      <c r="B162" s="477">
        <v>28</v>
      </c>
    </row>
    <row r="163" spans="1:3">
      <c r="A163" s="478" t="s">
        <v>7</v>
      </c>
      <c r="B163" s="277">
        <f>AVERAGE(B151:B162)</f>
        <v>24.070833333333329</v>
      </c>
    </row>
    <row r="164" spans="1:3">
      <c r="A164" s="475" t="s">
        <v>438</v>
      </c>
    </row>
    <row r="166" spans="1:3">
      <c r="A166" s="1866" t="s">
        <v>449</v>
      </c>
      <c r="B166" s="480" t="s">
        <v>58</v>
      </c>
      <c r="C166" s="481" t="s">
        <v>450</v>
      </c>
    </row>
    <row r="167" spans="1:3">
      <c r="A167" s="1867" t="s">
        <v>148</v>
      </c>
      <c r="B167" s="482" t="s">
        <v>62</v>
      </c>
      <c r="C167" s="482" t="s">
        <v>62</v>
      </c>
    </row>
    <row r="168" spans="1:3">
      <c r="A168" s="483" t="s">
        <v>41</v>
      </c>
      <c r="B168" s="484">
        <v>1.75</v>
      </c>
      <c r="C168" s="485">
        <f>(28/100)*4.19</f>
        <v>1.1732000000000002</v>
      </c>
    </row>
    <row r="169" spans="1:3">
      <c r="A169" s="483" t="s">
        <v>42</v>
      </c>
      <c r="B169" s="486">
        <v>1.75</v>
      </c>
      <c r="C169" s="485">
        <f>(28/100)*4.19</f>
        <v>1.1732000000000002</v>
      </c>
    </row>
    <row r="170" spans="1:3">
      <c r="A170" s="483" t="s">
        <v>43</v>
      </c>
      <c r="B170" s="484">
        <v>1.75</v>
      </c>
      <c r="C170" s="485">
        <f>(28/100)*4.19</f>
        <v>1.1732000000000002</v>
      </c>
    </row>
    <row r="171" spans="1:3">
      <c r="A171" s="483" t="s">
        <v>44</v>
      </c>
      <c r="B171" s="487">
        <v>1.86</v>
      </c>
      <c r="C171" s="485">
        <f>(41.98/100)*4.19</f>
        <v>1.7589619999999999</v>
      </c>
    </row>
    <row r="172" spans="1:3">
      <c r="A172" s="483" t="s">
        <v>45</v>
      </c>
      <c r="B172" s="484">
        <v>1.9</v>
      </c>
      <c r="C172" s="485">
        <f>(41.98/100)*4.19</f>
        <v>1.7589619999999999</v>
      </c>
    </row>
    <row r="173" spans="1:3">
      <c r="A173" s="483" t="s">
        <v>46</v>
      </c>
      <c r="B173" s="484">
        <v>1.9</v>
      </c>
      <c r="C173" s="485">
        <f>(41.98/100)*4.19</f>
        <v>1.7589619999999999</v>
      </c>
    </row>
    <row r="174" spans="1:3">
      <c r="A174" s="483" t="s">
        <v>47</v>
      </c>
      <c r="B174" s="484">
        <v>1.9</v>
      </c>
      <c r="C174" s="485">
        <f>(41.98/100)*4.19</f>
        <v>1.7589619999999999</v>
      </c>
    </row>
    <row r="175" spans="1:3">
      <c r="A175" s="483" t="s">
        <v>48</v>
      </c>
      <c r="B175" s="484">
        <v>1.9</v>
      </c>
      <c r="C175" s="485">
        <f>(41.98/100)*4.19</f>
        <v>1.7589619999999999</v>
      </c>
    </row>
    <row r="176" spans="1:3">
      <c r="A176" s="483" t="s">
        <v>49</v>
      </c>
      <c r="B176" s="484">
        <v>2.33</v>
      </c>
      <c r="C176" s="485">
        <f>(56.95/100)*4.19</f>
        <v>2.3862050000000004</v>
      </c>
    </row>
    <row r="177" spans="1:6">
      <c r="A177" s="483" t="s">
        <v>50</v>
      </c>
      <c r="B177" s="484">
        <v>2.4</v>
      </c>
      <c r="C177" s="485">
        <f>(56.95/100)*4.19</f>
        <v>2.3862050000000004</v>
      </c>
    </row>
    <row r="178" spans="1:6">
      <c r="A178" s="483" t="s">
        <v>51</v>
      </c>
      <c r="B178" s="484">
        <v>2.4</v>
      </c>
      <c r="C178" s="485">
        <f>(56.95/100)*4.19</f>
        <v>2.3862050000000004</v>
      </c>
    </row>
    <row r="179" spans="1:6">
      <c r="A179" s="488" t="s">
        <v>52</v>
      </c>
      <c r="B179" s="489">
        <v>3.4</v>
      </c>
      <c r="C179" s="490">
        <f>(82.25/100)*4.19</f>
        <v>3.4462750000000004</v>
      </c>
    </row>
    <row r="180" spans="1:6">
      <c r="A180" s="491" t="s">
        <v>7</v>
      </c>
      <c r="B180" s="492">
        <f>AVERAGE(B168:B179)</f>
        <v>2.1033333333333331</v>
      </c>
      <c r="C180" s="493">
        <f>AVERAGE(C168:C179)</f>
        <v>1.9099416666666669</v>
      </c>
    </row>
    <row r="182" spans="1:6">
      <c r="A182" s="1866" t="s">
        <v>451</v>
      </c>
      <c r="B182" s="480" t="s">
        <v>58</v>
      </c>
      <c r="C182" s="481" t="s">
        <v>450</v>
      </c>
    </row>
    <row r="183" spans="1:6">
      <c r="A183" s="1867" t="s">
        <v>148</v>
      </c>
      <c r="B183" s="482" t="s">
        <v>62</v>
      </c>
      <c r="C183" s="482" t="s">
        <v>62</v>
      </c>
      <c r="F183" t="s">
        <v>148</v>
      </c>
    </row>
    <row r="184" spans="1:6">
      <c r="A184" s="483" t="s">
        <v>41</v>
      </c>
      <c r="B184" s="486">
        <v>3.4</v>
      </c>
      <c r="C184" s="485">
        <f t="shared" ref="C184:C195" si="0">(82.25/100)*4.19</f>
        <v>3.4462750000000004</v>
      </c>
    </row>
    <row r="185" spans="1:6">
      <c r="A185" s="483" t="s">
        <v>42</v>
      </c>
      <c r="B185" s="486">
        <v>3.4</v>
      </c>
      <c r="C185" s="485">
        <f t="shared" si="0"/>
        <v>3.4462750000000004</v>
      </c>
    </row>
    <row r="186" spans="1:6">
      <c r="A186" s="483" t="s">
        <v>43</v>
      </c>
      <c r="B186" s="486">
        <v>3.4</v>
      </c>
      <c r="C186" s="485">
        <f t="shared" si="0"/>
        <v>3.4462750000000004</v>
      </c>
    </row>
    <row r="187" spans="1:6">
      <c r="A187" s="483" t="s">
        <v>44</v>
      </c>
      <c r="B187" s="486">
        <v>3.4</v>
      </c>
      <c r="C187" s="485">
        <f t="shared" si="0"/>
        <v>3.4462750000000004</v>
      </c>
    </row>
    <row r="188" spans="1:6">
      <c r="A188" s="483" t="s">
        <v>45</v>
      </c>
      <c r="B188" s="486">
        <v>3.4</v>
      </c>
      <c r="C188" s="485">
        <f t="shared" si="0"/>
        <v>3.4462750000000004</v>
      </c>
    </row>
    <row r="189" spans="1:6">
      <c r="A189" s="483" t="s">
        <v>46</v>
      </c>
      <c r="B189" s="486">
        <v>3.4</v>
      </c>
      <c r="C189" s="485">
        <f t="shared" si="0"/>
        <v>3.4462750000000004</v>
      </c>
    </row>
    <row r="190" spans="1:6">
      <c r="A190" s="483" t="s">
        <v>47</v>
      </c>
      <c r="B190" s="486">
        <v>3.4</v>
      </c>
      <c r="C190" s="485">
        <f t="shared" si="0"/>
        <v>3.4462750000000004</v>
      </c>
    </row>
    <row r="191" spans="1:6">
      <c r="A191" s="483" t="s">
        <v>48</v>
      </c>
      <c r="B191" s="486">
        <v>3.4</v>
      </c>
      <c r="C191" s="485">
        <f t="shared" si="0"/>
        <v>3.4462750000000004</v>
      </c>
    </row>
    <row r="192" spans="1:6">
      <c r="A192" s="483" t="s">
        <v>49</v>
      </c>
      <c r="B192" s="486">
        <v>3.4</v>
      </c>
      <c r="C192" s="485">
        <f t="shared" si="0"/>
        <v>3.4462750000000004</v>
      </c>
    </row>
    <row r="193" spans="1:3">
      <c r="A193" s="483" t="s">
        <v>50</v>
      </c>
      <c r="B193" s="486">
        <v>3.4</v>
      </c>
      <c r="C193" s="485">
        <f t="shared" si="0"/>
        <v>3.4462750000000004</v>
      </c>
    </row>
    <row r="194" spans="1:3">
      <c r="A194" s="483" t="s">
        <v>51</v>
      </c>
      <c r="B194" s="486">
        <v>3.4</v>
      </c>
      <c r="C194" s="485">
        <f t="shared" si="0"/>
        <v>3.4462750000000004</v>
      </c>
    </row>
    <row r="195" spans="1:3">
      <c r="A195" s="488" t="s">
        <v>52</v>
      </c>
      <c r="B195" s="494">
        <v>3.4</v>
      </c>
      <c r="C195" s="490">
        <f t="shared" si="0"/>
        <v>3.4462750000000004</v>
      </c>
    </row>
    <row r="196" spans="1:3">
      <c r="A196" s="491" t="s">
        <v>7</v>
      </c>
      <c r="B196" s="492">
        <f>AVERAGE(B184:B195)</f>
        <v>3.399999999999999</v>
      </c>
      <c r="C196" s="493">
        <f>AVERAGE(C184:C195)</f>
        <v>3.4462750000000004</v>
      </c>
    </row>
    <row r="197" spans="1:3">
      <c r="A197" s="476"/>
      <c r="B197" s="277"/>
    </row>
    <row r="198" spans="1:3">
      <c r="A198" s="476"/>
      <c r="B198" s="277"/>
    </row>
    <row r="199" spans="1:3">
      <c r="A199" s="1866" t="s">
        <v>452</v>
      </c>
      <c r="B199" s="480" t="s">
        <v>58</v>
      </c>
      <c r="C199" s="481" t="s">
        <v>450</v>
      </c>
    </row>
    <row r="200" spans="1:3">
      <c r="A200" s="1867" t="s">
        <v>148</v>
      </c>
      <c r="B200" s="482" t="s">
        <v>62</v>
      </c>
      <c r="C200" s="482" t="s">
        <v>62</v>
      </c>
    </row>
    <row r="201" spans="1:3">
      <c r="A201" s="483" t="s">
        <v>41</v>
      </c>
      <c r="B201" s="484">
        <v>3.4</v>
      </c>
      <c r="C201" s="485">
        <f t="shared" ref="C201:C212" si="1">(82.25/100)*4.19</f>
        <v>3.4462750000000004</v>
      </c>
    </row>
    <row r="202" spans="1:3">
      <c r="A202" s="483" t="s">
        <v>42</v>
      </c>
      <c r="B202" s="484">
        <v>3.4</v>
      </c>
      <c r="C202" s="485">
        <f t="shared" si="1"/>
        <v>3.4462750000000004</v>
      </c>
    </row>
    <row r="203" spans="1:3">
      <c r="A203" s="483" t="s">
        <v>43</v>
      </c>
      <c r="B203" s="484">
        <v>3.4</v>
      </c>
      <c r="C203" s="485">
        <f t="shared" si="1"/>
        <v>3.4462750000000004</v>
      </c>
    </row>
    <row r="204" spans="1:3">
      <c r="A204" s="483" t="s">
        <v>44</v>
      </c>
      <c r="B204" s="484">
        <v>3.4</v>
      </c>
      <c r="C204" s="485">
        <f t="shared" si="1"/>
        <v>3.4462750000000004</v>
      </c>
    </row>
    <row r="205" spans="1:3">
      <c r="A205" s="483" t="s">
        <v>45</v>
      </c>
      <c r="B205" s="484">
        <v>3.4</v>
      </c>
      <c r="C205" s="485">
        <f t="shared" si="1"/>
        <v>3.4462750000000004</v>
      </c>
    </row>
    <row r="206" spans="1:3">
      <c r="A206" s="483" t="s">
        <v>46</v>
      </c>
      <c r="B206" s="484">
        <v>3.4</v>
      </c>
      <c r="C206" s="485">
        <f t="shared" si="1"/>
        <v>3.4462750000000004</v>
      </c>
    </row>
    <row r="207" spans="1:3">
      <c r="A207" s="483" t="s">
        <v>47</v>
      </c>
      <c r="B207" s="484">
        <v>3.4</v>
      </c>
      <c r="C207" s="485">
        <f t="shared" si="1"/>
        <v>3.4462750000000004</v>
      </c>
    </row>
    <row r="208" spans="1:3">
      <c r="A208" s="483" t="s">
        <v>48</v>
      </c>
      <c r="B208" s="484">
        <v>3.4</v>
      </c>
      <c r="C208" s="485">
        <f t="shared" si="1"/>
        <v>3.4462750000000004</v>
      </c>
    </row>
    <row r="209" spans="1:3">
      <c r="A209" s="483" t="s">
        <v>49</v>
      </c>
      <c r="B209" s="484">
        <v>3.4</v>
      </c>
      <c r="C209" s="485">
        <f t="shared" si="1"/>
        <v>3.4462750000000004</v>
      </c>
    </row>
    <row r="210" spans="1:3">
      <c r="A210" s="483" t="s">
        <v>50</v>
      </c>
      <c r="B210" s="484">
        <v>3.4</v>
      </c>
      <c r="C210" s="485">
        <f t="shared" si="1"/>
        <v>3.4462750000000004</v>
      </c>
    </row>
    <row r="211" spans="1:3">
      <c r="A211" s="483" t="s">
        <v>51</v>
      </c>
      <c r="B211" s="484">
        <v>3.4</v>
      </c>
      <c r="C211" s="485">
        <f t="shared" si="1"/>
        <v>3.4462750000000004</v>
      </c>
    </row>
    <row r="212" spans="1:3">
      <c r="A212" s="488" t="s">
        <v>52</v>
      </c>
      <c r="B212" s="489">
        <v>3.4</v>
      </c>
      <c r="C212" s="490">
        <f t="shared" si="1"/>
        <v>3.4462750000000004</v>
      </c>
    </row>
    <row r="213" spans="1:3">
      <c r="A213" s="491" t="s">
        <v>7</v>
      </c>
      <c r="B213" s="495">
        <f>AVERAGE(B201:B212)</f>
        <v>3.399999999999999</v>
      </c>
      <c r="C213" s="493">
        <f>AVERAGE(C201:C212)</f>
        <v>3.4462750000000004</v>
      </c>
    </row>
    <row r="214" spans="1:3">
      <c r="A214" s="475"/>
    </row>
    <row r="215" spans="1:3">
      <c r="A215" s="475" t="s">
        <v>453</v>
      </c>
    </row>
    <row r="216" spans="1:3">
      <c r="A216" s="475"/>
    </row>
    <row r="217" spans="1:3">
      <c r="A217" s="475"/>
    </row>
    <row r="218" spans="1:3">
      <c r="A218" s="475"/>
    </row>
    <row r="219" spans="1:3">
      <c r="A219" s="1866" t="s">
        <v>454</v>
      </c>
      <c r="B219" s="480" t="s">
        <v>58</v>
      </c>
      <c r="C219" s="481" t="s">
        <v>450</v>
      </c>
    </row>
    <row r="220" spans="1:3">
      <c r="A220" s="1867"/>
      <c r="B220" s="482" t="s">
        <v>62</v>
      </c>
      <c r="C220" s="482" t="s">
        <v>62</v>
      </c>
    </row>
    <row r="221" spans="1:3">
      <c r="A221" s="483" t="s">
        <v>41</v>
      </c>
      <c r="B221" s="496">
        <v>3.56</v>
      </c>
      <c r="C221" s="485">
        <f t="shared" ref="C221:C232" si="2">(128/100)*4.19</f>
        <v>5.3632000000000009</v>
      </c>
    </row>
    <row r="222" spans="1:3">
      <c r="A222" s="483" t="s">
        <v>42</v>
      </c>
      <c r="B222" s="496">
        <v>3.56</v>
      </c>
      <c r="C222" s="485">
        <f t="shared" si="2"/>
        <v>5.3632000000000009</v>
      </c>
    </row>
    <row r="223" spans="1:3">
      <c r="A223" s="483" t="s">
        <v>43</v>
      </c>
      <c r="B223" s="496">
        <v>3.56</v>
      </c>
      <c r="C223" s="485">
        <f t="shared" si="2"/>
        <v>5.3632000000000009</v>
      </c>
    </row>
    <row r="224" spans="1:3">
      <c r="A224" s="483" t="s">
        <v>44</v>
      </c>
      <c r="B224" s="496">
        <v>3.56</v>
      </c>
      <c r="C224" s="485">
        <f t="shared" si="2"/>
        <v>5.3632000000000009</v>
      </c>
    </row>
    <row r="225" spans="1:3">
      <c r="A225" s="483" t="s">
        <v>45</v>
      </c>
      <c r="B225" s="496">
        <v>3.56</v>
      </c>
      <c r="C225" s="485">
        <f t="shared" si="2"/>
        <v>5.3632000000000009</v>
      </c>
    </row>
    <row r="226" spans="1:3">
      <c r="A226" s="483" t="s">
        <v>46</v>
      </c>
      <c r="B226" s="496">
        <v>3.56</v>
      </c>
      <c r="C226" s="485">
        <f t="shared" si="2"/>
        <v>5.3632000000000009</v>
      </c>
    </row>
    <row r="227" spans="1:3">
      <c r="A227" s="483" t="s">
        <v>47</v>
      </c>
      <c r="B227" s="496">
        <v>3.56</v>
      </c>
      <c r="C227" s="485">
        <f t="shared" si="2"/>
        <v>5.3632000000000009</v>
      </c>
    </row>
    <row r="228" spans="1:3">
      <c r="A228" s="483" t="s">
        <v>48</v>
      </c>
      <c r="B228" s="496">
        <v>3.56</v>
      </c>
      <c r="C228" s="485">
        <f t="shared" si="2"/>
        <v>5.3632000000000009</v>
      </c>
    </row>
    <row r="229" spans="1:3">
      <c r="A229" s="483" t="s">
        <v>49</v>
      </c>
      <c r="B229" s="496">
        <v>3.56</v>
      </c>
      <c r="C229" s="485">
        <f t="shared" si="2"/>
        <v>5.3632000000000009</v>
      </c>
    </row>
    <row r="230" spans="1:3">
      <c r="A230" s="483" t="s">
        <v>50</v>
      </c>
      <c r="B230" s="496">
        <v>3.56</v>
      </c>
      <c r="C230" s="485">
        <f t="shared" si="2"/>
        <v>5.3632000000000009</v>
      </c>
    </row>
    <row r="231" spans="1:3">
      <c r="A231" s="483" t="s">
        <v>51</v>
      </c>
      <c r="B231" s="496">
        <v>3.56</v>
      </c>
      <c r="C231" s="485">
        <f t="shared" si="2"/>
        <v>5.3632000000000009</v>
      </c>
    </row>
    <row r="232" spans="1:3">
      <c r="A232" s="488" t="s">
        <v>52</v>
      </c>
      <c r="B232" s="497">
        <v>3.56</v>
      </c>
      <c r="C232" s="490">
        <f t="shared" si="2"/>
        <v>5.3632000000000009</v>
      </c>
    </row>
    <row r="233" spans="1:3">
      <c r="A233" s="491" t="s">
        <v>7</v>
      </c>
      <c r="B233" s="492">
        <f>AVERAGE(B221:B232)</f>
        <v>3.5600000000000005</v>
      </c>
      <c r="C233" s="493">
        <f>AVERAGE(C221:C232)</f>
        <v>5.3632</v>
      </c>
    </row>
    <row r="234" spans="1:3">
      <c r="A234" s="475"/>
    </row>
    <row r="235" spans="1:3">
      <c r="A235" s="1866" t="s">
        <v>455</v>
      </c>
      <c r="B235" s="480" t="s">
        <v>58</v>
      </c>
      <c r="C235" s="481" t="s">
        <v>450</v>
      </c>
    </row>
    <row r="236" spans="1:3">
      <c r="A236" s="1867"/>
      <c r="B236" s="482" t="s">
        <v>62</v>
      </c>
      <c r="C236" s="482" t="s">
        <v>62</v>
      </c>
    </row>
    <row r="237" spans="1:3">
      <c r="A237" s="483" t="s">
        <v>41</v>
      </c>
      <c r="B237" s="496">
        <v>3.56</v>
      </c>
      <c r="C237" s="485">
        <f t="shared" ref="C237:C248" si="3">(130/100)*4.19</f>
        <v>5.447000000000001</v>
      </c>
    </row>
    <row r="238" spans="1:3">
      <c r="A238" s="483" t="s">
        <v>42</v>
      </c>
      <c r="B238" s="496">
        <v>3.57</v>
      </c>
      <c r="C238" s="485">
        <f t="shared" si="3"/>
        <v>5.447000000000001</v>
      </c>
    </row>
    <row r="239" spans="1:3">
      <c r="A239" s="483" t="s">
        <v>43</v>
      </c>
      <c r="B239" s="496">
        <v>3.57</v>
      </c>
      <c r="C239" s="485">
        <f t="shared" si="3"/>
        <v>5.447000000000001</v>
      </c>
    </row>
    <row r="240" spans="1:3">
      <c r="A240" s="483" t="s">
        <v>44</v>
      </c>
      <c r="B240" s="496">
        <v>3.59</v>
      </c>
      <c r="C240" s="485">
        <f t="shared" si="3"/>
        <v>5.447000000000001</v>
      </c>
    </row>
    <row r="241" spans="1:3">
      <c r="A241" s="483" t="s">
        <v>45</v>
      </c>
      <c r="B241" s="496">
        <v>3.59</v>
      </c>
      <c r="C241" s="485">
        <f t="shared" si="3"/>
        <v>5.447000000000001</v>
      </c>
    </row>
    <row r="242" spans="1:3">
      <c r="A242" s="483" t="s">
        <v>46</v>
      </c>
      <c r="B242" s="496">
        <v>3.59</v>
      </c>
      <c r="C242" s="485">
        <f t="shared" si="3"/>
        <v>5.447000000000001</v>
      </c>
    </row>
    <row r="243" spans="1:3">
      <c r="A243" s="483" t="s">
        <v>47</v>
      </c>
      <c r="B243" s="496">
        <v>3.69</v>
      </c>
      <c r="C243" s="485">
        <f t="shared" si="3"/>
        <v>5.447000000000001</v>
      </c>
    </row>
    <row r="244" spans="1:3">
      <c r="A244" s="483" t="s">
        <v>48</v>
      </c>
      <c r="B244" s="496">
        <v>3.69</v>
      </c>
      <c r="C244" s="485">
        <f t="shared" si="3"/>
        <v>5.447000000000001</v>
      </c>
    </row>
    <row r="245" spans="1:3">
      <c r="A245" s="483" t="s">
        <v>49</v>
      </c>
      <c r="B245" s="496">
        <v>3.76</v>
      </c>
      <c r="C245" s="485">
        <f t="shared" si="3"/>
        <v>5.447000000000001</v>
      </c>
    </row>
    <row r="246" spans="1:3">
      <c r="A246" s="483" t="s">
        <v>50</v>
      </c>
      <c r="B246" s="496">
        <v>3.76</v>
      </c>
      <c r="C246" s="485">
        <f t="shared" si="3"/>
        <v>5.447000000000001</v>
      </c>
    </row>
    <row r="247" spans="1:3">
      <c r="A247" s="483" t="s">
        <v>51</v>
      </c>
      <c r="B247" s="496">
        <v>4.07</v>
      </c>
      <c r="C247" s="485">
        <f t="shared" si="3"/>
        <v>5.447000000000001</v>
      </c>
    </row>
    <row r="248" spans="1:3">
      <c r="A248" s="488" t="s">
        <v>52</v>
      </c>
      <c r="B248" s="497">
        <v>4.24</v>
      </c>
      <c r="C248" s="490">
        <f t="shared" si="3"/>
        <v>5.447000000000001</v>
      </c>
    </row>
    <row r="249" spans="1:3">
      <c r="A249" s="491" t="s">
        <v>7</v>
      </c>
      <c r="B249" s="495">
        <f>AVERAGE(B237:B248)</f>
        <v>3.7233333333333332</v>
      </c>
      <c r="C249" s="493">
        <f>AVERAGE(C237:C248)</f>
        <v>5.4470000000000018</v>
      </c>
    </row>
    <row r="250" spans="1:3">
      <c r="A250" s="476"/>
      <c r="B250" s="498"/>
    </row>
    <row r="251" spans="1:3">
      <c r="A251" s="478"/>
    </row>
    <row r="252" spans="1:3">
      <c r="A252" s="1866" t="s">
        <v>456</v>
      </c>
      <c r="B252" s="480" t="s">
        <v>58</v>
      </c>
      <c r="C252" s="481" t="s">
        <v>450</v>
      </c>
    </row>
    <row r="253" spans="1:3">
      <c r="A253" s="1867"/>
      <c r="B253" s="482" t="s">
        <v>62</v>
      </c>
      <c r="C253" s="482" t="s">
        <v>62</v>
      </c>
    </row>
    <row r="254" spans="1:3">
      <c r="A254" s="483" t="s">
        <v>41</v>
      </c>
      <c r="B254" s="484">
        <v>4.3</v>
      </c>
      <c r="C254" s="485">
        <f t="shared" ref="C254:C264" si="4">(130/100)*4.19</f>
        <v>5.447000000000001</v>
      </c>
    </row>
    <row r="255" spans="1:3">
      <c r="A255" s="483" t="s">
        <v>42</v>
      </c>
      <c r="B255" s="484">
        <v>4.4000000000000004</v>
      </c>
      <c r="C255" s="485">
        <f t="shared" si="4"/>
        <v>5.447000000000001</v>
      </c>
    </row>
    <row r="256" spans="1:3">
      <c r="A256" s="483" t="s">
        <v>43</v>
      </c>
      <c r="B256" s="484">
        <v>4.4800000000000004</v>
      </c>
      <c r="C256" s="485">
        <f t="shared" si="4"/>
        <v>5.447000000000001</v>
      </c>
    </row>
    <row r="257" spans="1:3">
      <c r="A257" s="483" t="s">
        <v>44</v>
      </c>
      <c r="B257" s="484">
        <v>4.57</v>
      </c>
      <c r="C257" s="485">
        <f t="shared" si="4"/>
        <v>5.447000000000001</v>
      </c>
    </row>
    <row r="258" spans="1:3">
      <c r="A258" s="483" t="s">
        <v>45</v>
      </c>
      <c r="B258" s="484">
        <v>4.66</v>
      </c>
      <c r="C258" s="485">
        <f t="shared" si="4"/>
        <v>5.447000000000001</v>
      </c>
    </row>
    <row r="259" spans="1:3">
      <c r="A259" s="483" t="s">
        <v>46</v>
      </c>
      <c r="B259" s="484">
        <v>4.6399999999999997</v>
      </c>
      <c r="C259" s="485">
        <f t="shared" si="4"/>
        <v>5.447000000000001</v>
      </c>
    </row>
    <row r="260" spans="1:3">
      <c r="A260" s="483" t="s">
        <v>47</v>
      </c>
      <c r="B260" s="484">
        <v>4.29</v>
      </c>
      <c r="C260" s="485">
        <f t="shared" si="4"/>
        <v>5.447000000000001</v>
      </c>
    </row>
    <row r="261" spans="1:3">
      <c r="A261" s="483" t="s">
        <v>48</v>
      </c>
      <c r="B261" s="484">
        <v>4.24</v>
      </c>
      <c r="C261" s="485">
        <f t="shared" si="4"/>
        <v>5.447000000000001</v>
      </c>
    </row>
    <row r="262" spans="1:3">
      <c r="A262" s="483" t="s">
        <v>49</v>
      </c>
      <c r="B262" s="484">
        <v>4.29</v>
      </c>
      <c r="C262" s="485">
        <f t="shared" si="4"/>
        <v>5.447000000000001</v>
      </c>
    </row>
    <row r="263" spans="1:3">
      <c r="A263" s="483" t="s">
        <v>50</v>
      </c>
      <c r="B263" s="484">
        <v>4.3</v>
      </c>
      <c r="C263" s="485">
        <f t="shared" si="4"/>
        <v>5.447000000000001</v>
      </c>
    </row>
    <row r="264" spans="1:3">
      <c r="A264" s="483" t="s">
        <v>51</v>
      </c>
      <c r="B264" s="484">
        <v>4.33</v>
      </c>
      <c r="C264" s="485">
        <f t="shared" si="4"/>
        <v>5.447000000000001</v>
      </c>
    </row>
    <row r="265" spans="1:3">
      <c r="A265" s="488" t="s">
        <v>52</v>
      </c>
      <c r="B265" s="489">
        <v>4.5999999999999996</v>
      </c>
      <c r="C265" s="490">
        <f>(150/100)*4.19</f>
        <v>6.2850000000000001</v>
      </c>
    </row>
    <row r="266" spans="1:3">
      <c r="A266" s="491" t="s">
        <v>7</v>
      </c>
      <c r="B266" s="495">
        <f>AVERAGE(B254:B265)</f>
        <v>4.4249999999999998</v>
      </c>
      <c r="C266" s="493">
        <f>AVERAGE(C254:C265)</f>
        <v>5.5168333333333353</v>
      </c>
    </row>
    <row r="267" spans="1:3">
      <c r="A267" s="475"/>
    </row>
    <row r="268" spans="1:3">
      <c r="A268" s="475" t="s">
        <v>453</v>
      </c>
    </row>
    <row r="269" spans="1:3">
      <c r="A269" s="475"/>
    </row>
    <row r="270" spans="1:3">
      <c r="A270" s="475"/>
    </row>
    <row r="271" spans="1:3">
      <c r="A271" s="475"/>
    </row>
    <row r="272" spans="1:3">
      <c r="A272" s="1866" t="s">
        <v>457</v>
      </c>
      <c r="B272" s="480" t="s">
        <v>58</v>
      </c>
      <c r="C272" s="481" t="s">
        <v>450</v>
      </c>
    </row>
    <row r="273" spans="1:5">
      <c r="A273" s="1867"/>
      <c r="B273" s="482" t="s">
        <v>62</v>
      </c>
      <c r="C273" s="482" t="s">
        <v>62</v>
      </c>
    </row>
    <row r="274" spans="1:5">
      <c r="A274" s="499" t="s">
        <v>41</v>
      </c>
      <c r="B274" s="500">
        <v>4.8</v>
      </c>
      <c r="C274" s="501">
        <f t="shared" ref="C274:C280" si="5">(150/100)*4.19</f>
        <v>6.2850000000000001</v>
      </c>
    </row>
    <row r="275" spans="1:5">
      <c r="A275" s="483" t="s">
        <v>42</v>
      </c>
      <c r="B275" s="484">
        <v>4.8899999999999997</v>
      </c>
      <c r="C275" s="485">
        <f t="shared" si="5"/>
        <v>6.2850000000000001</v>
      </c>
    </row>
    <row r="276" spans="1:5">
      <c r="A276" s="483" t="s">
        <v>43</v>
      </c>
      <c r="B276" s="484">
        <v>4.9400000000000004</v>
      </c>
      <c r="C276" s="485">
        <f t="shared" si="5"/>
        <v>6.2850000000000001</v>
      </c>
    </row>
    <row r="277" spans="1:5">
      <c r="A277" s="483" t="s">
        <v>44</v>
      </c>
      <c r="B277" s="484">
        <f>(4.68426*1.1)</f>
        <v>5.1526860000000001</v>
      </c>
      <c r="C277" s="485">
        <f t="shared" si="5"/>
        <v>6.2850000000000001</v>
      </c>
    </row>
    <row r="278" spans="1:5">
      <c r="A278" s="483" t="s">
        <v>45</v>
      </c>
      <c r="B278" s="484">
        <f>(4.70592*1.1)</f>
        <v>5.1765120000000007</v>
      </c>
      <c r="C278" s="485">
        <f t="shared" si="5"/>
        <v>6.2850000000000001</v>
      </c>
    </row>
    <row r="279" spans="1:5">
      <c r="A279" s="483" t="s">
        <v>46</v>
      </c>
      <c r="B279" s="484">
        <f>(4.44806*1.1)</f>
        <v>4.8928660000000006</v>
      </c>
      <c r="C279" s="485">
        <f t="shared" si="5"/>
        <v>6.2850000000000001</v>
      </c>
    </row>
    <row r="280" spans="1:5">
      <c r="A280" s="483" t="s">
        <v>47</v>
      </c>
      <c r="B280" s="484">
        <f>(4.40245*1.1)</f>
        <v>4.842695</v>
      </c>
      <c r="C280" s="485">
        <f t="shared" si="5"/>
        <v>6.2850000000000001</v>
      </c>
    </row>
    <row r="281" spans="1:5">
      <c r="A281" s="483" t="s">
        <v>48</v>
      </c>
      <c r="B281" s="484">
        <f>(4.38827*1.1)</f>
        <v>4.8270970000000011</v>
      </c>
      <c r="C281" s="485">
        <f>(154/100)*4.19</f>
        <v>6.4526000000000003</v>
      </c>
    </row>
    <row r="282" spans="1:5">
      <c r="A282" s="483" t="s">
        <v>49</v>
      </c>
      <c r="B282" s="484">
        <f>(4.51574*1.1)</f>
        <v>4.9673140000000009</v>
      </c>
      <c r="C282" s="485">
        <f>(175/100)*4.19</f>
        <v>7.3325000000000005</v>
      </c>
    </row>
    <row r="283" spans="1:5">
      <c r="A283" s="483" t="s">
        <v>50</v>
      </c>
      <c r="B283" s="484">
        <f>(4.68628*1.1)</f>
        <v>5.1549080000000007</v>
      </c>
      <c r="C283" s="485">
        <f>(175/100)*4.19</f>
        <v>7.3325000000000005</v>
      </c>
    </row>
    <row r="284" spans="1:5">
      <c r="A284" s="483" t="s">
        <v>51</v>
      </c>
      <c r="B284" s="484">
        <f>(4.68613*1.1)</f>
        <v>5.1547430000000007</v>
      </c>
      <c r="C284" s="485">
        <f>(185/100)*4.19</f>
        <v>7.7515000000000009</v>
      </c>
    </row>
    <row r="285" spans="1:5">
      <c r="A285" s="488" t="s">
        <v>52</v>
      </c>
      <c r="B285" s="489">
        <f>(4.57937*1.1)</f>
        <v>5.0373070000000002</v>
      </c>
      <c r="C285" s="490">
        <f>(180/100)*4.19</f>
        <v>7.5420000000000007</v>
      </c>
    </row>
    <row r="286" spans="1:5">
      <c r="A286" s="491" t="s">
        <v>7</v>
      </c>
      <c r="B286" s="492">
        <f>AVERAGE(B274:B285)</f>
        <v>4.9863440000000008</v>
      </c>
      <c r="C286" s="493">
        <f>AVERAGE(C274:C285)</f>
        <v>6.7005083333333353</v>
      </c>
    </row>
    <row r="287" spans="1:5">
      <c r="A287" s="475"/>
    </row>
    <row r="288" spans="1:5">
      <c r="A288" s="116"/>
      <c r="B288" s="116"/>
      <c r="C288" s="116"/>
      <c r="D288" s="116"/>
      <c r="E288" s="116"/>
    </row>
    <row r="289" spans="1:6">
      <c r="A289" s="1866" t="s">
        <v>458</v>
      </c>
      <c r="B289" s="474"/>
      <c r="C289" s="502"/>
      <c r="D289" s="502"/>
      <c r="E289" s="503" t="s">
        <v>459</v>
      </c>
    </row>
    <row r="290" spans="1:6">
      <c r="A290" s="1863"/>
      <c r="B290" s="504"/>
      <c r="C290" s="482"/>
      <c r="D290" s="482"/>
      <c r="E290" s="482" t="s">
        <v>62</v>
      </c>
    </row>
    <row r="291" spans="1:6">
      <c r="A291" s="505" t="s">
        <v>41</v>
      </c>
      <c r="B291" s="506"/>
      <c r="C291" s="507"/>
      <c r="D291" s="507"/>
      <c r="E291" s="507">
        <f>(54/(35/4.19))</f>
        <v>6.4645714285714284</v>
      </c>
    </row>
    <row r="292" spans="1:6">
      <c r="A292" s="505" t="s">
        <v>42</v>
      </c>
      <c r="B292" s="506"/>
      <c r="C292" s="507"/>
      <c r="D292" s="507"/>
      <c r="E292" s="507">
        <f>(54/(35/4.19))</f>
        <v>6.4645714285714284</v>
      </c>
    </row>
    <row r="293" spans="1:6">
      <c r="A293" s="505" t="s">
        <v>43</v>
      </c>
      <c r="B293" s="506"/>
      <c r="C293" s="507"/>
      <c r="D293" s="507"/>
      <c r="E293" s="507">
        <f t="shared" ref="E293:E302" si="6">(53/(35/4.19))</f>
        <v>6.3448571428571432</v>
      </c>
    </row>
    <row r="294" spans="1:6">
      <c r="A294" s="505" t="s">
        <v>44</v>
      </c>
      <c r="B294" s="506"/>
      <c r="C294" s="507"/>
      <c r="D294" s="507"/>
      <c r="E294" s="507">
        <f t="shared" si="6"/>
        <v>6.3448571428571432</v>
      </c>
    </row>
    <row r="295" spans="1:6">
      <c r="A295" s="505" t="s">
        <v>45</v>
      </c>
      <c r="B295" s="506"/>
      <c r="C295" s="507"/>
      <c r="D295" s="507"/>
      <c r="E295" s="507">
        <f t="shared" si="6"/>
        <v>6.3448571428571432</v>
      </c>
    </row>
    <row r="296" spans="1:6">
      <c r="A296" s="505" t="s">
        <v>46</v>
      </c>
      <c r="B296" s="506"/>
      <c r="C296" s="507"/>
      <c r="D296" s="507"/>
      <c r="E296" s="507">
        <f t="shared" si="6"/>
        <v>6.3448571428571432</v>
      </c>
    </row>
    <row r="297" spans="1:6">
      <c r="A297" s="505" t="s">
        <v>47</v>
      </c>
      <c r="B297" s="506"/>
      <c r="C297" s="507"/>
      <c r="D297" s="507"/>
      <c r="E297" s="507">
        <f t="shared" si="6"/>
        <v>6.3448571428571432</v>
      </c>
    </row>
    <row r="298" spans="1:6">
      <c r="A298" s="505" t="s">
        <v>48</v>
      </c>
      <c r="B298" s="506"/>
      <c r="C298" s="507"/>
      <c r="D298" s="507"/>
      <c r="E298" s="507">
        <f t="shared" si="6"/>
        <v>6.3448571428571432</v>
      </c>
    </row>
    <row r="299" spans="1:6">
      <c r="A299" s="505" t="s">
        <v>49</v>
      </c>
      <c r="B299" s="506"/>
      <c r="C299" s="507"/>
      <c r="D299" s="507"/>
      <c r="E299" s="507">
        <f t="shared" si="6"/>
        <v>6.3448571428571432</v>
      </c>
    </row>
    <row r="300" spans="1:6">
      <c r="A300" s="505" t="s">
        <v>50</v>
      </c>
      <c r="B300" s="506"/>
      <c r="C300" s="507"/>
      <c r="D300" s="507"/>
      <c r="E300" s="507">
        <f t="shared" si="6"/>
        <v>6.3448571428571432</v>
      </c>
    </row>
    <row r="301" spans="1:6">
      <c r="A301" s="505" t="s">
        <v>51</v>
      </c>
      <c r="B301" s="506"/>
      <c r="C301" s="507"/>
      <c r="D301" s="507"/>
      <c r="E301" s="507">
        <f t="shared" si="6"/>
        <v>6.3448571428571432</v>
      </c>
    </row>
    <row r="302" spans="1:6">
      <c r="A302" s="508" t="s">
        <v>52</v>
      </c>
      <c r="B302" s="509"/>
      <c r="C302" s="510"/>
      <c r="D302" s="510"/>
      <c r="E302" s="510">
        <f t="shared" si="6"/>
        <v>6.3448571428571432</v>
      </c>
    </row>
    <row r="303" spans="1:6">
      <c r="A303" s="491" t="s">
        <v>7</v>
      </c>
      <c r="B303" s="495" t="e">
        <f>AVERAGE(B291:B302)</f>
        <v>#DIV/0!</v>
      </c>
      <c r="C303" s="495" t="e">
        <f>AVERAGE(C291:C302)</f>
        <v>#DIV/0!</v>
      </c>
      <c r="D303" s="495" t="e">
        <f>AVERAGE(D291:D302)</f>
        <v>#DIV/0!</v>
      </c>
      <c r="E303" s="493">
        <f>AVERAGE(E291:E302)</f>
        <v>6.3648095238095239</v>
      </c>
    </row>
    <row r="304" spans="1:6">
      <c r="A304" s="511"/>
      <c r="B304" s="512" t="s">
        <v>148</v>
      </c>
      <c r="C304" s="116"/>
      <c r="D304" s="116"/>
      <c r="E304" s="116"/>
      <c r="F304" s="116"/>
    </row>
    <row r="305" spans="1:6">
      <c r="A305" s="1862" t="s">
        <v>460</v>
      </c>
      <c r="B305" s="513"/>
      <c r="C305" s="474"/>
      <c r="D305" s="514"/>
      <c r="E305" s="514"/>
      <c r="F305" s="515" t="s">
        <v>459</v>
      </c>
    </row>
    <row r="306" spans="1:6">
      <c r="A306" s="1863"/>
      <c r="B306" s="516"/>
      <c r="C306" s="504"/>
      <c r="D306" s="482"/>
      <c r="E306" s="482"/>
      <c r="F306" s="482" t="s">
        <v>62</v>
      </c>
    </row>
    <row r="307" spans="1:6">
      <c r="A307" s="505" t="s">
        <v>41</v>
      </c>
      <c r="B307" s="513"/>
      <c r="C307" s="38"/>
      <c r="D307" s="507"/>
      <c r="E307" s="507"/>
      <c r="F307" s="507">
        <f>(53/(35/4.19))</f>
        <v>6.3448571428571432</v>
      </c>
    </row>
    <row r="308" spans="1:6">
      <c r="A308" s="505" t="s">
        <v>42</v>
      </c>
      <c r="B308" s="513"/>
      <c r="C308" s="38"/>
      <c r="D308" s="507"/>
      <c r="E308" s="507"/>
      <c r="F308" s="507">
        <f>(53/(35/4.19))</f>
        <v>6.3448571428571432</v>
      </c>
    </row>
    <row r="309" spans="1:6">
      <c r="A309" s="505" t="s">
        <v>43</v>
      </c>
      <c r="B309" s="513"/>
      <c r="C309" s="38"/>
      <c r="D309" s="507"/>
      <c r="E309" s="507"/>
      <c r="F309" s="507">
        <f>(53/(35/4.19))</f>
        <v>6.3448571428571432</v>
      </c>
    </row>
    <row r="310" spans="1:6">
      <c r="A310" s="505" t="s">
        <v>44</v>
      </c>
      <c r="B310" s="513"/>
      <c r="C310" s="38"/>
      <c r="D310" s="507"/>
      <c r="E310" s="507"/>
      <c r="F310" s="507">
        <f>(53/(35/4.19))</f>
        <v>6.3448571428571432</v>
      </c>
    </row>
    <row r="311" spans="1:6">
      <c r="A311" s="505" t="s">
        <v>45</v>
      </c>
      <c r="B311" s="513"/>
      <c r="C311" s="38"/>
      <c r="D311" s="507"/>
      <c r="E311" s="507"/>
      <c r="F311" s="507">
        <f>(52/(35/4.4))</f>
        <v>6.5371428571428574</v>
      </c>
    </row>
    <row r="312" spans="1:6">
      <c r="A312" s="505" t="s">
        <v>46</v>
      </c>
      <c r="B312" s="513"/>
      <c r="C312" s="38"/>
      <c r="D312" s="507"/>
      <c r="E312" s="507"/>
      <c r="F312" s="507">
        <f>(52/(35/4.4))</f>
        <v>6.5371428571428574</v>
      </c>
    </row>
    <row r="313" spans="1:6">
      <c r="A313" s="505" t="s">
        <v>47</v>
      </c>
      <c r="B313" s="517"/>
      <c r="C313" s="38"/>
      <c r="D313" s="507"/>
      <c r="E313" s="507"/>
      <c r="F313" s="507">
        <f>(52/(35/4.4))</f>
        <v>6.5371428571428574</v>
      </c>
    </row>
    <row r="314" spans="1:6">
      <c r="A314" s="505" t="s">
        <v>48</v>
      </c>
      <c r="B314" s="517"/>
      <c r="C314" s="38"/>
      <c r="D314" s="507"/>
      <c r="E314" s="507"/>
      <c r="F314" s="507">
        <f>(52/(35/4.4))</f>
        <v>6.5371428571428574</v>
      </c>
    </row>
    <row r="315" spans="1:6">
      <c r="A315" s="505" t="s">
        <v>49</v>
      </c>
      <c r="B315" s="517"/>
      <c r="C315" s="38"/>
      <c r="D315" s="507"/>
      <c r="E315" s="507"/>
      <c r="F315" s="507">
        <f>(54/(35/4.4))</f>
        <v>6.7885714285714291</v>
      </c>
    </row>
    <row r="316" spans="1:6">
      <c r="A316" s="505" t="s">
        <v>50</v>
      </c>
      <c r="B316" s="517"/>
      <c r="C316" s="38"/>
      <c r="D316" s="507"/>
      <c r="E316" s="507"/>
      <c r="F316" s="507">
        <f>(54/(35/4.4))</f>
        <v>6.7885714285714291</v>
      </c>
    </row>
    <row r="317" spans="1:6">
      <c r="A317" s="505" t="s">
        <v>51</v>
      </c>
      <c r="B317" s="517"/>
      <c r="C317" s="518"/>
      <c r="D317" s="507"/>
      <c r="E317" s="507"/>
      <c r="F317" s="507">
        <f>(54/(35/4.4))</f>
        <v>6.7885714285714291</v>
      </c>
    </row>
    <row r="318" spans="1:6">
      <c r="A318" s="508" t="s">
        <v>52</v>
      </c>
      <c r="B318" s="519"/>
      <c r="C318" s="504"/>
      <c r="D318" s="510"/>
      <c r="E318" s="510"/>
      <c r="F318" s="510">
        <f>(54/(35/4.4))</f>
        <v>6.7885714285714291</v>
      </c>
    </row>
    <row r="319" spans="1:6">
      <c r="A319" s="491" t="s">
        <v>7</v>
      </c>
      <c r="B319" s="495" t="e">
        <f>AVERAGE(B307:B318)</f>
        <v>#DIV/0!</v>
      </c>
      <c r="C319" s="495" t="e">
        <f>AVERAGE(C307:C318)</f>
        <v>#DIV/0!</v>
      </c>
      <c r="D319" s="495" t="e">
        <f>AVERAGE(D307:D318)</f>
        <v>#DIV/0!</v>
      </c>
      <c r="E319" s="495" t="e">
        <f>AVERAGE(E307:E318)</f>
        <v>#DIV/0!</v>
      </c>
      <c r="F319" s="493">
        <f>AVERAGE(F307:F318)</f>
        <v>6.5568571428571429</v>
      </c>
    </row>
    <row r="320" spans="1:6">
      <c r="A320" s="520"/>
      <c r="B320" s="521"/>
      <c r="C320" s="521"/>
      <c r="D320" s="521"/>
      <c r="E320" s="521"/>
      <c r="F320" s="521"/>
    </row>
    <row r="321" spans="1:6">
      <c r="A321" s="511"/>
      <c r="B321" s="512"/>
      <c r="C321" s="512"/>
      <c r="D321" s="512"/>
      <c r="E321" s="512"/>
      <c r="F321" s="512"/>
    </row>
    <row r="322" spans="1:6">
      <c r="A322" s="1862" t="s">
        <v>461</v>
      </c>
      <c r="B322" s="513"/>
      <c r="C322" s="474"/>
      <c r="D322" s="514"/>
      <c r="E322" s="514"/>
      <c r="F322" s="522" t="s">
        <v>459</v>
      </c>
    </row>
    <row r="323" spans="1:6">
      <c r="A323" s="1863"/>
      <c r="B323" s="516"/>
      <c r="C323" s="504"/>
      <c r="D323" s="482"/>
      <c r="E323" s="482"/>
      <c r="F323" s="523" t="s">
        <v>62</v>
      </c>
    </row>
    <row r="324" spans="1:6">
      <c r="A324" s="505" t="s">
        <v>41</v>
      </c>
      <c r="B324" s="524"/>
      <c r="C324" s="525"/>
      <c r="D324" s="120"/>
      <c r="E324" s="120"/>
      <c r="F324" s="118">
        <v>6.7885714285714291</v>
      </c>
    </row>
    <row r="325" spans="1:6">
      <c r="A325" s="505" t="s">
        <v>42</v>
      </c>
      <c r="B325" s="524"/>
      <c r="C325" s="525"/>
      <c r="D325" s="120"/>
      <c r="E325" s="120"/>
      <c r="F325" s="120">
        <v>6.7885714285714291</v>
      </c>
    </row>
    <row r="326" spans="1:6">
      <c r="A326" s="505" t="s">
        <v>43</v>
      </c>
      <c r="B326" s="524"/>
      <c r="C326" s="525"/>
      <c r="D326" s="120"/>
      <c r="E326" s="120"/>
      <c r="F326" s="120">
        <v>6.7885714285714291</v>
      </c>
    </row>
    <row r="327" spans="1:6">
      <c r="A327" s="505" t="s">
        <v>44</v>
      </c>
      <c r="B327" s="524"/>
      <c r="C327" s="525"/>
      <c r="D327" s="120"/>
      <c r="E327" s="120"/>
      <c r="F327" s="120">
        <v>6.7885714285714291</v>
      </c>
    </row>
    <row r="328" spans="1:6">
      <c r="A328" s="505" t="s">
        <v>45</v>
      </c>
      <c r="B328" s="524"/>
      <c r="C328" s="525"/>
      <c r="D328" s="120"/>
      <c r="E328" s="120"/>
      <c r="F328" s="120">
        <v>7.668571428571429</v>
      </c>
    </row>
    <row r="329" spans="1:6">
      <c r="A329" s="505" t="s">
        <v>46</v>
      </c>
      <c r="B329" s="524"/>
      <c r="C329" s="525"/>
      <c r="D329" s="120"/>
      <c r="E329" s="120"/>
      <c r="F329" s="120">
        <v>7.668571428571429</v>
      </c>
    </row>
    <row r="330" spans="1:6">
      <c r="A330" s="505" t="s">
        <v>47</v>
      </c>
      <c r="B330" s="513"/>
      <c r="C330" s="518"/>
      <c r="D330" s="514"/>
      <c r="E330" s="507"/>
      <c r="F330" s="507">
        <v>7.668571428571429</v>
      </c>
    </row>
    <row r="331" spans="1:6">
      <c r="A331" s="121" t="s">
        <v>48</v>
      </c>
      <c r="B331" s="132"/>
      <c r="C331" s="32"/>
      <c r="D331" s="120"/>
      <c r="E331" s="507"/>
      <c r="F331" s="507">
        <v>7.668571428571429</v>
      </c>
    </row>
    <row r="332" spans="1:6">
      <c r="A332" s="121" t="s">
        <v>49</v>
      </c>
      <c r="B332" s="132"/>
      <c r="C332" s="32"/>
      <c r="D332" s="526"/>
      <c r="E332" s="120"/>
      <c r="F332" s="507">
        <v>7.668571428571429</v>
      </c>
    </row>
    <row r="333" spans="1:6">
      <c r="A333" s="121" t="s">
        <v>50</v>
      </c>
      <c r="B333" s="132"/>
      <c r="C333" s="27"/>
      <c r="D333" s="526"/>
      <c r="E333" s="120"/>
      <c r="F333" s="507">
        <v>7.668571428571429</v>
      </c>
    </row>
    <row r="334" spans="1:6">
      <c r="A334" s="121" t="s">
        <v>51</v>
      </c>
      <c r="B334" s="132"/>
      <c r="C334" s="525"/>
      <c r="D334" s="526"/>
      <c r="E334" s="120"/>
      <c r="F334" s="507">
        <v>7.668571428571429</v>
      </c>
    </row>
    <row r="335" spans="1:6">
      <c r="A335" s="123" t="s">
        <v>52</v>
      </c>
      <c r="B335" s="527"/>
      <c r="C335" s="528"/>
      <c r="D335" s="529"/>
      <c r="E335" s="122"/>
      <c r="F335" s="510">
        <v>8.4228571428571435</v>
      </c>
    </row>
    <row r="336" spans="1:6">
      <c r="A336" s="491" t="s">
        <v>7</v>
      </c>
      <c r="B336" s="495" t="e">
        <f>AVERAGE(B324:B335)</f>
        <v>#DIV/0!</v>
      </c>
      <c r="C336" s="495" t="e">
        <f>AVERAGE(C324:C335)</f>
        <v>#DIV/0!</v>
      </c>
      <c r="D336" s="495" t="e">
        <f>AVERAGE(D324:D335)</f>
        <v>#DIV/0!</v>
      </c>
      <c r="E336" s="495" t="e">
        <f>AVERAGE(E324:E335)</f>
        <v>#DIV/0!</v>
      </c>
      <c r="F336" s="493">
        <f>AVERAGE(F324:F335)</f>
        <v>7.4380952380952365</v>
      </c>
    </row>
    <row r="337" spans="1:11">
      <c r="E337" s="63"/>
      <c r="F337" s="63"/>
      <c r="G337" s="63"/>
      <c r="H337" s="63"/>
      <c r="I337" s="63"/>
      <c r="J337" s="63"/>
      <c r="K337" s="63"/>
    </row>
    <row r="338" spans="1:11">
      <c r="A338" s="1862" t="s">
        <v>462</v>
      </c>
      <c r="B338" s="503" t="s">
        <v>463</v>
      </c>
      <c r="C338" s="503" t="s">
        <v>463</v>
      </c>
      <c r="D338" s="503" t="s">
        <v>463</v>
      </c>
      <c r="E338" s="503" t="s">
        <v>463</v>
      </c>
      <c r="F338" s="503" t="s">
        <v>463</v>
      </c>
      <c r="G338" s="503" t="s">
        <v>463</v>
      </c>
      <c r="H338" s="503"/>
      <c r="I338" s="79"/>
      <c r="J338" s="79"/>
      <c r="K338" s="79"/>
    </row>
    <row r="339" spans="1:11">
      <c r="A339" s="1863"/>
      <c r="B339" s="482" t="s">
        <v>464</v>
      </c>
      <c r="C339" s="482" t="s">
        <v>550</v>
      </c>
      <c r="D339" s="482" t="s">
        <v>549</v>
      </c>
      <c r="E339" s="482" t="s">
        <v>551</v>
      </c>
      <c r="F339" s="482" t="s">
        <v>552</v>
      </c>
      <c r="G339" s="482" t="s">
        <v>553</v>
      </c>
      <c r="H339" s="482"/>
      <c r="I339" s="79"/>
      <c r="J339" s="75"/>
      <c r="K339" s="79"/>
    </row>
    <row r="340" spans="1:11">
      <c r="A340" s="117" t="s">
        <v>41</v>
      </c>
      <c r="B340" s="530">
        <v>51.375782857142866</v>
      </c>
      <c r="C340" s="315">
        <f>(J340*35)</f>
        <v>71.926096000000015</v>
      </c>
      <c r="E340" s="315">
        <f>(J340*40)</f>
        <v>82.201252571428597</v>
      </c>
      <c r="F340" s="768">
        <f>J340*60</f>
        <v>123.3018788571429</v>
      </c>
      <c r="G340" s="768">
        <f>(J340*100)</f>
        <v>205.50313142857149</v>
      </c>
      <c r="H340" s="79"/>
      <c r="I340" s="79"/>
      <c r="J340" s="768">
        <f>(B340/25)</f>
        <v>2.0550313142857148</v>
      </c>
      <c r="K340" s="79"/>
    </row>
    <row r="341" spans="1:11">
      <c r="A341" s="121" t="s">
        <v>42</v>
      </c>
      <c r="B341" s="530">
        <v>60.769676000000011</v>
      </c>
      <c r="C341" s="315">
        <f t="shared" ref="C341:C351" si="7">(J341*35)</f>
        <v>85.077546400000003</v>
      </c>
      <c r="E341" s="315">
        <f t="shared" ref="E341:E351" si="8">(J341*40)</f>
        <v>97.231481600000009</v>
      </c>
      <c r="F341" s="768">
        <f t="shared" ref="F341:F351" si="9">J341*60</f>
        <v>145.84722240000002</v>
      </c>
      <c r="G341" s="768">
        <f t="shared" ref="G341:G351" si="10">(J341*100)</f>
        <v>243.07870400000002</v>
      </c>
      <c r="H341" s="79"/>
      <c r="I341" s="79"/>
      <c r="J341" s="768">
        <f t="shared" ref="J341:J351" si="11">(B341/25)</f>
        <v>2.4307870400000002</v>
      </c>
      <c r="K341" s="79"/>
    </row>
    <row r="342" spans="1:11">
      <c r="A342" s="121" t="s">
        <v>43</v>
      </c>
      <c r="B342" s="530">
        <v>62.183447542857152</v>
      </c>
      <c r="C342" s="315">
        <f t="shared" si="7"/>
        <v>87.056826560000005</v>
      </c>
      <c r="E342" s="315">
        <f t="shared" si="8"/>
        <v>99.493516068571438</v>
      </c>
      <c r="F342" s="768">
        <f t="shared" si="9"/>
        <v>149.24027410285717</v>
      </c>
      <c r="G342" s="768">
        <f t="shared" si="10"/>
        <v>248.73379017142861</v>
      </c>
      <c r="H342" s="79"/>
      <c r="I342" s="79"/>
      <c r="J342" s="768">
        <f t="shared" si="11"/>
        <v>2.487337901714286</v>
      </c>
      <c r="K342" s="79"/>
    </row>
    <row r="343" spans="1:11">
      <c r="A343" s="121" t="s">
        <v>44</v>
      </c>
      <c r="B343" s="530">
        <v>59.459031028571438</v>
      </c>
      <c r="C343" s="315">
        <f t="shared" si="7"/>
        <v>83.242643440000023</v>
      </c>
      <c r="E343" s="315">
        <f t="shared" si="8"/>
        <v>95.134449645714312</v>
      </c>
      <c r="F343" s="768">
        <f t="shared" si="9"/>
        <v>142.70167446857147</v>
      </c>
      <c r="G343" s="768">
        <f t="shared" si="10"/>
        <v>237.83612411428575</v>
      </c>
      <c r="H343" s="79"/>
      <c r="I343" s="79"/>
      <c r="J343" s="768">
        <f t="shared" si="11"/>
        <v>2.3783612411428576</v>
      </c>
      <c r="K343" s="79"/>
    </row>
    <row r="344" spans="1:11">
      <c r="A344" s="121" t="s">
        <v>45</v>
      </c>
      <c r="B344" s="530">
        <v>64.454277600000012</v>
      </c>
      <c r="C344" s="315">
        <f t="shared" si="7"/>
        <v>90.235988640000016</v>
      </c>
      <c r="E344" s="315">
        <f t="shared" si="8"/>
        <v>103.12684416000002</v>
      </c>
      <c r="F344" s="768">
        <f t="shared" si="9"/>
        <v>154.69026624000003</v>
      </c>
      <c r="G344" s="768">
        <f t="shared" si="10"/>
        <v>257.81711040000005</v>
      </c>
      <c r="H344" s="79"/>
      <c r="I344" s="79"/>
      <c r="J344" s="768">
        <f t="shared" si="11"/>
        <v>2.5781711040000004</v>
      </c>
      <c r="K344" s="79"/>
    </row>
    <row r="345" spans="1:11">
      <c r="A345" s="121" t="s">
        <v>46</v>
      </c>
      <c r="B345" s="530">
        <v>51.787863000000016</v>
      </c>
      <c r="C345" s="315">
        <f t="shared" si="7"/>
        <v>72.503008200000011</v>
      </c>
      <c r="E345" s="315">
        <f t="shared" si="8"/>
        <v>82.860580800000022</v>
      </c>
      <c r="F345" s="768">
        <f t="shared" si="9"/>
        <v>124.29087120000003</v>
      </c>
      <c r="G345" s="768">
        <f t="shared" si="10"/>
        <v>207.15145200000003</v>
      </c>
      <c r="H345" s="79"/>
      <c r="I345" s="79"/>
      <c r="J345" s="768">
        <f t="shared" si="11"/>
        <v>2.0715145200000005</v>
      </c>
      <c r="K345" s="79"/>
    </row>
    <row r="346" spans="1:11">
      <c r="A346" s="121" t="s">
        <v>47</v>
      </c>
      <c r="B346" s="530">
        <v>56.333741928571428</v>
      </c>
      <c r="C346" s="315">
        <f t="shared" si="7"/>
        <v>78.867238699999987</v>
      </c>
      <c r="E346" s="315">
        <f t="shared" si="8"/>
        <v>90.133987085714281</v>
      </c>
      <c r="F346" s="768">
        <f t="shared" si="9"/>
        <v>135.20098062857141</v>
      </c>
      <c r="G346" s="768">
        <f t="shared" si="10"/>
        <v>225.33496771428568</v>
      </c>
      <c r="H346" s="79"/>
      <c r="I346" s="79"/>
      <c r="J346" s="768">
        <f t="shared" si="11"/>
        <v>2.2533496771428569</v>
      </c>
      <c r="K346" s="79"/>
    </row>
    <row r="347" spans="1:11">
      <c r="A347" s="121" t="s">
        <v>48</v>
      </c>
      <c r="B347" s="530">
        <v>56.333741928571428</v>
      </c>
      <c r="C347" s="315">
        <f t="shared" si="7"/>
        <v>78.867238699999987</v>
      </c>
      <c r="E347" s="315">
        <f t="shared" si="8"/>
        <v>90.133987085714281</v>
      </c>
      <c r="F347" s="768">
        <f t="shared" si="9"/>
        <v>135.20098062857141</v>
      </c>
      <c r="G347" s="768">
        <f t="shared" si="10"/>
        <v>225.33496771428568</v>
      </c>
      <c r="H347" s="79"/>
      <c r="I347" s="79"/>
      <c r="J347" s="768">
        <f t="shared" si="11"/>
        <v>2.2533496771428569</v>
      </c>
      <c r="K347" s="79"/>
    </row>
    <row r="348" spans="1:11">
      <c r="A348" s="121" t="s">
        <v>49</v>
      </c>
      <c r="B348" s="530">
        <v>65.148719999999997</v>
      </c>
      <c r="C348" s="315">
        <f t="shared" si="7"/>
        <v>91.208207999999985</v>
      </c>
      <c r="E348" s="315">
        <f t="shared" si="8"/>
        <v>104.23795199999999</v>
      </c>
      <c r="F348" s="768">
        <f t="shared" si="9"/>
        <v>156.35692799999998</v>
      </c>
      <c r="G348" s="768">
        <f t="shared" si="10"/>
        <v>260.59487999999999</v>
      </c>
      <c r="H348" s="79"/>
      <c r="I348" s="79"/>
      <c r="J348" s="768">
        <f t="shared" si="11"/>
        <v>2.6059487999999997</v>
      </c>
      <c r="K348" s="79"/>
    </row>
    <row r="349" spans="1:11">
      <c r="A349" s="121" t="s">
        <v>50</v>
      </c>
      <c r="B349" s="530">
        <v>65.148719999999997</v>
      </c>
      <c r="C349" s="315">
        <f t="shared" si="7"/>
        <v>91.208207999999985</v>
      </c>
      <c r="E349" s="315">
        <f t="shared" si="8"/>
        <v>104.23795199999999</v>
      </c>
      <c r="F349" s="768">
        <f t="shared" si="9"/>
        <v>156.35692799999998</v>
      </c>
      <c r="G349" s="768">
        <f t="shared" si="10"/>
        <v>260.59487999999999</v>
      </c>
      <c r="H349" s="79"/>
      <c r="I349" s="79"/>
      <c r="J349" s="768">
        <f t="shared" si="11"/>
        <v>2.6059487999999997</v>
      </c>
      <c r="K349" s="79"/>
    </row>
    <row r="350" spans="1:11">
      <c r="A350" s="121" t="s">
        <v>51</v>
      </c>
      <c r="B350" s="530">
        <v>65.148719999999997</v>
      </c>
      <c r="C350" s="315">
        <f t="shared" si="7"/>
        <v>91.208207999999985</v>
      </c>
      <c r="E350" s="315">
        <f t="shared" si="8"/>
        <v>104.23795199999999</v>
      </c>
      <c r="F350" s="768">
        <f t="shared" si="9"/>
        <v>156.35692799999998</v>
      </c>
      <c r="G350" s="768">
        <f t="shared" si="10"/>
        <v>260.59487999999999</v>
      </c>
      <c r="H350" s="75"/>
      <c r="I350" s="75"/>
      <c r="J350" s="768">
        <f t="shared" si="11"/>
        <v>2.6059487999999997</v>
      </c>
      <c r="K350" s="79"/>
    </row>
    <row r="351" spans="1:11">
      <c r="A351" s="123" t="s">
        <v>52</v>
      </c>
      <c r="B351" s="530">
        <v>65.148719999999997</v>
      </c>
      <c r="C351" s="315">
        <f t="shared" si="7"/>
        <v>91.208207999999985</v>
      </c>
      <c r="E351" s="315">
        <f t="shared" si="8"/>
        <v>104.23795199999999</v>
      </c>
      <c r="F351" s="768">
        <f t="shared" si="9"/>
        <v>156.35692799999998</v>
      </c>
      <c r="G351" s="768">
        <f t="shared" si="10"/>
        <v>260.59487999999999</v>
      </c>
      <c r="H351" s="79"/>
      <c r="I351" s="79"/>
      <c r="J351" s="768">
        <f t="shared" si="11"/>
        <v>2.6059487999999997</v>
      </c>
      <c r="K351" s="79"/>
    </row>
    <row r="352" spans="1:11">
      <c r="A352" s="491" t="s">
        <v>7</v>
      </c>
      <c r="B352" s="493">
        <v>60.274370157142869</v>
      </c>
      <c r="C352" s="493">
        <f>AVERAGE(C340:C351)</f>
        <v>84.384118220000019</v>
      </c>
      <c r="D352" s="493" t="e">
        <f>AVERAGE(D340:D351)</f>
        <v>#DIV/0!</v>
      </c>
      <c r="E352" s="493">
        <f>AVERAGE(E340:E351)</f>
        <v>96.438992251428559</v>
      </c>
      <c r="F352" s="493">
        <f>AVERAGE(F340:F351)</f>
        <v>144.65848837714285</v>
      </c>
      <c r="G352" s="493">
        <f>AVERAGE(G340:G351)</f>
        <v>241.09748062857147</v>
      </c>
      <c r="H352" s="79"/>
      <c r="I352" s="79"/>
      <c r="J352" s="79"/>
      <c r="K352" s="79"/>
    </row>
    <row r="353" spans="1:11">
      <c r="A353" s="476"/>
      <c r="C353" s="63"/>
      <c r="E353" s="63"/>
      <c r="F353" s="79"/>
      <c r="G353" s="79"/>
      <c r="H353" s="79"/>
      <c r="I353" s="79"/>
      <c r="J353" s="79"/>
      <c r="K353" s="79"/>
    </row>
    <row r="354" spans="1:11">
      <c r="A354" s="1866" t="s">
        <v>465</v>
      </c>
      <c r="B354" s="503" t="s">
        <v>463</v>
      </c>
      <c r="C354" s="503" t="s">
        <v>463</v>
      </c>
      <c r="D354" s="503" t="s">
        <v>463</v>
      </c>
      <c r="E354" s="503" t="s">
        <v>463</v>
      </c>
      <c r="F354" s="503" t="s">
        <v>463</v>
      </c>
      <c r="G354" s="503" t="s">
        <v>463</v>
      </c>
      <c r="H354" s="79"/>
      <c r="I354" s="79"/>
      <c r="J354" s="79"/>
      <c r="K354" s="79"/>
    </row>
    <row r="355" spans="1:11">
      <c r="A355" s="1863"/>
      <c r="B355" s="482" t="s">
        <v>464</v>
      </c>
      <c r="C355" s="482" t="s">
        <v>550</v>
      </c>
      <c r="D355" s="482" t="s">
        <v>549</v>
      </c>
      <c r="E355" s="482" t="s">
        <v>551</v>
      </c>
      <c r="F355" s="482" t="s">
        <v>552</v>
      </c>
      <c r="G355" s="482" t="s">
        <v>553</v>
      </c>
      <c r="H355" s="63"/>
      <c r="I355" s="63"/>
      <c r="J355" s="63"/>
      <c r="K355" s="63"/>
    </row>
    <row r="356" spans="1:11">
      <c r="A356" s="117" t="s">
        <v>41</v>
      </c>
      <c r="B356" s="530">
        <v>65.148719999999997</v>
      </c>
      <c r="C356" s="769">
        <f>(J356*35)</f>
        <v>91.208207999999985</v>
      </c>
      <c r="E356" s="769">
        <f>(40*J356)</f>
        <v>104.23795199999999</v>
      </c>
      <c r="F356" s="769">
        <f>(J356*60)</f>
        <v>156.35692799999998</v>
      </c>
      <c r="G356" s="771">
        <f>(J356*100)</f>
        <v>260.59487999999999</v>
      </c>
      <c r="J356" s="768">
        <f>(B356/25)</f>
        <v>2.6059487999999997</v>
      </c>
    </row>
    <row r="357" spans="1:11">
      <c r="A357" s="121" t="s">
        <v>42</v>
      </c>
      <c r="B357" s="530">
        <v>65.148719999999997</v>
      </c>
      <c r="C357" s="770">
        <f t="shared" ref="C357:C367" si="12">(J357*35)</f>
        <v>91.208207999999985</v>
      </c>
      <c r="E357" s="770">
        <f t="shared" ref="E357:E367" si="13">(40*J357)</f>
        <v>104.23795199999999</v>
      </c>
      <c r="F357" s="770">
        <f t="shared" ref="F357:F367" si="14">(J357*60)</f>
        <v>156.35692799999998</v>
      </c>
      <c r="G357" s="772">
        <f t="shared" ref="G357:G367" si="15">(J357*100)</f>
        <v>260.59487999999999</v>
      </c>
      <c r="H357" s="63"/>
      <c r="J357" s="768">
        <f t="shared" ref="J357:J367" si="16">(B357/25)</f>
        <v>2.6059487999999997</v>
      </c>
    </row>
    <row r="358" spans="1:11">
      <c r="A358" s="121" t="s">
        <v>43</v>
      </c>
      <c r="B358" s="530">
        <v>61.640712000000008</v>
      </c>
      <c r="C358" s="770">
        <f t="shared" si="12"/>
        <v>86.296996800000016</v>
      </c>
      <c r="E358" s="770">
        <f t="shared" si="13"/>
        <v>98.625139200000007</v>
      </c>
      <c r="F358" s="770">
        <f t="shared" si="14"/>
        <v>147.93770880000002</v>
      </c>
      <c r="G358" s="772">
        <f t="shared" si="15"/>
        <v>246.56284800000003</v>
      </c>
      <c r="H358" s="63"/>
      <c r="J358" s="768">
        <f t="shared" si="16"/>
        <v>2.4656284800000003</v>
      </c>
    </row>
    <row r="359" spans="1:11">
      <c r="A359" s="121" t="s">
        <v>44</v>
      </c>
      <c r="B359" s="530">
        <v>58.132704000000004</v>
      </c>
      <c r="C359" s="770">
        <f t="shared" si="12"/>
        <v>81.385785600000006</v>
      </c>
      <c r="E359" s="770">
        <f t="shared" si="13"/>
        <v>93.012326400000006</v>
      </c>
      <c r="F359" s="770">
        <f t="shared" si="14"/>
        <v>139.51848960000001</v>
      </c>
      <c r="G359" s="772">
        <f t="shared" si="15"/>
        <v>232.53081600000002</v>
      </c>
      <c r="H359" s="63"/>
      <c r="J359" s="768">
        <f t="shared" si="16"/>
        <v>2.3253081600000001</v>
      </c>
    </row>
    <row r="360" spans="1:11">
      <c r="A360" s="121" t="s">
        <v>45</v>
      </c>
      <c r="B360" s="530">
        <v>58.132704000000004</v>
      </c>
      <c r="C360" s="770">
        <f t="shared" si="12"/>
        <v>81.385785600000006</v>
      </c>
      <c r="E360" s="770">
        <f t="shared" si="13"/>
        <v>93.012326400000006</v>
      </c>
      <c r="F360" s="770">
        <f t="shared" si="14"/>
        <v>139.51848960000001</v>
      </c>
      <c r="G360" s="772">
        <f t="shared" si="15"/>
        <v>232.53081600000002</v>
      </c>
      <c r="H360" s="63"/>
      <c r="J360" s="768">
        <f t="shared" si="16"/>
        <v>2.3253081600000001</v>
      </c>
    </row>
    <row r="361" spans="1:11">
      <c r="A361" s="121" t="s">
        <v>46</v>
      </c>
      <c r="B361" s="530">
        <v>57.421849134000006</v>
      </c>
      <c r="C361" s="770">
        <f t="shared" si="12"/>
        <v>80.390588787600009</v>
      </c>
      <c r="E361" s="770">
        <f t="shared" si="13"/>
        <v>91.874958614400001</v>
      </c>
      <c r="F361" s="770">
        <f t="shared" si="14"/>
        <v>137.81243792160001</v>
      </c>
      <c r="G361" s="772">
        <f t="shared" si="15"/>
        <v>229.68739653600002</v>
      </c>
      <c r="H361" s="63"/>
      <c r="J361" s="768">
        <f t="shared" si="16"/>
        <v>2.2968739653600001</v>
      </c>
    </row>
    <row r="362" spans="1:11">
      <c r="A362" s="121" t="s">
        <v>47</v>
      </c>
      <c r="B362" s="530">
        <v>54.338652550400006</v>
      </c>
      <c r="C362" s="770">
        <f t="shared" si="12"/>
        <v>76.074113570560002</v>
      </c>
      <c r="E362" s="770">
        <f t="shared" si="13"/>
        <v>86.94184408064001</v>
      </c>
      <c r="F362" s="770">
        <f t="shared" si="14"/>
        <v>130.41276612096001</v>
      </c>
      <c r="G362" s="772">
        <f t="shared" si="15"/>
        <v>217.3546102016</v>
      </c>
      <c r="H362" s="63"/>
      <c r="J362" s="768">
        <f t="shared" si="16"/>
        <v>2.1735461020160001</v>
      </c>
    </row>
    <row r="363" spans="1:11">
      <c r="A363" s="121" t="s">
        <v>48</v>
      </c>
      <c r="B363" s="530">
        <v>50.862494638000008</v>
      </c>
      <c r="C363" s="770">
        <f t="shared" si="12"/>
        <v>71.207492493200021</v>
      </c>
      <c r="E363" s="770">
        <f t="shared" si="13"/>
        <v>81.379991420800025</v>
      </c>
      <c r="F363" s="770">
        <f t="shared" si="14"/>
        <v>122.06998713120002</v>
      </c>
      <c r="G363" s="772">
        <f t="shared" si="15"/>
        <v>203.44997855200003</v>
      </c>
      <c r="H363" s="63"/>
      <c r="J363" s="768">
        <f t="shared" si="16"/>
        <v>2.0344997855200004</v>
      </c>
    </row>
    <row r="364" spans="1:11">
      <c r="A364" s="121" t="s">
        <v>49</v>
      </c>
      <c r="B364" s="530">
        <v>50.38504162400001</v>
      </c>
      <c r="C364" s="770">
        <f t="shared" si="12"/>
        <v>70.53905827360002</v>
      </c>
      <c r="E364" s="770">
        <f t="shared" si="13"/>
        <v>80.616066598400025</v>
      </c>
      <c r="F364" s="770">
        <f t="shared" si="14"/>
        <v>120.92409989760003</v>
      </c>
      <c r="G364" s="772">
        <f t="shared" si="15"/>
        <v>201.54016649600007</v>
      </c>
      <c r="H364" s="63"/>
      <c r="J364" s="768">
        <f t="shared" si="16"/>
        <v>2.0154016649600006</v>
      </c>
    </row>
    <row r="365" spans="1:11">
      <c r="A365" s="121" t="s">
        <v>50</v>
      </c>
      <c r="B365" s="530">
        <v>50.243055596799991</v>
      </c>
      <c r="C365" s="770">
        <f t="shared" si="12"/>
        <v>70.340277835519984</v>
      </c>
      <c r="E365" s="770">
        <f t="shared" si="13"/>
        <v>80.388888954879988</v>
      </c>
      <c r="F365" s="770">
        <f t="shared" si="14"/>
        <v>120.58333343231998</v>
      </c>
      <c r="G365" s="772">
        <f t="shared" si="15"/>
        <v>200.97222238719996</v>
      </c>
      <c r="H365" s="63"/>
      <c r="J365" s="768">
        <f t="shared" si="16"/>
        <v>2.0097222238719996</v>
      </c>
    </row>
    <row r="366" spans="1:11">
      <c r="A366" s="121" t="s">
        <v>51</v>
      </c>
      <c r="B366" s="530">
        <v>49.725106568000008</v>
      </c>
      <c r="C366" s="770">
        <f t="shared" si="12"/>
        <v>69.615149195200019</v>
      </c>
      <c r="E366" s="770">
        <f t="shared" si="13"/>
        <v>79.560170508800013</v>
      </c>
      <c r="F366" s="770">
        <f t="shared" si="14"/>
        <v>119.34025576320002</v>
      </c>
      <c r="G366" s="772">
        <f t="shared" si="15"/>
        <v>198.90042627200003</v>
      </c>
      <c r="H366" s="63"/>
      <c r="J366" s="768">
        <f t="shared" si="16"/>
        <v>1.9890042627200004</v>
      </c>
    </row>
    <row r="367" spans="1:11">
      <c r="A367" s="123" t="s">
        <v>52</v>
      </c>
      <c r="B367" s="530">
        <v>46.419431878400012</v>
      </c>
      <c r="C367" s="770">
        <f t="shared" si="12"/>
        <v>64.987204629760015</v>
      </c>
      <c r="E367" s="773">
        <f t="shared" si="13"/>
        <v>74.271091005440027</v>
      </c>
      <c r="F367" s="773">
        <f t="shared" si="14"/>
        <v>111.40663650816003</v>
      </c>
      <c r="G367" s="774">
        <f t="shared" si="15"/>
        <v>185.67772751360005</v>
      </c>
      <c r="H367" s="63"/>
      <c r="J367" s="768">
        <f t="shared" si="16"/>
        <v>1.8567772751360005</v>
      </c>
    </row>
    <row r="368" spans="1:11">
      <c r="A368" s="491" t="s">
        <v>7</v>
      </c>
      <c r="B368" s="493">
        <v>55.633265999133336</v>
      </c>
      <c r="C368" s="535">
        <f>AVERAGE(C356:C367)</f>
        <v>77.886572398786669</v>
      </c>
      <c r="D368" s="495" t="e">
        <f>AVERAGE(D356:D367)</f>
        <v>#DIV/0!</v>
      </c>
      <c r="E368" s="535">
        <f>AVERAGE(E356:E367)</f>
        <v>89.013225598613346</v>
      </c>
      <c r="F368" s="493">
        <f>AVERAGE(F356:F367)</f>
        <v>133.51983839792001</v>
      </c>
      <c r="G368" s="493">
        <f>AVERAGE(G356:G367)</f>
        <v>222.53306399653334</v>
      </c>
      <c r="H368" s="63"/>
    </row>
    <row r="369" spans="1:8">
      <c r="A369" s="116"/>
      <c r="C369" s="63"/>
      <c r="G369" s="63"/>
      <c r="H369" s="63"/>
    </row>
    <row r="370" spans="1:8">
      <c r="A370" s="1862" t="s">
        <v>114</v>
      </c>
      <c r="B370" s="531" t="s">
        <v>463</v>
      </c>
      <c r="C370" s="63"/>
      <c r="G370" s="63"/>
      <c r="H370" s="63"/>
    </row>
    <row r="371" spans="1:8">
      <c r="A371" s="1863"/>
      <c r="B371" s="532" t="s">
        <v>464</v>
      </c>
      <c r="C371" s="63"/>
      <c r="G371" s="63"/>
      <c r="H371" s="63"/>
    </row>
    <row r="372" spans="1:8">
      <c r="A372" s="117" t="s">
        <v>41</v>
      </c>
      <c r="B372" s="530">
        <v>39.286110000000001</v>
      </c>
      <c r="C372" s="63"/>
      <c r="G372" s="63"/>
      <c r="H372" s="63"/>
    </row>
    <row r="373" spans="1:8">
      <c r="A373" s="119" t="s">
        <v>42</v>
      </c>
      <c r="B373" s="530">
        <v>39.286110000000001</v>
      </c>
      <c r="C373" s="63"/>
      <c r="G373" s="63"/>
      <c r="H373" s="63"/>
    </row>
    <row r="374" spans="1:8">
      <c r="A374" s="121" t="s">
        <v>43</v>
      </c>
      <c r="B374" s="530">
        <v>37.331439590000009</v>
      </c>
      <c r="C374" s="63"/>
      <c r="G374" s="63"/>
      <c r="H374" s="63"/>
    </row>
    <row r="375" spans="1:8">
      <c r="A375" s="121" t="s">
        <v>44</v>
      </c>
      <c r="B375" s="530">
        <v>41.9008073424</v>
      </c>
      <c r="C375" s="63"/>
      <c r="G375" s="63"/>
      <c r="H375" s="63"/>
    </row>
    <row r="376" spans="1:8">
      <c r="A376" s="121" t="s">
        <v>45</v>
      </c>
      <c r="B376" s="530">
        <v>41.851489999999998</v>
      </c>
      <c r="C376" s="63"/>
      <c r="G376" s="63"/>
      <c r="H376" s="63"/>
    </row>
    <row r="377" spans="1:8">
      <c r="A377" s="121" t="s">
        <v>46</v>
      </c>
      <c r="B377" s="530">
        <v>54.964857433333343</v>
      </c>
      <c r="C377" s="63"/>
      <c r="G377" s="63"/>
      <c r="H377" s="63"/>
    </row>
    <row r="378" spans="1:8">
      <c r="A378" s="121" t="s">
        <v>47</v>
      </c>
      <c r="B378" s="530">
        <v>39.316130912000006</v>
      </c>
      <c r="C378" s="63"/>
      <c r="G378" s="63"/>
      <c r="H378" s="63"/>
    </row>
    <row r="379" spans="1:8">
      <c r="A379" s="121" t="s">
        <v>48</v>
      </c>
      <c r="B379" s="530">
        <v>39.781085156000003</v>
      </c>
      <c r="C379" s="63"/>
      <c r="G379" s="63"/>
      <c r="H379" s="63"/>
    </row>
    <row r="380" spans="1:8">
      <c r="A380" s="121" t="s">
        <v>49</v>
      </c>
      <c r="B380" s="530">
        <v>44.815589712000005</v>
      </c>
      <c r="C380" s="63"/>
      <c r="G380" s="63"/>
      <c r="H380" s="63"/>
    </row>
    <row r="381" spans="1:8">
      <c r="A381" s="121" t="s">
        <v>50</v>
      </c>
      <c r="B381" s="530">
        <v>53.999685908000011</v>
      </c>
      <c r="C381" s="63"/>
      <c r="G381" s="63"/>
      <c r="H381" s="63"/>
    </row>
    <row r="382" spans="1:8">
      <c r="A382" s="121" t="s">
        <v>51</v>
      </c>
      <c r="B382" s="530">
        <v>54.974589968000018</v>
      </c>
      <c r="C382" s="63"/>
      <c r="G382" s="63"/>
      <c r="H382" s="63"/>
    </row>
    <row r="383" spans="1:8">
      <c r="A383" s="123" t="s">
        <v>52</v>
      </c>
      <c r="B383" s="530">
        <v>54.890598233600002</v>
      </c>
      <c r="C383" s="63"/>
      <c r="G383" s="63"/>
      <c r="H383" s="63"/>
    </row>
    <row r="384" spans="1:8">
      <c r="A384" s="491" t="s">
        <v>7</v>
      </c>
      <c r="B384" s="493">
        <v>45.199874521277792</v>
      </c>
      <c r="C384" s="63"/>
      <c r="G384" s="63"/>
      <c r="H384" s="63"/>
    </row>
    <row r="385" spans="1:8">
      <c r="C385" s="63"/>
      <c r="G385" s="63"/>
      <c r="H385" s="63"/>
    </row>
    <row r="386" spans="1:8">
      <c r="A386" s="1866" t="s">
        <v>113</v>
      </c>
      <c r="B386" s="531" t="s">
        <v>463</v>
      </c>
      <c r="C386" s="63"/>
      <c r="G386" s="63"/>
      <c r="H386" s="63"/>
    </row>
    <row r="387" spans="1:8">
      <c r="A387" s="1863"/>
      <c r="B387" s="532" t="s">
        <v>464</v>
      </c>
      <c r="C387" s="63"/>
      <c r="G387" s="63"/>
      <c r="H387" s="63"/>
    </row>
    <row r="388" spans="1:8">
      <c r="A388" s="117" t="s">
        <v>41</v>
      </c>
      <c r="B388" s="530">
        <v>57.374353808000009</v>
      </c>
      <c r="C388" s="63"/>
      <c r="G388" s="63"/>
      <c r="H388" s="63"/>
    </row>
    <row r="389" spans="1:8">
      <c r="A389" s="119" t="s">
        <v>42</v>
      </c>
      <c r="B389" s="530">
        <v>56.159473364</v>
      </c>
      <c r="C389" s="63"/>
      <c r="G389" s="63"/>
      <c r="H389" s="63"/>
    </row>
    <row r="390" spans="1:8">
      <c r="A390" s="121" t="s">
        <v>43</v>
      </c>
      <c r="B390" s="530">
        <v>55.418546278400008</v>
      </c>
      <c r="C390" s="63"/>
      <c r="G390" s="63"/>
      <c r="H390" s="63"/>
    </row>
    <row r="391" spans="1:8">
      <c r="A391" s="121" t="s">
        <v>44</v>
      </c>
      <c r="B391" s="530">
        <v>55.877001162000013</v>
      </c>
      <c r="C391" s="63"/>
    </row>
    <row r="392" spans="1:8">
      <c r="A392" s="121" t="s">
        <v>45</v>
      </c>
      <c r="B392" s="530">
        <v>57.081882590000006</v>
      </c>
      <c r="C392" s="63"/>
    </row>
    <row r="393" spans="1:8">
      <c r="A393" s="121" t="s">
        <v>46</v>
      </c>
      <c r="B393" s="530">
        <v>51.254956016000008</v>
      </c>
      <c r="C393" s="63"/>
    </row>
    <row r="394" spans="1:8">
      <c r="A394" s="121" t="s">
        <v>47</v>
      </c>
      <c r="B394" s="530">
        <v>44.249645406400006</v>
      </c>
      <c r="C394" s="63"/>
    </row>
    <row r="395" spans="1:8">
      <c r="A395" s="121" t="s">
        <v>48</v>
      </c>
      <c r="B395" s="530">
        <v>44.158154410000016</v>
      </c>
      <c r="C395" s="63"/>
    </row>
    <row r="396" spans="1:8">
      <c r="A396" s="121" t="s">
        <v>49</v>
      </c>
      <c r="B396" s="530">
        <v>43.455723536000008</v>
      </c>
      <c r="C396" s="63"/>
    </row>
    <row r="397" spans="1:8">
      <c r="A397" s="121" t="s">
        <v>50</v>
      </c>
      <c r="B397" s="530">
        <v>45.488023538000014</v>
      </c>
      <c r="C397" s="63"/>
    </row>
    <row r="398" spans="1:8">
      <c r="A398" s="121" t="s">
        <v>51</v>
      </c>
      <c r="B398" s="530">
        <v>48.455231536000007</v>
      </c>
      <c r="C398" s="63"/>
    </row>
    <row r="399" spans="1:8">
      <c r="A399" s="123" t="s">
        <v>52</v>
      </c>
      <c r="B399" s="530">
        <v>50.862994588800014</v>
      </c>
      <c r="C399" s="63"/>
    </row>
    <row r="400" spans="1:8">
      <c r="A400" s="491" t="s">
        <v>7</v>
      </c>
      <c r="B400" s="493">
        <v>50.819665519466675</v>
      </c>
      <c r="C400" s="63"/>
    </row>
    <row r="401" spans="1:3">
      <c r="B401" s="75"/>
      <c r="C401" s="63"/>
    </row>
    <row r="402" spans="1:3">
      <c r="A402" s="1864" t="s">
        <v>112</v>
      </c>
      <c r="B402" s="531" t="s">
        <v>463</v>
      </c>
      <c r="C402" s="63"/>
    </row>
    <row r="403" spans="1:3">
      <c r="A403" s="1865"/>
      <c r="B403" s="532" t="s">
        <v>464</v>
      </c>
      <c r="C403" s="63"/>
    </row>
    <row r="404" spans="1:3">
      <c r="A404" s="117" t="s">
        <v>41</v>
      </c>
      <c r="B404" s="530">
        <v>58.039288372000009</v>
      </c>
      <c r="C404" s="63"/>
    </row>
    <row r="405" spans="1:3">
      <c r="A405" s="119" t="s">
        <v>42</v>
      </c>
      <c r="B405" s="530">
        <v>60.766519986000013</v>
      </c>
      <c r="C405" s="63"/>
    </row>
    <row r="406" spans="1:3">
      <c r="A406" s="121" t="s">
        <v>43</v>
      </c>
      <c r="B406" s="530">
        <v>60.868009998400019</v>
      </c>
      <c r="C406" s="63"/>
    </row>
    <row r="407" spans="1:3">
      <c r="A407" s="121" t="s">
        <v>44</v>
      </c>
      <c r="B407" s="530">
        <v>60.924004488000016</v>
      </c>
      <c r="C407" s="63"/>
    </row>
    <row r="408" spans="1:3">
      <c r="A408" s="121" t="s">
        <v>45</v>
      </c>
      <c r="B408" s="530">
        <v>60.876009211200007</v>
      </c>
      <c r="C408" s="63"/>
    </row>
    <row r="409" spans="1:3">
      <c r="A409" s="121" t="s">
        <v>46</v>
      </c>
      <c r="B409" s="530">
        <v>60.886508178000014</v>
      </c>
      <c r="C409" s="63"/>
    </row>
    <row r="410" spans="1:3">
      <c r="A410" s="121" t="s">
        <v>47</v>
      </c>
      <c r="B410" s="530">
        <v>60.749021708000008</v>
      </c>
      <c r="C410" s="63"/>
    </row>
    <row r="411" spans="1:3">
      <c r="A411" s="121" t="s">
        <v>48</v>
      </c>
      <c r="B411" s="530">
        <v>67.886652629333341</v>
      </c>
      <c r="C411" s="63"/>
    </row>
    <row r="412" spans="1:3">
      <c r="A412" s="121" t="s">
        <v>49</v>
      </c>
      <c r="B412" s="530">
        <v>69.975613722000006</v>
      </c>
      <c r="C412" s="63"/>
    </row>
    <row r="413" spans="1:3">
      <c r="A413" s="121" t="s">
        <v>50</v>
      </c>
      <c r="B413" s="530">
        <v>72.042910280000015</v>
      </c>
      <c r="C413" s="63"/>
    </row>
    <row r="414" spans="1:3">
      <c r="A414" s="121" t="s">
        <v>51</v>
      </c>
      <c r="B414" s="530">
        <v>77.566366718400005</v>
      </c>
      <c r="C414" s="63"/>
    </row>
    <row r="415" spans="1:3">
      <c r="A415" s="123" t="s">
        <v>52</v>
      </c>
      <c r="B415" s="530">
        <v>77.562367112000018</v>
      </c>
      <c r="C415" s="63"/>
    </row>
    <row r="416" spans="1:3">
      <c r="A416" s="491" t="s">
        <v>7</v>
      </c>
      <c r="B416" s="493">
        <v>65.678606033611118</v>
      </c>
      <c r="C416" s="63"/>
    </row>
    <row r="417" spans="1:3">
      <c r="C417" s="63"/>
    </row>
    <row r="418" spans="1:3">
      <c r="A418" s="1860" t="s">
        <v>111</v>
      </c>
      <c r="B418" s="531" t="s">
        <v>463</v>
      </c>
      <c r="C418" s="63"/>
    </row>
    <row r="419" spans="1:3">
      <c r="A419" s="1861"/>
      <c r="B419" s="532" t="s">
        <v>464</v>
      </c>
      <c r="C419" s="63"/>
    </row>
    <row r="420" spans="1:3">
      <c r="A420" s="117" t="s">
        <v>41</v>
      </c>
      <c r="B420" s="530">
        <v>76.404481059200009</v>
      </c>
      <c r="C420" s="63"/>
    </row>
    <row r="421" spans="1:3">
      <c r="A421" s="119" t="s">
        <v>42</v>
      </c>
      <c r="B421" s="530">
        <v>71.875426762000018</v>
      </c>
      <c r="C421" s="63"/>
    </row>
    <row r="422" spans="1:3">
      <c r="A422" s="121" t="s">
        <v>43</v>
      </c>
      <c r="B422" s="530">
        <v>70.818030820000018</v>
      </c>
      <c r="C422" s="63"/>
    </row>
    <row r="423" spans="1:3">
      <c r="A423" s="121" t="s">
        <v>44</v>
      </c>
      <c r="B423" s="530">
        <v>73.050311142000027</v>
      </c>
      <c r="C423" s="63"/>
    </row>
    <row r="424" spans="1:3">
      <c r="A424" s="121" t="s">
        <v>45</v>
      </c>
      <c r="B424" s="530">
        <v>63.719729361600024</v>
      </c>
      <c r="C424" s="63"/>
    </row>
    <row r="425" spans="1:3">
      <c r="A425" s="121" t="s">
        <v>46</v>
      </c>
      <c r="B425" s="530">
        <v>60.504045816000009</v>
      </c>
      <c r="C425" s="63"/>
    </row>
    <row r="426" spans="1:3">
      <c r="A426" s="121" t="s">
        <v>47</v>
      </c>
      <c r="B426" s="530">
        <v>60.559040404000008</v>
      </c>
      <c r="C426" s="63"/>
    </row>
    <row r="427" spans="1:3">
      <c r="A427" s="121" t="s">
        <v>48</v>
      </c>
      <c r="B427" s="530">
        <v>65.053598096000016</v>
      </c>
      <c r="C427" s="63"/>
    </row>
    <row r="428" spans="1:3">
      <c r="A428" s="121" t="s">
        <v>49</v>
      </c>
      <c r="B428" s="530">
        <v>83.676765396000008</v>
      </c>
      <c r="C428" s="63"/>
    </row>
    <row r="429" spans="1:3">
      <c r="A429" s="121" t="s">
        <v>50</v>
      </c>
      <c r="B429" s="530">
        <v>90.579086140800015</v>
      </c>
      <c r="C429" s="63"/>
    </row>
    <row r="430" spans="1:3">
      <c r="A430" s="121" t="s">
        <v>51</v>
      </c>
      <c r="B430" s="530">
        <v>93.088339206000015</v>
      </c>
      <c r="C430" s="63"/>
    </row>
    <row r="431" spans="1:3">
      <c r="A431" s="123" t="s">
        <v>52</v>
      </c>
      <c r="B431" s="530">
        <v>95.420609688000013</v>
      </c>
      <c r="C431" s="63"/>
    </row>
    <row r="432" spans="1:3">
      <c r="A432" s="533" t="s">
        <v>7</v>
      </c>
      <c r="B432" s="493">
        <v>75.395788657633332</v>
      </c>
      <c r="C432" s="63"/>
    </row>
    <row r="433" spans="1:3">
      <c r="A433" s="63"/>
      <c r="B433" s="63"/>
      <c r="C433" s="63"/>
    </row>
    <row r="434" spans="1:3">
      <c r="A434" s="1860" t="s">
        <v>110</v>
      </c>
      <c r="B434" s="531" t="s">
        <v>463</v>
      </c>
      <c r="C434" s="63"/>
    </row>
    <row r="435" spans="1:3">
      <c r="A435" s="1861"/>
      <c r="B435" s="532" t="s">
        <v>464</v>
      </c>
      <c r="C435" s="63"/>
    </row>
    <row r="436" spans="1:3">
      <c r="A436" s="117" t="s">
        <v>41</v>
      </c>
      <c r="B436" s="530">
        <v>95.400611656000024</v>
      </c>
      <c r="C436" s="63"/>
    </row>
    <row r="437" spans="1:3">
      <c r="A437" s="119" t="s">
        <v>42</v>
      </c>
      <c r="B437" s="530">
        <v>95.375614116000023</v>
      </c>
      <c r="C437" s="63"/>
    </row>
    <row r="438" spans="1:3">
      <c r="A438" s="121" t="s">
        <v>43</v>
      </c>
      <c r="B438" s="530">
        <v>91.768469094000011</v>
      </c>
      <c r="C438" s="63"/>
    </row>
    <row r="439" spans="1:3">
      <c r="A439" s="121" t="s">
        <v>44</v>
      </c>
      <c r="B439" s="530">
        <v>85.661570072000032</v>
      </c>
      <c r="C439" s="63"/>
    </row>
    <row r="440" spans="1:3">
      <c r="A440" s="121" t="s">
        <v>45</v>
      </c>
      <c r="B440" s="530">
        <v>85.655570662400024</v>
      </c>
      <c r="C440" s="63"/>
    </row>
    <row r="441" spans="1:3">
      <c r="A441" s="121" t="s">
        <v>46</v>
      </c>
      <c r="B441" s="530">
        <v>85.594076714000025</v>
      </c>
      <c r="C441" s="63"/>
    </row>
    <row r="442" spans="1:3">
      <c r="A442" s="121" t="s">
        <v>47</v>
      </c>
      <c r="B442" s="530">
        <v>87.627376617600021</v>
      </c>
      <c r="C442" s="63"/>
    </row>
    <row r="443" spans="1:3">
      <c r="A443" s="121" t="s">
        <v>48</v>
      </c>
      <c r="B443" s="530">
        <v>93.215826660000019</v>
      </c>
      <c r="C443" s="63"/>
    </row>
    <row r="444" spans="1:3">
      <c r="A444" s="121" t="s">
        <v>49</v>
      </c>
      <c r="B444" s="530">
        <v>95.490602800000005</v>
      </c>
      <c r="C444" s="63"/>
    </row>
    <row r="445" spans="1:3">
      <c r="A445" s="121" t="s">
        <v>50</v>
      </c>
      <c r="B445" s="530">
        <v>95.578594140800007</v>
      </c>
      <c r="C445" s="63"/>
    </row>
    <row r="446" spans="1:3">
      <c r="A446" s="121" t="s">
        <v>51</v>
      </c>
      <c r="B446" s="530">
        <v>95.590592960000009</v>
      </c>
      <c r="C446" s="63"/>
    </row>
    <row r="447" spans="1:3">
      <c r="A447" s="123" t="s">
        <v>52</v>
      </c>
      <c r="B447" s="530">
        <v>95.558096158000012</v>
      </c>
      <c r="C447" s="63"/>
    </row>
    <row r="448" spans="1:3">
      <c r="A448" s="534" t="s">
        <v>7</v>
      </c>
      <c r="B448" s="535">
        <v>91.87641680423333</v>
      </c>
      <c r="C448" s="63"/>
    </row>
    <row r="449" spans="1:3" s="79" customFormat="1">
      <c r="A449" s="130"/>
      <c r="B449" s="536"/>
    </row>
    <row r="450" spans="1:3" s="79" customFormat="1">
      <c r="A450" s="1860" t="s">
        <v>108</v>
      </c>
      <c r="B450" s="531" t="s">
        <v>463</v>
      </c>
    </row>
    <row r="451" spans="1:3">
      <c r="A451" s="1861"/>
      <c r="B451" s="532" t="s">
        <v>464</v>
      </c>
      <c r="C451" s="63"/>
    </row>
    <row r="452" spans="1:3">
      <c r="A452" s="117" t="s">
        <v>41</v>
      </c>
      <c r="B452" s="530">
        <v>95.568595124800026</v>
      </c>
      <c r="C452" s="63"/>
    </row>
    <row r="453" spans="1:3">
      <c r="A453" s="119" t="s">
        <v>42</v>
      </c>
      <c r="B453" s="530">
        <v>95.550596896000002</v>
      </c>
      <c r="C453" s="63"/>
    </row>
    <row r="454" spans="1:3">
      <c r="A454" s="121" t="s">
        <v>43</v>
      </c>
      <c r="B454" s="530">
        <v>95.518100094000019</v>
      </c>
      <c r="C454" s="63"/>
    </row>
    <row r="455" spans="1:3">
      <c r="A455" s="121" t="s">
        <v>44</v>
      </c>
      <c r="B455" s="530">
        <v>95.48810304600002</v>
      </c>
      <c r="C455" s="63"/>
    </row>
    <row r="456" spans="1:3">
      <c r="A456" s="121" t="s">
        <v>45</v>
      </c>
      <c r="B456" s="530">
        <v>95.958556748800021</v>
      </c>
      <c r="C456" s="63"/>
    </row>
    <row r="457" spans="1:3">
      <c r="A457" s="121" t="s">
        <v>46</v>
      </c>
      <c r="B457" s="530">
        <v>100.37012260800003</v>
      </c>
      <c r="C457" s="63"/>
    </row>
    <row r="458" spans="1:3">
      <c r="A458" s="121" t="s">
        <v>47</v>
      </c>
      <c r="B458" s="530">
        <v>100.42011768800002</v>
      </c>
      <c r="C458" s="63"/>
    </row>
    <row r="459" spans="1:3">
      <c r="A459" s="121" t="s">
        <v>48</v>
      </c>
      <c r="B459" s="530">
        <v>100.4261170976</v>
      </c>
      <c r="C459" s="63"/>
    </row>
    <row r="460" spans="1:3">
      <c r="A460" s="121" t="s">
        <v>49</v>
      </c>
      <c r="B460" s="530">
        <v>100.43011670400001</v>
      </c>
      <c r="C460" s="63"/>
    </row>
    <row r="461" spans="1:3">
      <c r="A461" s="121" t="s">
        <v>50</v>
      </c>
      <c r="B461" s="530">
        <v>103.31983232800002</v>
      </c>
      <c r="C461" s="63"/>
    </row>
    <row r="462" spans="1:3">
      <c r="A462" s="121" t="s">
        <v>51</v>
      </c>
      <c r="B462" s="530">
        <v>115.29865349600003</v>
      </c>
      <c r="C462" s="63"/>
    </row>
    <row r="463" spans="1:3">
      <c r="A463" s="123" t="s">
        <v>52</v>
      </c>
      <c r="B463" s="530">
        <v>120.35815559200003</v>
      </c>
      <c r="C463" s="63"/>
    </row>
    <row r="464" spans="1:3">
      <c r="A464" s="534" t="s">
        <v>7</v>
      </c>
      <c r="B464" s="493">
        <v>101.55892228526669</v>
      </c>
      <c r="C464" s="63"/>
    </row>
    <row r="465" spans="1:3">
      <c r="A465" s="63"/>
      <c r="B465" s="63"/>
      <c r="C465" s="63"/>
    </row>
    <row r="466" spans="1:3">
      <c r="A466" s="1860" t="s">
        <v>107</v>
      </c>
      <c r="B466" s="531" t="s">
        <v>463</v>
      </c>
      <c r="C466" s="63"/>
    </row>
    <row r="467" spans="1:3">
      <c r="A467" s="1861"/>
      <c r="B467" s="532" t="s">
        <v>464</v>
      </c>
      <c r="C467" s="63"/>
    </row>
    <row r="468" spans="1:3">
      <c r="A468" s="117" t="s">
        <v>41</v>
      </c>
      <c r="B468" s="530">
        <v>120.35815559200003</v>
      </c>
      <c r="C468" s="63"/>
    </row>
    <row r="469" spans="1:3">
      <c r="A469" s="119" t="s">
        <v>42</v>
      </c>
      <c r="B469" s="530">
        <v>120.35815559200003</v>
      </c>
      <c r="C469" s="63"/>
    </row>
    <row r="470" spans="1:3">
      <c r="A470" s="121" t="s">
        <v>43</v>
      </c>
      <c r="B470" s="530">
        <v>121.31806112800004</v>
      </c>
      <c r="C470" s="63"/>
    </row>
    <row r="471" spans="1:3">
      <c r="A471" s="121" t="s">
        <v>44</v>
      </c>
      <c r="B471" s="530">
        <v>125.18018105800002</v>
      </c>
      <c r="C471" s="63"/>
    </row>
    <row r="472" spans="1:3">
      <c r="A472" s="121" t="s">
        <v>45</v>
      </c>
      <c r="B472" s="530">
        <v>129.58224785199999</v>
      </c>
      <c r="C472" s="63"/>
    </row>
    <row r="473" spans="1:3">
      <c r="A473" s="121" t="s">
        <v>46</v>
      </c>
      <c r="B473" s="530">
        <v>131.764533094</v>
      </c>
      <c r="C473" s="63"/>
    </row>
    <row r="474" spans="1:3">
      <c r="A474" s="121" t="s">
        <v>47</v>
      </c>
      <c r="B474" s="530">
        <v>133.20489134880003</v>
      </c>
      <c r="C474" s="63"/>
    </row>
    <row r="475" spans="1:3">
      <c r="A475" s="121" t="s">
        <v>48</v>
      </c>
      <c r="B475" s="530">
        <v>133.57874000000001</v>
      </c>
      <c r="C475" s="63"/>
    </row>
    <row r="476" spans="1:3">
      <c r="A476" s="121" t="s">
        <v>49</v>
      </c>
      <c r="B476" s="530">
        <v>128.91131387840002</v>
      </c>
      <c r="C476" s="63"/>
    </row>
    <row r="477" spans="1:3">
      <c r="A477" s="121" t="s">
        <v>50</v>
      </c>
      <c r="B477" s="530">
        <v>118.24586346200002</v>
      </c>
    </row>
    <row r="478" spans="1:3">
      <c r="A478" s="121" t="s">
        <v>51</v>
      </c>
      <c r="B478" s="530">
        <v>108.80179285000001</v>
      </c>
    </row>
    <row r="479" spans="1:3">
      <c r="A479" s="123" t="s">
        <v>52</v>
      </c>
      <c r="B479" s="530">
        <v>102.70789254880002</v>
      </c>
    </row>
    <row r="480" spans="1:3">
      <c r="A480" s="534" t="s">
        <v>7</v>
      </c>
      <c r="B480" s="493">
        <v>122.83431903366669</v>
      </c>
    </row>
    <row r="482" spans="1:2">
      <c r="A482" s="1860" t="s">
        <v>94</v>
      </c>
      <c r="B482" s="531" t="s">
        <v>463</v>
      </c>
    </row>
    <row r="483" spans="1:2">
      <c r="A483" s="1861"/>
      <c r="B483" s="532" t="s">
        <v>464</v>
      </c>
    </row>
    <row r="484" spans="1:2">
      <c r="A484" s="117" t="s">
        <v>41</v>
      </c>
      <c r="B484" s="530">
        <v>97.95286049000002</v>
      </c>
    </row>
    <row r="485" spans="1:2">
      <c r="A485" s="119" t="s">
        <v>42</v>
      </c>
      <c r="B485" s="530">
        <v>90.856058884000021</v>
      </c>
    </row>
    <row r="486" spans="1:2">
      <c r="A486" s="121" t="s">
        <v>43</v>
      </c>
      <c r="B486" s="530">
        <v>90.521091848000012</v>
      </c>
    </row>
    <row r="487" spans="1:2">
      <c r="A487" s="121" t="s">
        <v>44</v>
      </c>
      <c r="B487" s="530">
        <v>90.483595538000017</v>
      </c>
    </row>
    <row r="488" spans="1:2">
      <c r="A488" s="121" t="s">
        <v>45</v>
      </c>
      <c r="B488" s="530">
        <v>90.481095784000019</v>
      </c>
    </row>
    <row r="489" spans="1:2">
      <c r="A489" s="121" t="s">
        <v>46</v>
      </c>
      <c r="B489" s="530">
        <v>90.481095784000019</v>
      </c>
    </row>
    <row r="490" spans="1:2">
      <c r="A490" s="121" t="s">
        <v>47</v>
      </c>
      <c r="B490" s="530">
        <v>90.481095784000019</v>
      </c>
    </row>
    <row r="491" spans="1:2">
      <c r="A491" s="121" t="s">
        <v>48</v>
      </c>
      <c r="B491" s="530">
        <v>90.28511507040001</v>
      </c>
    </row>
    <row r="492" spans="1:2">
      <c r="A492" s="121" t="s">
        <v>49</v>
      </c>
      <c r="B492" s="537">
        <v>89.99114400000002</v>
      </c>
    </row>
    <row r="493" spans="1:2">
      <c r="A493" s="121" t="s">
        <v>50</v>
      </c>
      <c r="B493" s="537">
        <v>94.990652000000026</v>
      </c>
    </row>
    <row r="494" spans="1:2">
      <c r="A494" s="121" t="s">
        <v>51</v>
      </c>
      <c r="B494" s="537">
        <v>109.98917600000003</v>
      </c>
    </row>
    <row r="495" spans="1:2">
      <c r="A495" s="123" t="s">
        <v>52</v>
      </c>
      <c r="B495" s="537">
        <v>109.98917600000003</v>
      </c>
    </row>
    <row r="496" spans="1:2">
      <c r="A496" s="534" t="s">
        <v>7</v>
      </c>
      <c r="B496" s="493">
        <v>94.708513098533345</v>
      </c>
    </row>
    <row r="498" spans="1:4">
      <c r="A498" s="1860" t="s">
        <v>81</v>
      </c>
      <c r="B498" s="531" t="s">
        <v>463</v>
      </c>
    </row>
    <row r="499" spans="1:4">
      <c r="A499" s="1861"/>
      <c r="B499" s="532" t="s">
        <v>464</v>
      </c>
    </row>
    <row r="500" spans="1:4">
      <c r="A500" s="117" t="s">
        <v>41</v>
      </c>
      <c r="B500" s="537">
        <v>109.98917600000003</v>
      </c>
    </row>
    <row r="501" spans="1:4">
      <c r="A501" s="119" t="s">
        <v>42</v>
      </c>
      <c r="B501" s="537">
        <v>109.98917600000003</v>
      </c>
    </row>
    <row r="502" spans="1:4">
      <c r="A502" s="121" t="s">
        <v>43</v>
      </c>
      <c r="B502" s="537">
        <v>109.98917600000003</v>
      </c>
    </row>
    <row r="503" spans="1:4">
      <c r="A503" s="121" t="s">
        <v>44</v>
      </c>
      <c r="B503" s="537">
        <v>109.98917600000003</v>
      </c>
    </row>
    <row r="504" spans="1:4">
      <c r="A504" s="121" t="s">
        <v>45</v>
      </c>
      <c r="B504" s="537">
        <v>109.98917600000003</v>
      </c>
    </row>
    <row r="505" spans="1:4">
      <c r="A505" s="121" t="s">
        <v>46</v>
      </c>
      <c r="B505" s="537">
        <v>109.98917600000003</v>
      </c>
    </row>
    <row r="506" spans="1:4">
      <c r="A506" s="121" t="s">
        <v>47</v>
      </c>
      <c r="B506" s="537">
        <v>109.98917600000003</v>
      </c>
    </row>
    <row r="507" spans="1:4">
      <c r="A507" s="121" t="s">
        <v>48</v>
      </c>
      <c r="B507" s="537">
        <v>109.98917600000003</v>
      </c>
    </row>
    <row r="508" spans="1:4">
      <c r="A508" s="121" t="s">
        <v>49</v>
      </c>
      <c r="B508" s="537">
        <v>109.98917600000003</v>
      </c>
      <c r="D508" s="63"/>
    </row>
    <row r="509" spans="1:4">
      <c r="A509" s="121" t="s">
        <v>50</v>
      </c>
      <c r="B509" s="537">
        <v>109.98917600000003</v>
      </c>
      <c r="D509" s="63"/>
    </row>
    <row r="510" spans="1:4">
      <c r="A510" s="121" t="s">
        <v>51</v>
      </c>
      <c r="B510" s="537">
        <v>115.98858560000001</v>
      </c>
      <c r="D510" s="63"/>
    </row>
    <row r="511" spans="1:4">
      <c r="A511" s="123" t="s">
        <v>52</v>
      </c>
      <c r="B511" s="537">
        <v>119.98819200000001</v>
      </c>
      <c r="D511" s="63"/>
    </row>
    <row r="512" spans="1:4">
      <c r="A512" s="534" t="s">
        <v>7</v>
      </c>
      <c r="B512" s="493">
        <v>111.32237813333336</v>
      </c>
      <c r="D512" s="63"/>
    </row>
    <row r="513" spans="1:9">
      <c r="D513" s="63"/>
    </row>
    <row r="514" spans="1:9">
      <c r="A514" s="1860" t="s">
        <v>75</v>
      </c>
      <c r="B514" s="531" t="s">
        <v>463</v>
      </c>
      <c r="D514" s="63"/>
    </row>
    <row r="515" spans="1:9">
      <c r="A515" s="1861"/>
      <c r="B515" s="532" t="s">
        <v>464</v>
      </c>
      <c r="D515" s="63"/>
    </row>
    <row r="516" spans="1:9">
      <c r="A516" s="117" t="s">
        <v>41</v>
      </c>
      <c r="B516" s="530">
        <v>127.48745400000003</v>
      </c>
      <c r="D516" s="63"/>
    </row>
    <row r="517" spans="1:9">
      <c r="A517" s="119" t="s">
        <v>42</v>
      </c>
      <c r="B517" s="530">
        <v>129.98720800000004</v>
      </c>
      <c r="D517" s="63"/>
    </row>
    <row r="518" spans="1:9">
      <c r="A518" s="121" t="s">
        <v>43</v>
      </c>
      <c r="B518" s="530">
        <v>129.98720800000004</v>
      </c>
      <c r="D518" s="63"/>
    </row>
    <row r="519" spans="1:9">
      <c r="A519" s="121" t="s">
        <v>44</v>
      </c>
      <c r="B519" s="530">
        <v>129.98720800000004</v>
      </c>
      <c r="D519" s="63"/>
    </row>
    <row r="520" spans="1:9">
      <c r="A520" s="121" t="s">
        <v>45</v>
      </c>
      <c r="B520" s="530">
        <v>129.98720800000004</v>
      </c>
      <c r="D520" s="63"/>
    </row>
    <row r="521" spans="1:9">
      <c r="A521" s="121" t="s">
        <v>46</v>
      </c>
      <c r="B521" s="530">
        <v>130.56715092800005</v>
      </c>
      <c r="D521" s="63"/>
    </row>
    <row r="522" spans="1:9">
      <c r="A522" s="121" t="s">
        <v>47</v>
      </c>
      <c r="B522" s="530">
        <v>130.56715092800005</v>
      </c>
      <c r="D522" s="63"/>
    </row>
    <row r="523" spans="1:9">
      <c r="A523" s="121" t="s">
        <v>48</v>
      </c>
      <c r="B523" s="530">
        <v>129.5352524768</v>
      </c>
      <c r="D523" s="63"/>
    </row>
    <row r="524" spans="1:9">
      <c r="A524" s="121" t="s">
        <v>49</v>
      </c>
      <c r="B524" s="530">
        <v>127.98740480000002</v>
      </c>
      <c r="D524" s="63"/>
    </row>
    <row r="525" spans="1:9">
      <c r="A525" s="121" t="s">
        <v>50</v>
      </c>
      <c r="B525" s="530">
        <v>132.73493759680002</v>
      </c>
      <c r="D525" s="63"/>
      <c r="I525">
        <v>1</v>
      </c>
    </row>
    <row r="526" spans="1:9">
      <c r="A526" s="121" t="s">
        <v>51</v>
      </c>
      <c r="B526" s="530">
        <v>135.98661760000005</v>
      </c>
      <c r="D526" s="63"/>
      <c r="I526">
        <v>2</v>
      </c>
    </row>
    <row r="527" spans="1:9">
      <c r="A527" s="123" t="s">
        <v>52</v>
      </c>
      <c r="B527" s="530">
        <v>137.23649460000001</v>
      </c>
      <c r="D527" s="63"/>
      <c r="H527">
        <v>99</v>
      </c>
      <c r="I527">
        <v>3</v>
      </c>
    </row>
    <row r="528" spans="1:9">
      <c r="A528" s="534" t="s">
        <v>7</v>
      </c>
      <c r="B528" s="493">
        <v>131.00427457746667</v>
      </c>
      <c r="D528" s="63"/>
      <c r="H528">
        <v>109</v>
      </c>
      <c r="I528">
        <v>4</v>
      </c>
    </row>
    <row r="529" spans="1:15">
      <c r="D529" s="63"/>
      <c r="H529">
        <v>109</v>
      </c>
      <c r="I529">
        <v>5</v>
      </c>
    </row>
    <row r="530" spans="1:15">
      <c r="A530" s="1860" t="s">
        <v>56</v>
      </c>
      <c r="B530" s="531" t="s">
        <v>463</v>
      </c>
      <c r="D530" s="63"/>
      <c r="H530">
        <v>109</v>
      </c>
      <c r="I530">
        <v>6</v>
      </c>
    </row>
    <row r="531" spans="1:15">
      <c r="A531" s="1861"/>
      <c r="B531" s="532" t="s">
        <v>464</v>
      </c>
      <c r="D531" s="63"/>
      <c r="H531">
        <f>AVERAGE(H527:H530)</f>
        <v>106.5</v>
      </c>
      <c r="I531">
        <v>7</v>
      </c>
      <c r="J531">
        <v>7</v>
      </c>
      <c r="K531" s="565"/>
      <c r="L531" s="565"/>
      <c r="M531" s="565"/>
      <c r="N531" s="565"/>
      <c r="O531" s="565"/>
    </row>
    <row r="532" spans="1:15">
      <c r="A532" s="117" t="s">
        <v>41</v>
      </c>
      <c r="B532" s="537">
        <v>135.98661760000005</v>
      </c>
      <c r="D532" s="63"/>
      <c r="I532">
        <v>8</v>
      </c>
      <c r="K532" s="565"/>
      <c r="L532" s="565"/>
      <c r="M532" s="565"/>
      <c r="N532" s="565"/>
      <c r="O532" s="565"/>
    </row>
    <row r="533" spans="1:15">
      <c r="A533" s="119" t="s">
        <v>42</v>
      </c>
      <c r="B533" s="537">
        <v>135.98661760000005</v>
      </c>
      <c r="D533" s="63"/>
      <c r="I533">
        <v>9</v>
      </c>
      <c r="K533" s="565"/>
      <c r="L533" s="565"/>
      <c r="M533" s="565"/>
      <c r="N533" s="565"/>
      <c r="O533" s="565"/>
    </row>
    <row r="534" spans="1:15">
      <c r="A534" s="121" t="s">
        <v>43</v>
      </c>
      <c r="B534" s="537">
        <v>116.48853640000003</v>
      </c>
      <c r="D534" s="63"/>
      <c r="I534">
        <v>10</v>
      </c>
      <c r="K534" s="565"/>
      <c r="L534" s="565"/>
      <c r="M534" s="565"/>
      <c r="N534" s="565"/>
      <c r="O534" s="565"/>
    </row>
    <row r="535" spans="1:15">
      <c r="A535" s="121" t="s">
        <v>44</v>
      </c>
      <c r="B535" s="537">
        <v>104.98966800000002</v>
      </c>
      <c r="D535" s="63"/>
      <c r="I535">
        <v>11</v>
      </c>
      <c r="K535" s="565"/>
      <c r="L535" s="565"/>
      <c r="M535" s="565"/>
      <c r="N535" s="565"/>
      <c r="O535" s="565"/>
    </row>
    <row r="536" spans="1:15">
      <c r="A536" s="121" t="s">
        <v>45</v>
      </c>
      <c r="B536" s="537">
        <v>104.98966800000002</v>
      </c>
      <c r="D536" s="63"/>
      <c r="I536">
        <v>12</v>
      </c>
      <c r="K536" s="556"/>
      <c r="L536" s="556"/>
      <c r="M536" s="565"/>
      <c r="N536" s="556"/>
      <c r="O536" s="556"/>
    </row>
    <row r="537" spans="1:15">
      <c r="A537" s="121" t="s">
        <v>46</v>
      </c>
      <c r="B537" s="537">
        <v>104.98966800000002</v>
      </c>
      <c r="D537" s="63"/>
      <c r="I537">
        <v>13</v>
      </c>
      <c r="K537" s="556"/>
      <c r="L537" s="556"/>
      <c r="M537" s="565"/>
      <c r="N537" s="556"/>
      <c r="O537" s="556"/>
    </row>
    <row r="538" spans="1:15">
      <c r="A538" s="121" t="s">
        <v>47</v>
      </c>
      <c r="B538" s="530">
        <v>99.056651866240003</v>
      </c>
      <c r="D538" s="63"/>
      <c r="I538">
        <v>14</v>
      </c>
      <c r="K538" s="565"/>
      <c r="L538" s="565"/>
      <c r="M538" s="565"/>
      <c r="N538" s="565"/>
      <c r="O538" s="565"/>
    </row>
    <row r="539" spans="1:15">
      <c r="A539" s="121" t="s">
        <v>48</v>
      </c>
      <c r="B539" s="530">
        <v>93.984187800000015</v>
      </c>
      <c r="D539" s="63"/>
      <c r="I539">
        <v>15</v>
      </c>
      <c r="K539" s="665"/>
      <c r="L539" s="556"/>
      <c r="M539" s="565"/>
      <c r="N539" s="556"/>
      <c r="O539" s="665"/>
    </row>
    <row r="540" spans="1:15">
      <c r="A540" s="121" t="s">
        <v>49</v>
      </c>
      <c r="B540" s="530">
        <v>85.741562200000004</v>
      </c>
      <c r="D540" s="63"/>
      <c r="I540">
        <v>16</v>
      </c>
      <c r="K540" s="665"/>
      <c r="L540" s="556"/>
      <c r="M540" s="565"/>
      <c r="N540" s="556"/>
      <c r="O540" s="665"/>
    </row>
    <row r="541" spans="1:15">
      <c r="A541" s="121" t="s">
        <v>50</v>
      </c>
      <c r="B541" s="530">
        <v>65.674000000000007</v>
      </c>
      <c r="D541" s="63"/>
      <c r="I541">
        <v>17</v>
      </c>
      <c r="K541" s="665"/>
      <c r="L541" s="565"/>
      <c r="M541" s="565"/>
      <c r="N541" s="565"/>
      <c r="O541" s="665"/>
    </row>
    <row r="542" spans="1:15">
      <c r="A542" s="121" t="s">
        <v>51</v>
      </c>
      <c r="B542" s="530">
        <v>63.33</v>
      </c>
      <c r="D542" s="63"/>
      <c r="I542">
        <v>18</v>
      </c>
      <c r="K542" s="556"/>
      <c r="L542" s="556"/>
      <c r="M542" s="565"/>
      <c r="N542" s="556"/>
      <c r="O542" s="556"/>
    </row>
    <row r="543" spans="1:15">
      <c r="A543" s="123" t="s">
        <v>52</v>
      </c>
      <c r="B543" s="530">
        <v>90</v>
      </c>
      <c r="D543" s="63"/>
      <c r="I543">
        <v>19</v>
      </c>
      <c r="K543" s="556"/>
      <c r="L543" s="556"/>
      <c r="M543" s="565"/>
      <c r="N543" s="556"/>
      <c r="O543" s="556"/>
    </row>
    <row r="544" spans="1:15">
      <c r="A544" s="534" t="s">
        <v>7</v>
      </c>
      <c r="B544" s="493">
        <f>AVERAGE(B532:B543)</f>
        <v>100.10143145552001</v>
      </c>
      <c r="D544" s="63"/>
      <c r="I544">
        <v>20</v>
      </c>
      <c r="K544" s="556"/>
      <c r="L544" s="556"/>
      <c r="M544" s="565"/>
      <c r="N544" s="556"/>
      <c r="O544" s="556"/>
    </row>
    <row r="545" spans="1:15">
      <c r="K545" s="556"/>
      <c r="L545" s="556"/>
      <c r="M545" s="565"/>
      <c r="N545" s="556"/>
      <c r="O545" s="556"/>
    </row>
    <row r="546" spans="1:15">
      <c r="A546" s="1860" t="s">
        <v>472</v>
      </c>
      <c r="B546" s="531" t="s">
        <v>463</v>
      </c>
      <c r="K546" s="556"/>
      <c r="L546" s="556"/>
      <c r="M546" s="565"/>
      <c r="N546" s="556"/>
      <c r="O546" s="556"/>
    </row>
    <row r="547" spans="1:15">
      <c r="A547" s="1861"/>
      <c r="B547" s="532" t="s">
        <v>464</v>
      </c>
      <c r="K547" s="556"/>
      <c r="L547" s="556"/>
      <c r="M547" s="565"/>
      <c r="N547" s="556"/>
      <c r="O547" s="556"/>
    </row>
    <row r="548" spans="1:15">
      <c r="A548" s="117" t="s">
        <v>41</v>
      </c>
      <c r="B548" s="530">
        <v>90</v>
      </c>
      <c r="H548">
        <f>AVERAGE(H525:H547)</f>
        <v>106.5</v>
      </c>
      <c r="K548" s="556"/>
      <c r="L548" s="556"/>
      <c r="M548" s="565"/>
      <c r="N548" s="556"/>
      <c r="O548" s="556"/>
    </row>
    <row r="549" spans="1:15">
      <c r="A549" s="119" t="s">
        <v>42</v>
      </c>
      <c r="B549" s="530">
        <v>99</v>
      </c>
      <c r="K549" s="556"/>
      <c r="L549" s="556"/>
      <c r="M549" s="565"/>
      <c r="N549" s="556"/>
      <c r="O549" s="556"/>
    </row>
    <row r="550" spans="1:15">
      <c r="A550" s="121" t="s">
        <v>43</v>
      </c>
      <c r="B550" s="530">
        <v>106.5</v>
      </c>
      <c r="K550" s="557"/>
      <c r="L550" s="557"/>
      <c r="M550" s="565"/>
      <c r="N550" s="557"/>
      <c r="O550" s="557"/>
    </row>
    <row r="551" spans="1:15">
      <c r="A551" s="121" t="s">
        <v>44</v>
      </c>
      <c r="B551" s="530">
        <v>109</v>
      </c>
      <c r="K551" s="557"/>
      <c r="L551" s="557"/>
      <c r="M551" s="565"/>
      <c r="N551" s="557"/>
      <c r="O551" s="557"/>
    </row>
    <row r="552" spans="1:15">
      <c r="A552" s="121" t="s">
        <v>45</v>
      </c>
      <c r="B552" s="530">
        <v>109</v>
      </c>
      <c r="K552" s="557"/>
      <c r="L552" s="557"/>
      <c r="M552" s="565"/>
      <c r="N552" s="557"/>
      <c r="O552" s="557"/>
    </row>
    <row r="553" spans="1:15">
      <c r="A553" s="121" t="s">
        <v>46</v>
      </c>
      <c r="B553" s="530" t="e">
        <f>+AVERAGE('GLP por Cía 03 a 06'!#REF!)</f>
        <v>#REF!</v>
      </c>
      <c r="K553" s="557"/>
      <c r="L553" s="557"/>
      <c r="M553" s="565"/>
      <c r="N553" s="557"/>
      <c r="O553" s="557"/>
    </row>
    <row r="554" spans="1:15">
      <c r="A554" s="121" t="s">
        <v>47</v>
      </c>
      <c r="B554" s="530" t="e">
        <f>AVERAGE('GLP por Cía 03 a 06'!#REF!)</f>
        <v>#REF!</v>
      </c>
      <c r="K554" s="557"/>
      <c r="L554" s="557"/>
      <c r="M554" s="565"/>
      <c r="N554" s="557"/>
      <c r="O554" s="557"/>
    </row>
    <row r="555" spans="1:15">
      <c r="A555" s="121" t="s">
        <v>48</v>
      </c>
      <c r="B555" s="530" t="e">
        <f>AVERAGE('GLP por Cía 03 a 06'!#REF!)</f>
        <v>#REF!</v>
      </c>
      <c r="K555" s="557"/>
      <c r="L555" s="557"/>
      <c r="M555" s="557"/>
      <c r="N555" s="557"/>
      <c r="O555" s="557"/>
    </row>
    <row r="556" spans="1:15">
      <c r="A556" s="121" t="s">
        <v>49</v>
      </c>
      <c r="B556" s="530">
        <v>130</v>
      </c>
      <c r="K556" s="557"/>
      <c r="L556" s="557"/>
      <c r="M556" s="557"/>
      <c r="N556" s="557"/>
      <c r="O556" s="557"/>
    </row>
    <row r="557" spans="1:15">
      <c r="A557" s="121" t="s">
        <v>50</v>
      </c>
      <c r="B557" s="530">
        <v>130</v>
      </c>
      <c r="K557" s="557"/>
      <c r="L557" s="565"/>
      <c r="M557" s="565"/>
      <c r="N557" s="565"/>
      <c r="O557" s="557"/>
    </row>
    <row r="558" spans="1:15">
      <c r="A558" s="121" t="s">
        <v>51</v>
      </c>
      <c r="B558" s="530">
        <v>130</v>
      </c>
      <c r="K558" s="557"/>
      <c r="L558" s="557"/>
      <c r="M558" s="557"/>
      <c r="N558" s="557"/>
      <c r="O558" s="557"/>
    </row>
    <row r="559" spans="1:15">
      <c r="A559" s="123" t="s">
        <v>52</v>
      </c>
      <c r="B559" s="530" t="e">
        <f>AVERAGE('GLP por Cía 03 a 06'!#REF!)</f>
        <v>#REF!</v>
      </c>
      <c r="K559" s="565"/>
      <c r="L559" s="565"/>
      <c r="M559" s="565"/>
      <c r="N559" s="565"/>
      <c r="O559" s="565"/>
    </row>
    <row r="560" spans="1:15">
      <c r="A560" s="534" t="s">
        <v>7</v>
      </c>
      <c r="B560" s="493" t="e">
        <f>AVERAGE(B548:B559)</f>
        <v>#REF!</v>
      </c>
    </row>
    <row r="562" spans="1:2">
      <c r="A562" s="1860" t="s">
        <v>484</v>
      </c>
      <c r="B562" s="531" t="s">
        <v>463</v>
      </c>
    </row>
    <row r="563" spans="1:2">
      <c r="A563" s="1861"/>
      <c r="B563" s="532" t="s">
        <v>464</v>
      </c>
    </row>
    <row r="564" spans="1:2">
      <c r="A564" s="117" t="s">
        <v>41</v>
      </c>
      <c r="B564" s="530"/>
    </row>
    <row r="565" spans="1:2">
      <c r="A565" s="119" t="s">
        <v>42</v>
      </c>
      <c r="B565" s="530"/>
    </row>
    <row r="566" spans="1:2">
      <c r="A566" s="121" t="s">
        <v>43</v>
      </c>
      <c r="B566" s="530"/>
    </row>
    <row r="567" spans="1:2">
      <c r="A567" s="121" t="s">
        <v>44</v>
      </c>
      <c r="B567" s="530"/>
    </row>
    <row r="568" spans="1:2">
      <c r="A568" s="121" t="s">
        <v>45</v>
      </c>
      <c r="B568" s="530"/>
    </row>
    <row r="569" spans="1:2">
      <c r="A569" s="121" t="s">
        <v>46</v>
      </c>
      <c r="B569" s="530"/>
    </row>
    <row r="570" spans="1:2">
      <c r="A570" s="121" t="s">
        <v>47</v>
      </c>
      <c r="B570" s="530"/>
    </row>
    <row r="571" spans="1:2">
      <c r="A571" s="121" t="s">
        <v>48</v>
      </c>
      <c r="B571" s="530"/>
    </row>
    <row r="572" spans="1:2">
      <c r="A572" s="121" t="s">
        <v>49</v>
      </c>
      <c r="B572" s="530"/>
    </row>
    <row r="573" spans="1:2">
      <c r="A573" s="121" t="s">
        <v>50</v>
      </c>
      <c r="B573" s="530"/>
    </row>
    <row r="574" spans="1:2">
      <c r="A574" s="121" t="s">
        <v>51</v>
      </c>
      <c r="B574" s="530"/>
    </row>
    <row r="575" spans="1:2">
      <c r="A575" s="123" t="s">
        <v>52</v>
      </c>
      <c r="B575" s="530"/>
    </row>
    <row r="576" spans="1:2">
      <c r="A576" s="534" t="s">
        <v>7</v>
      </c>
      <c r="B576" s="493" t="e">
        <f>AVERAGE(B564:B575)</f>
        <v>#DIV/0!</v>
      </c>
    </row>
  </sheetData>
  <mergeCells count="25">
    <mergeCell ref="A252:A253"/>
    <mergeCell ref="A514:A515"/>
    <mergeCell ref="A530:A531"/>
    <mergeCell ref="A272:A273"/>
    <mergeCell ref="A289:A290"/>
    <mergeCell ref="A450:A451"/>
    <mergeCell ref="A466:A467"/>
    <mergeCell ref="A482:A483"/>
    <mergeCell ref="A498:A499"/>
    <mergeCell ref="A434:A435"/>
    <mergeCell ref="A166:A167"/>
    <mergeCell ref="A182:A183"/>
    <mergeCell ref="A199:A200"/>
    <mergeCell ref="A219:A220"/>
    <mergeCell ref="A235:A236"/>
    <mergeCell ref="A562:A563"/>
    <mergeCell ref="A370:A371"/>
    <mergeCell ref="A338:A339"/>
    <mergeCell ref="A305:A306"/>
    <mergeCell ref="A322:A323"/>
    <mergeCell ref="A418:A419"/>
    <mergeCell ref="A402:A403"/>
    <mergeCell ref="A386:A387"/>
    <mergeCell ref="A354:A355"/>
    <mergeCell ref="A546:A547"/>
  </mergeCells>
  <phoneticPr fontId="5" type="noConversion"/>
  <printOptions horizontalCentered="1" verticalCentered="1"/>
  <pageMargins left="0.39370078740157483" right="0.39370078740157483" top="0.59055118110236227" bottom="0.59055118110236227" header="0" footer="0"/>
  <pageSetup scale="90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2"/>
  <dimension ref="A3:R86"/>
  <sheetViews>
    <sheetView view="pageBreakPreview" zoomScaleSheetLayoutView="100" workbookViewId="0">
      <pane ySplit="1" topLeftCell="A2" activePane="bottomLeft" state="frozen"/>
      <selection activeCell="J31" sqref="J31"/>
      <selection pane="bottomLeft" activeCell="A24" sqref="A24"/>
    </sheetView>
  </sheetViews>
  <sheetFormatPr baseColWidth="10" defaultColWidth="11.42578125" defaultRowHeight="12.75"/>
  <cols>
    <col min="1" max="1" width="12.7109375" customWidth="1"/>
    <col min="13" max="13" width="13.5703125" bestFit="1" customWidth="1"/>
  </cols>
  <sheetData>
    <row r="3" spans="4:17" ht="13.5" thickBot="1">
      <c r="E3" t="s">
        <v>160</v>
      </c>
      <c r="G3" s="320">
        <v>41191</v>
      </c>
      <c r="L3" s="320">
        <v>41184</v>
      </c>
    </row>
    <row r="4" spans="4:17" ht="13.5" thickBot="1">
      <c r="L4" s="300">
        <v>20</v>
      </c>
      <c r="M4" s="301">
        <v>25</v>
      </c>
      <c r="N4" s="301">
        <v>35</v>
      </c>
      <c r="O4" s="301">
        <v>40</v>
      </c>
      <c r="P4" s="301">
        <v>60</v>
      </c>
      <c r="Q4" s="302">
        <v>100</v>
      </c>
    </row>
    <row r="5" spans="4:17" ht="13.5" thickBot="1">
      <c r="D5" s="300">
        <v>20</v>
      </c>
      <c r="E5" s="301">
        <v>25</v>
      </c>
      <c r="F5" s="301">
        <v>35</v>
      </c>
      <c r="G5" s="301">
        <v>40</v>
      </c>
      <c r="H5" s="301">
        <v>60</v>
      </c>
      <c r="I5" s="302">
        <v>100</v>
      </c>
      <c r="L5" s="314">
        <v>55</v>
      </c>
      <c r="M5" s="314">
        <v>65</v>
      </c>
      <c r="N5" s="314">
        <v>91</v>
      </c>
      <c r="O5" s="314">
        <v>110</v>
      </c>
      <c r="P5" s="314">
        <v>166</v>
      </c>
      <c r="Q5" s="314">
        <v>276</v>
      </c>
    </row>
    <row r="6" spans="4:17" s="63" customFormat="1">
      <c r="D6" s="314">
        <v>47</v>
      </c>
      <c r="E6" s="314">
        <v>59</v>
      </c>
      <c r="F6" s="314">
        <v>82.6</v>
      </c>
      <c r="G6" s="314">
        <v>94.4</v>
      </c>
      <c r="H6" s="314">
        <v>141.6</v>
      </c>
      <c r="I6" s="314">
        <v>236</v>
      </c>
      <c r="L6" s="314">
        <v>55</v>
      </c>
      <c r="M6" s="314">
        <v>69</v>
      </c>
      <c r="N6" s="314">
        <v>97</v>
      </c>
      <c r="O6" s="314">
        <v>110.4</v>
      </c>
      <c r="P6" s="314">
        <v>166</v>
      </c>
      <c r="Q6" s="314">
        <v>276</v>
      </c>
    </row>
    <row r="7" spans="4:17" s="63" customFormat="1">
      <c r="D7" s="314"/>
      <c r="E7" s="314">
        <v>59</v>
      </c>
      <c r="F7" s="314">
        <v>82.6</v>
      </c>
      <c r="G7" s="314">
        <v>94.4</v>
      </c>
      <c r="H7" s="314">
        <v>141.6</v>
      </c>
      <c r="I7" s="314">
        <v>236</v>
      </c>
      <c r="L7" s="314">
        <v>66.400000000000006</v>
      </c>
      <c r="M7" s="314">
        <v>65</v>
      </c>
      <c r="N7" s="314">
        <v>91</v>
      </c>
      <c r="O7" s="314">
        <v>130</v>
      </c>
      <c r="P7" s="314">
        <v>166</v>
      </c>
      <c r="Q7" s="314">
        <v>276</v>
      </c>
    </row>
    <row r="8" spans="4:17" s="63" customFormat="1">
      <c r="D8" s="314">
        <v>47.2</v>
      </c>
      <c r="E8" s="314">
        <v>59</v>
      </c>
      <c r="F8" s="314">
        <v>82.6</v>
      </c>
      <c r="G8" s="314">
        <v>94.4</v>
      </c>
      <c r="H8" s="314">
        <v>141.6</v>
      </c>
      <c r="I8" s="314">
        <v>236</v>
      </c>
      <c r="L8" s="314">
        <v>55.2</v>
      </c>
      <c r="M8" s="314">
        <v>65</v>
      </c>
      <c r="N8" s="314">
        <v>91</v>
      </c>
      <c r="O8" s="314">
        <v>110</v>
      </c>
      <c r="P8" s="314">
        <v>165</v>
      </c>
      <c r="Q8" s="314">
        <v>260</v>
      </c>
    </row>
    <row r="9" spans="4:17" s="63" customFormat="1">
      <c r="D9" s="314"/>
      <c r="E9" s="314">
        <v>65</v>
      </c>
      <c r="F9" s="314">
        <v>91</v>
      </c>
      <c r="G9" s="314"/>
      <c r="H9" s="314"/>
      <c r="I9" s="314">
        <v>260</v>
      </c>
      <c r="L9" s="314">
        <v>55</v>
      </c>
      <c r="M9" s="314">
        <v>69</v>
      </c>
      <c r="N9" s="314">
        <v>96.6</v>
      </c>
      <c r="O9" s="314">
        <v>110</v>
      </c>
      <c r="P9" s="314">
        <v>165.6</v>
      </c>
      <c r="Q9" s="314">
        <v>260</v>
      </c>
    </row>
    <row r="10" spans="4:17" s="63" customFormat="1">
      <c r="D10" s="314"/>
      <c r="E10" s="314">
        <v>65</v>
      </c>
      <c r="F10" s="314">
        <v>91</v>
      </c>
      <c r="G10" s="314"/>
      <c r="H10" s="314"/>
      <c r="I10" s="314">
        <v>260</v>
      </c>
      <c r="L10" s="314"/>
      <c r="M10" s="314">
        <v>65</v>
      </c>
      <c r="N10" s="314">
        <v>91</v>
      </c>
      <c r="O10" s="314">
        <v>110.4</v>
      </c>
      <c r="P10" s="314">
        <v>190</v>
      </c>
      <c r="Q10" s="314">
        <v>260</v>
      </c>
    </row>
    <row r="11" spans="4:17" s="63" customFormat="1">
      <c r="D11" s="314"/>
      <c r="E11" s="314">
        <v>59</v>
      </c>
      <c r="F11" s="314">
        <v>82.6</v>
      </c>
      <c r="G11" s="314">
        <v>94.4</v>
      </c>
      <c r="H11" s="314">
        <v>141.6</v>
      </c>
      <c r="I11" s="314">
        <v>236</v>
      </c>
      <c r="L11" s="314"/>
      <c r="M11" s="314">
        <v>79</v>
      </c>
      <c r="N11" s="314">
        <v>110</v>
      </c>
      <c r="O11" s="314">
        <v>110.4</v>
      </c>
      <c r="P11" s="314">
        <v>165.6</v>
      </c>
      <c r="Q11" s="314">
        <v>276</v>
      </c>
    </row>
    <row r="12" spans="4:17" s="63" customFormat="1">
      <c r="D12" s="314"/>
      <c r="E12" s="314">
        <v>65</v>
      </c>
      <c r="F12" s="314">
        <v>91</v>
      </c>
      <c r="G12" s="314"/>
      <c r="H12" s="314"/>
      <c r="I12" s="314">
        <v>260</v>
      </c>
      <c r="L12" s="314"/>
      <c r="M12" s="314">
        <v>65</v>
      </c>
      <c r="N12" s="314">
        <v>91</v>
      </c>
      <c r="O12" s="314">
        <v>110.4</v>
      </c>
      <c r="P12" s="314">
        <v>165</v>
      </c>
      <c r="Q12" s="314">
        <v>260</v>
      </c>
    </row>
    <row r="13" spans="4:17" s="63" customFormat="1">
      <c r="D13" s="314"/>
      <c r="E13" s="314">
        <v>65</v>
      </c>
      <c r="F13" s="314">
        <v>91</v>
      </c>
      <c r="G13" s="314"/>
      <c r="H13" s="314"/>
      <c r="I13" s="314">
        <v>260</v>
      </c>
      <c r="L13" s="314"/>
      <c r="M13" s="314">
        <v>69</v>
      </c>
      <c r="N13" s="314">
        <v>96.6</v>
      </c>
      <c r="O13" s="314">
        <v>110.4</v>
      </c>
      <c r="P13" s="314"/>
      <c r="Q13" s="314">
        <v>260</v>
      </c>
    </row>
    <row r="14" spans="4:17" s="63" customFormat="1">
      <c r="D14" s="314"/>
      <c r="E14" s="314">
        <v>65</v>
      </c>
      <c r="F14" s="314">
        <v>91</v>
      </c>
      <c r="G14" s="314">
        <v>104</v>
      </c>
      <c r="H14" s="314">
        <v>156</v>
      </c>
      <c r="I14" s="314">
        <v>260</v>
      </c>
      <c r="L14" s="314"/>
      <c r="M14" s="314">
        <v>69</v>
      </c>
      <c r="N14" s="314">
        <v>96.5</v>
      </c>
      <c r="O14" s="314"/>
      <c r="P14" s="314"/>
      <c r="Q14" s="314">
        <v>276</v>
      </c>
    </row>
    <row r="15" spans="4:17" s="63" customFormat="1">
      <c r="D15" s="314"/>
      <c r="E15" s="314">
        <v>65</v>
      </c>
      <c r="F15" s="314">
        <v>91</v>
      </c>
      <c r="G15" s="314">
        <v>104</v>
      </c>
      <c r="H15" s="314">
        <v>156</v>
      </c>
      <c r="I15" s="314">
        <v>260</v>
      </c>
      <c r="L15" s="315"/>
      <c r="M15" s="314">
        <v>69</v>
      </c>
      <c r="N15" s="314">
        <v>96.6</v>
      </c>
      <c r="O15" s="314"/>
      <c r="P15" s="314"/>
      <c r="Q15" s="314">
        <v>260</v>
      </c>
    </row>
    <row r="16" spans="4:17" s="63" customFormat="1">
      <c r="D16" s="315"/>
      <c r="E16" s="314">
        <v>65</v>
      </c>
      <c r="F16" s="314">
        <v>91</v>
      </c>
      <c r="G16" s="314">
        <v>104</v>
      </c>
      <c r="H16" s="314">
        <v>156</v>
      </c>
      <c r="I16" s="314">
        <v>260</v>
      </c>
      <c r="L16" s="315"/>
      <c r="M16" s="314">
        <v>69</v>
      </c>
      <c r="N16" s="314">
        <v>96.6</v>
      </c>
      <c r="O16" s="314"/>
      <c r="P16" s="314"/>
      <c r="Q16" s="314">
        <v>276</v>
      </c>
    </row>
    <row r="17" spans="4:17" s="63" customFormat="1">
      <c r="D17" s="315"/>
      <c r="E17" s="314">
        <v>65</v>
      </c>
      <c r="F17" s="314">
        <v>91</v>
      </c>
      <c r="G17" s="314">
        <v>104</v>
      </c>
      <c r="H17" s="314">
        <v>156</v>
      </c>
      <c r="I17" s="314">
        <v>260</v>
      </c>
      <c r="L17" s="315"/>
      <c r="M17" s="314">
        <v>69</v>
      </c>
      <c r="N17" s="314">
        <v>96.6</v>
      </c>
      <c r="O17" s="314"/>
      <c r="P17" s="314"/>
      <c r="Q17" s="314">
        <v>260</v>
      </c>
    </row>
    <row r="18" spans="4:17" s="63" customFormat="1">
      <c r="D18" s="315"/>
      <c r="E18" s="314"/>
      <c r="F18" s="314"/>
      <c r="G18" s="314"/>
      <c r="H18" s="314"/>
      <c r="I18" s="314"/>
      <c r="L18" s="315"/>
      <c r="M18" s="314">
        <v>65</v>
      </c>
      <c r="N18" s="314">
        <v>91</v>
      </c>
      <c r="O18" s="314">
        <v>104</v>
      </c>
      <c r="P18" s="314">
        <v>156</v>
      </c>
      <c r="Q18" s="314">
        <v>260</v>
      </c>
    </row>
    <row r="19" spans="4:17" s="63" customFormat="1">
      <c r="D19" s="315"/>
      <c r="E19" s="314"/>
      <c r="F19" s="314"/>
      <c r="G19" s="314"/>
      <c r="H19" s="314"/>
      <c r="I19" s="314"/>
      <c r="L19" s="315"/>
      <c r="M19" s="314">
        <v>65</v>
      </c>
      <c r="N19" s="314">
        <v>91</v>
      </c>
      <c r="O19" s="314"/>
      <c r="P19" s="314"/>
      <c r="Q19" s="314">
        <v>260</v>
      </c>
    </row>
    <row r="20" spans="4:17" s="63" customFormat="1">
      <c r="D20" s="315"/>
      <c r="E20" s="314"/>
      <c r="F20" s="314"/>
      <c r="G20" s="314"/>
      <c r="H20" s="314"/>
      <c r="I20" s="314"/>
      <c r="L20" s="315"/>
      <c r="M20" s="314">
        <v>65</v>
      </c>
      <c r="N20" s="314">
        <v>91</v>
      </c>
      <c r="O20" s="314"/>
      <c r="P20" s="314"/>
      <c r="Q20" s="314">
        <v>276</v>
      </c>
    </row>
    <row r="21" spans="4:17" s="63" customFormat="1">
      <c r="D21" s="315"/>
      <c r="E21" s="314"/>
      <c r="F21" s="314"/>
      <c r="G21" s="314"/>
      <c r="H21" s="314"/>
      <c r="I21" s="314"/>
      <c r="L21" s="315"/>
      <c r="M21" s="314">
        <v>69</v>
      </c>
      <c r="N21" s="314">
        <v>96.6</v>
      </c>
      <c r="O21" s="314"/>
      <c r="P21" s="314"/>
      <c r="Q21" s="314">
        <v>276</v>
      </c>
    </row>
    <row r="22" spans="4:17" s="63" customFormat="1">
      <c r="D22" s="315"/>
      <c r="E22" s="314"/>
      <c r="F22" s="314"/>
      <c r="G22" s="314"/>
      <c r="H22" s="314"/>
      <c r="I22" s="314"/>
    </row>
    <row r="23" spans="4:17" s="63" customFormat="1">
      <c r="D23" s="315"/>
      <c r="E23" s="314"/>
      <c r="F23" s="314"/>
      <c r="G23" s="314"/>
      <c r="H23" s="314"/>
      <c r="I23" s="314"/>
    </row>
    <row r="24" spans="4:17" s="63" customFormat="1" ht="18">
      <c r="D24" s="315"/>
      <c r="E24" s="314"/>
      <c r="F24" s="314"/>
      <c r="G24" s="314"/>
      <c r="H24" s="314"/>
      <c r="I24" s="314"/>
      <c r="L24" s="303">
        <f t="shared" ref="L24:Q24" si="0">AVERAGE(L5:L23)</f>
        <v>57.320000000000007</v>
      </c>
      <c r="M24" s="303">
        <f t="shared" si="0"/>
        <v>67.705882352941174</v>
      </c>
      <c r="N24" s="303">
        <f t="shared" si="0"/>
        <v>94.770588235294099</v>
      </c>
      <c r="O24" s="303">
        <f t="shared" si="0"/>
        <v>111.6</v>
      </c>
      <c r="P24" s="303">
        <f t="shared" si="0"/>
        <v>167.24444444444444</v>
      </c>
      <c r="Q24" s="303">
        <f t="shared" si="0"/>
        <v>267.52941176470586</v>
      </c>
    </row>
    <row r="25" spans="4:17" s="63" customFormat="1">
      <c r="D25" s="314"/>
      <c r="E25" s="314"/>
      <c r="F25" s="314"/>
      <c r="G25" s="314"/>
      <c r="H25" s="314"/>
      <c r="I25" s="314"/>
    </row>
    <row r="26" spans="4:17">
      <c r="D26" s="315"/>
      <c r="E26" s="315"/>
      <c r="F26" s="315"/>
      <c r="G26" s="315"/>
      <c r="H26" s="315"/>
      <c r="I26" s="315"/>
    </row>
    <row r="27" spans="4:17">
      <c r="D27" s="315"/>
      <c r="E27" s="315"/>
      <c r="F27" s="315"/>
      <c r="G27" s="315"/>
      <c r="H27" s="315"/>
      <c r="I27" s="315"/>
    </row>
    <row r="28" spans="4:17">
      <c r="D28" s="190"/>
      <c r="E28" s="190"/>
      <c r="F28" s="190"/>
      <c r="G28" s="190"/>
      <c r="H28" s="190"/>
      <c r="I28" s="190"/>
    </row>
    <row r="29" spans="4:17" ht="18">
      <c r="D29" s="303">
        <f t="shared" ref="D29:I29" si="1">AVERAGE(D6:D28)</f>
        <v>47.1</v>
      </c>
      <c r="E29" s="303">
        <f t="shared" si="1"/>
        <v>63</v>
      </c>
      <c r="F29" s="303">
        <f t="shared" si="1"/>
        <v>88.2</v>
      </c>
      <c r="G29" s="303">
        <f t="shared" si="1"/>
        <v>99.2</v>
      </c>
      <c r="H29" s="303">
        <f t="shared" si="1"/>
        <v>148.80000000000001</v>
      </c>
      <c r="I29" s="303">
        <f t="shared" si="1"/>
        <v>252</v>
      </c>
    </row>
    <row r="32" spans="4:17" ht="13.5" thickBot="1">
      <c r="M32" s="187" t="s">
        <v>161</v>
      </c>
    </row>
    <row r="33" spans="3:18" ht="13.5" thickBot="1">
      <c r="D33" s="187" t="s">
        <v>161</v>
      </c>
      <c r="M33" s="304">
        <v>20</v>
      </c>
      <c r="N33" s="305">
        <v>25</v>
      </c>
      <c r="O33" s="305">
        <v>35</v>
      </c>
      <c r="P33" s="305">
        <v>40</v>
      </c>
      <c r="Q33" s="305">
        <v>60</v>
      </c>
      <c r="R33" s="306">
        <v>100</v>
      </c>
    </row>
    <row r="34" spans="3:18" ht="13.5" thickBot="1">
      <c r="C34" s="63"/>
      <c r="D34" s="304">
        <v>20</v>
      </c>
      <c r="E34" s="305">
        <v>25</v>
      </c>
      <c r="F34" s="305">
        <v>35</v>
      </c>
      <c r="G34" s="305">
        <v>40</v>
      </c>
      <c r="H34" s="305">
        <v>60</v>
      </c>
      <c r="I34" s="306">
        <v>100</v>
      </c>
      <c r="M34" s="63"/>
      <c r="N34" s="63"/>
      <c r="O34" s="63"/>
      <c r="P34" s="63"/>
      <c r="Q34" s="63"/>
      <c r="R34" s="63"/>
    </row>
    <row r="35" spans="3:18" ht="14.25" customHeight="1">
      <c r="C35" s="63"/>
      <c r="D35" s="63"/>
      <c r="E35" s="63"/>
      <c r="F35" s="63"/>
      <c r="G35" s="63"/>
      <c r="H35" s="63"/>
      <c r="I35" s="63"/>
      <c r="M35" s="307">
        <v>55</v>
      </c>
      <c r="N35" s="307">
        <v>69</v>
      </c>
      <c r="O35" s="307">
        <v>97</v>
      </c>
      <c r="P35" s="307">
        <v>110</v>
      </c>
      <c r="Q35" s="307"/>
      <c r="R35" s="307">
        <v>276</v>
      </c>
    </row>
    <row r="36" spans="3:18">
      <c r="C36" s="63"/>
      <c r="D36" s="307">
        <v>47</v>
      </c>
      <c r="E36" s="307">
        <v>59</v>
      </c>
      <c r="F36" s="307">
        <v>82.6</v>
      </c>
      <c r="G36" s="307">
        <v>94.4</v>
      </c>
      <c r="H36" s="307">
        <v>141.6</v>
      </c>
      <c r="I36" s="307">
        <v>236</v>
      </c>
      <c r="M36" s="307">
        <v>55</v>
      </c>
      <c r="N36" s="307">
        <v>69</v>
      </c>
      <c r="O36" s="307">
        <v>96.6</v>
      </c>
      <c r="P36" s="307">
        <v>110.4</v>
      </c>
      <c r="Q36" s="307">
        <v>165.6</v>
      </c>
      <c r="R36" s="307">
        <v>276</v>
      </c>
    </row>
    <row r="37" spans="3:18">
      <c r="C37" s="63"/>
      <c r="D37" s="307"/>
      <c r="E37" s="307">
        <v>59</v>
      </c>
      <c r="F37" s="307">
        <v>82.6</v>
      </c>
      <c r="G37" s="307">
        <v>94.4</v>
      </c>
      <c r="H37" s="307">
        <v>141.6</v>
      </c>
      <c r="I37" s="307">
        <v>236</v>
      </c>
      <c r="M37" s="307">
        <v>66.400000000000006</v>
      </c>
      <c r="N37" s="307">
        <v>79</v>
      </c>
      <c r="O37" s="307">
        <v>110</v>
      </c>
      <c r="P37" s="307">
        <v>130</v>
      </c>
      <c r="Q37" s="307">
        <v>190</v>
      </c>
      <c r="R37" s="307">
        <v>312</v>
      </c>
    </row>
    <row r="38" spans="3:18">
      <c r="C38" s="63"/>
      <c r="D38" s="307">
        <v>47.2</v>
      </c>
      <c r="E38" s="307">
        <v>59</v>
      </c>
      <c r="F38" s="307">
        <v>82.6</v>
      </c>
      <c r="G38" s="307">
        <v>94.4</v>
      </c>
      <c r="H38" s="307">
        <v>141.6</v>
      </c>
      <c r="I38" s="307">
        <v>236</v>
      </c>
      <c r="M38" s="307">
        <v>55.2</v>
      </c>
      <c r="N38" s="307">
        <v>69</v>
      </c>
      <c r="O38" s="307">
        <v>96.6</v>
      </c>
      <c r="P38" s="307">
        <v>110</v>
      </c>
      <c r="Q38" s="307">
        <v>165.6</v>
      </c>
      <c r="R38" s="307">
        <v>276</v>
      </c>
    </row>
    <row r="39" spans="3:18">
      <c r="C39" s="63"/>
      <c r="D39" s="307"/>
      <c r="E39" s="307">
        <v>59</v>
      </c>
      <c r="F39" s="307">
        <v>82.6</v>
      </c>
      <c r="G39" s="307">
        <v>94.4</v>
      </c>
      <c r="H39" s="307">
        <v>141.6</v>
      </c>
      <c r="I39" s="307">
        <v>236</v>
      </c>
      <c r="M39" s="307">
        <v>55</v>
      </c>
      <c r="N39" s="307">
        <v>69</v>
      </c>
      <c r="O39" s="307">
        <v>96.5</v>
      </c>
      <c r="P39" s="307">
        <v>110</v>
      </c>
      <c r="Q39" s="307">
        <v>165</v>
      </c>
      <c r="R39" s="307">
        <v>276</v>
      </c>
    </row>
    <row r="40" spans="3:18">
      <c r="C40" s="63"/>
      <c r="D40" s="307"/>
      <c r="E40" s="307"/>
      <c r="F40" s="307"/>
      <c r="G40" s="307"/>
      <c r="H40" s="307"/>
      <c r="I40" s="307"/>
      <c r="M40" s="307"/>
      <c r="N40" s="307">
        <v>69</v>
      </c>
      <c r="O40" s="307">
        <v>96.6</v>
      </c>
      <c r="P40" s="307">
        <v>110.4</v>
      </c>
      <c r="Q40" s="307">
        <v>166</v>
      </c>
      <c r="R40" s="307">
        <v>276</v>
      </c>
    </row>
    <row r="41" spans="3:18">
      <c r="C41" s="63"/>
      <c r="D41" s="307"/>
      <c r="E41" s="307"/>
      <c r="F41" s="307"/>
      <c r="G41" s="307"/>
      <c r="H41" s="307"/>
      <c r="I41" s="307"/>
      <c r="M41" s="307"/>
      <c r="N41" s="307">
        <v>69</v>
      </c>
      <c r="O41" s="307">
        <v>96.6</v>
      </c>
      <c r="P41" s="307">
        <v>110.4</v>
      </c>
      <c r="Q41" s="307">
        <v>166</v>
      </c>
      <c r="R41" s="307">
        <v>276</v>
      </c>
    </row>
    <row r="42" spans="3:18">
      <c r="C42" s="63"/>
      <c r="D42" s="307"/>
      <c r="E42" s="307"/>
      <c r="F42" s="307"/>
      <c r="G42" s="307"/>
      <c r="H42" s="307"/>
      <c r="I42" s="307"/>
      <c r="M42" s="307"/>
      <c r="N42" s="307">
        <v>69</v>
      </c>
      <c r="O42" s="307">
        <v>96.6</v>
      </c>
      <c r="P42" s="307">
        <v>110.4</v>
      </c>
      <c r="Q42" s="307">
        <v>166</v>
      </c>
      <c r="R42" s="307">
        <v>276</v>
      </c>
    </row>
    <row r="43" spans="3:18">
      <c r="C43" s="63"/>
      <c r="D43" s="307"/>
      <c r="E43" s="307"/>
      <c r="F43" s="307"/>
      <c r="G43" s="307"/>
      <c r="H43" s="307"/>
      <c r="I43" s="307"/>
      <c r="M43" s="307"/>
      <c r="N43" s="308">
        <v>69</v>
      </c>
      <c r="O43" s="308">
        <v>96.6</v>
      </c>
      <c r="P43" s="308">
        <v>110.4</v>
      </c>
      <c r="Q43" s="308"/>
      <c r="R43" s="308"/>
    </row>
    <row r="44" spans="3:18">
      <c r="C44" s="63"/>
      <c r="D44" s="307"/>
      <c r="E44" s="308"/>
      <c r="F44" s="308"/>
      <c r="G44" s="308"/>
      <c r="H44" s="308"/>
      <c r="I44" s="308"/>
      <c r="M44" s="308"/>
      <c r="N44" s="308"/>
      <c r="O44" s="308"/>
      <c r="P44" s="308"/>
      <c r="Q44" s="308"/>
      <c r="R44" s="308"/>
    </row>
    <row r="45" spans="3:18">
      <c r="C45" s="63"/>
      <c r="D45" s="308"/>
      <c r="E45" s="308"/>
      <c r="F45" s="308"/>
      <c r="G45" s="308"/>
      <c r="H45" s="308"/>
      <c r="I45" s="308"/>
      <c r="M45" s="75"/>
      <c r="N45" s="75"/>
      <c r="O45" s="75"/>
      <c r="P45" s="75"/>
      <c r="Q45" s="75"/>
      <c r="R45" s="75"/>
    </row>
    <row r="46" spans="3:18">
      <c r="C46" s="63"/>
      <c r="D46" s="75"/>
      <c r="E46" s="75"/>
      <c r="F46" s="75"/>
      <c r="G46" s="75"/>
      <c r="H46" s="75"/>
      <c r="I46" s="75"/>
      <c r="M46" s="310">
        <f t="shared" ref="M46:R46" si="2">AVERAGE(M35:M44)</f>
        <v>57.320000000000007</v>
      </c>
      <c r="N46" s="310">
        <f t="shared" si="2"/>
        <v>70.111111111111114</v>
      </c>
      <c r="O46" s="310">
        <f t="shared" si="2"/>
        <v>98.122222222222234</v>
      </c>
      <c r="P46" s="310">
        <f t="shared" si="2"/>
        <v>112.44444444444443</v>
      </c>
      <c r="Q46" s="310">
        <f t="shared" si="2"/>
        <v>169.17142857142858</v>
      </c>
      <c r="R46" s="310">
        <f t="shared" si="2"/>
        <v>280.5</v>
      </c>
    </row>
    <row r="47" spans="3:18">
      <c r="C47" s="63"/>
      <c r="D47" s="310">
        <f t="shared" ref="D47:I47" si="3">AVERAGE(D36:D45)</f>
        <v>47.1</v>
      </c>
      <c r="E47" s="310">
        <f t="shared" si="3"/>
        <v>59</v>
      </c>
      <c r="F47" s="310">
        <f t="shared" si="3"/>
        <v>82.6</v>
      </c>
      <c r="G47" s="310">
        <f t="shared" si="3"/>
        <v>94.4</v>
      </c>
      <c r="H47" s="310">
        <f t="shared" si="3"/>
        <v>141.6</v>
      </c>
      <c r="I47" s="310">
        <f t="shared" si="3"/>
        <v>236</v>
      </c>
      <c r="M47" s="75"/>
      <c r="N47" s="75"/>
      <c r="O47" s="75"/>
      <c r="P47" s="75"/>
      <c r="Q47" s="75"/>
      <c r="R47" s="75"/>
    </row>
    <row r="48" spans="3:18">
      <c r="C48" s="63"/>
      <c r="D48" s="75"/>
      <c r="E48" s="75"/>
      <c r="F48" s="75"/>
      <c r="G48" s="75"/>
      <c r="H48" s="75"/>
      <c r="I48" s="75"/>
      <c r="M48" s="75"/>
      <c r="N48" s="75"/>
      <c r="O48" s="75"/>
      <c r="P48" s="75"/>
      <c r="Q48" s="75"/>
      <c r="R48" s="75"/>
    </row>
    <row r="49" spans="3:18">
      <c r="C49" s="63"/>
      <c r="D49" s="75"/>
      <c r="E49" s="75"/>
      <c r="F49" s="75"/>
      <c r="G49" s="75"/>
      <c r="H49" s="75"/>
      <c r="I49" s="75"/>
    </row>
    <row r="50" spans="3:18">
      <c r="C50" s="63"/>
    </row>
    <row r="51" spans="3:18">
      <c r="C51" s="63"/>
    </row>
    <row r="52" spans="3:18" ht="13.5" thickBot="1">
      <c r="M52" t="s">
        <v>162</v>
      </c>
      <c r="P52" t="s">
        <v>148</v>
      </c>
    </row>
    <row r="53" spans="3:18" ht="13.5" thickBot="1">
      <c r="D53" t="s">
        <v>162</v>
      </c>
      <c r="G53" t="s">
        <v>148</v>
      </c>
      <c r="M53" s="311">
        <v>20</v>
      </c>
      <c r="N53" s="312">
        <v>25</v>
      </c>
      <c r="O53" s="312">
        <v>35</v>
      </c>
      <c r="P53" s="312">
        <v>40</v>
      </c>
      <c r="Q53" s="312">
        <v>60</v>
      </c>
      <c r="R53" s="313">
        <v>100</v>
      </c>
    </row>
    <row r="54" spans="3:18" ht="13.5" thickBot="1">
      <c r="D54" s="311">
        <v>20</v>
      </c>
      <c r="E54" s="312">
        <v>25</v>
      </c>
      <c r="F54" s="312">
        <v>35</v>
      </c>
      <c r="G54" s="312">
        <v>40</v>
      </c>
      <c r="H54" s="312">
        <v>60</v>
      </c>
      <c r="I54" s="313">
        <v>100</v>
      </c>
      <c r="M54" s="63"/>
      <c r="N54" s="63"/>
      <c r="O54" s="63"/>
      <c r="P54" s="63"/>
      <c r="Q54" s="63"/>
      <c r="R54" s="63"/>
    </row>
    <row r="55" spans="3:18">
      <c r="D55" s="63"/>
      <c r="E55" s="63"/>
      <c r="F55" s="63"/>
      <c r="G55" s="63"/>
      <c r="H55" s="63"/>
      <c r="I55" s="63"/>
      <c r="M55" s="307"/>
      <c r="N55" s="307">
        <v>65</v>
      </c>
      <c r="O55" s="307">
        <v>91</v>
      </c>
      <c r="P55" s="307"/>
      <c r="Q55" s="307"/>
      <c r="R55" s="307">
        <v>260</v>
      </c>
    </row>
    <row r="56" spans="3:18">
      <c r="D56" s="307"/>
      <c r="E56" s="307">
        <v>65</v>
      </c>
      <c r="F56" s="307">
        <v>91</v>
      </c>
      <c r="G56" s="307"/>
      <c r="H56" s="307"/>
      <c r="I56" s="307">
        <v>260</v>
      </c>
      <c r="M56" s="307"/>
      <c r="N56" s="307">
        <v>65</v>
      </c>
      <c r="O56" s="307">
        <v>91</v>
      </c>
      <c r="P56" s="307"/>
      <c r="Q56" s="307"/>
      <c r="R56" s="307">
        <v>260</v>
      </c>
    </row>
    <row r="57" spans="3:18">
      <c r="D57" s="307"/>
      <c r="E57" s="307">
        <v>65</v>
      </c>
      <c r="F57" s="307">
        <v>91</v>
      </c>
      <c r="G57" s="307"/>
      <c r="H57" s="307"/>
      <c r="I57" s="307">
        <v>260</v>
      </c>
      <c r="M57" s="307"/>
      <c r="N57" s="307">
        <v>65</v>
      </c>
      <c r="O57" s="307">
        <v>91</v>
      </c>
      <c r="P57" s="307"/>
      <c r="Q57" s="307"/>
      <c r="R57" s="307">
        <v>260</v>
      </c>
    </row>
    <row r="58" spans="3:18">
      <c r="D58" s="307"/>
      <c r="E58" s="307">
        <v>65</v>
      </c>
      <c r="F58" s="307">
        <v>91</v>
      </c>
      <c r="G58" s="307"/>
      <c r="H58" s="307"/>
      <c r="I58" s="307">
        <v>260</v>
      </c>
      <c r="M58" s="307"/>
      <c r="N58" s="307">
        <v>65</v>
      </c>
      <c r="O58" s="307">
        <v>91</v>
      </c>
      <c r="P58" s="307"/>
      <c r="Q58" s="307"/>
      <c r="R58" s="307">
        <v>260</v>
      </c>
    </row>
    <row r="59" spans="3:18">
      <c r="D59" s="307"/>
      <c r="E59" s="307">
        <v>65</v>
      </c>
      <c r="F59" s="307">
        <v>91</v>
      </c>
      <c r="G59" s="307"/>
      <c r="H59" s="307"/>
      <c r="I59" s="307">
        <v>260</v>
      </c>
      <c r="M59" s="307"/>
      <c r="N59" s="307">
        <v>65</v>
      </c>
      <c r="O59" s="307" t="s">
        <v>165</v>
      </c>
      <c r="P59" s="307"/>
      <c r="Q59" s="307"/>
      <c r="R59" s="307"/>
    </row>
    <row r="60" spans="3:18">
      <c r="D60" s="307"/>
      <c r="E60" s="307"/>
      <c r="F60" s="307"/>
      <c r="G60" s="307"/>
      <c r="H60" s="307"/>
      <c r="I60" s="307"/>
      <c r="M60" s="307"/>
      <c r="N60" s="307"/>
      <c r="O60" s="307"/>
      <c r="P60" s="307"/>
      <c r="Q60" s="307"/>
      <c r="R60" s="307"/>
    </row>
    <row r="61" spans="3:18">
      <c r="D61" s="307"/>
      <c r="E61" s="307"/>
      <c r="F61" s="307"/>
      <c r="G61" s="307"/>
      <c r="H61" s="307"/>
      <c r="I61" s="307"/>
      <c r="M61" s="307"/>
      <c r="N61" s="307"/>
      <c r="O61" s="307"/>
      <c r="P61" s="307"/>
      <c r="Q61" s="307"/>
      <c r="R61" s="307"/>
    </row>
    <row r="62" spans="3:18">
      <c r="D62" s="307"/>
      <c r="E62" s="307"/>
      <c r="F62" s="307"/>
      <c r="G62" s="307"/>
      <c r="H62" s="307"/>
      <c r="I62" s="307"/>
      <c r="M62" s="307"/>
      <c r="N62" s="307"/>
      <c r="O62" s="307"/>
      <c r="P62" s="307"/>
      <c r="Q62" s="307"/>
      <c r="R62" s="307"/>
    </row>
    <row r="63" spans="3:18">
      <c r="D63" s="307"/>
      <c r="E63" s="307"/>
      <c r="F63" s="307"/>
      <c r="G63" s="307"/>
      <c r="H63" s="307"/>
      <c r="I63" s="307"/>
      <c r="M63" s="307"/>
      <c r="N63" s="307"/>
      <c r="O63" s="307"/>
      <c r="P63" s="307"/>
      <c r="Q63" s="307"/>
      <c r="R63" s="307"/>
    </row>
    <row r="64" spans="3:18">
      <c r="D64" s="307"/>
      <c r="E64" s="307"/>
      <c r="F64" s="307"/>
      <c r="G64" s="307"/>
      <c r="H64" s="307"/>
      <c r="I64" s="307"/>
      <c r="M64" s="307"/>
      <c r="N64" s="307"/>
      <c r="O64" s="307"/>
      <c r="P64" s="307"/>
      <c r="Q64" s="307"/>
      <c r="R64" s="307"/>
    </row>
    <row r="65" spans="1:18">
      <c r="D65" s="307"/>
      <c r="E65" s="307"/>
      <c r="F65" s="307"/>
      <c r="G65" s="307"/>
      <c r="H65" s="307"/>
      <c r="I65" s="307"/>
      <c r="M65" s="307"/>
      <c r="N65" s="307"/>
      <c r="O65" s="307"/>
      <c r="P65" s="307"/>
      <c r="Q65" s="307"/>
      <c r="R65" s="307"/>
    </row>
    <row r="66" spans="1:18">
      <c r="D66" s="307"/>
      <c r="E66" s="307"/>
      <c r="F66" s="307"/>
      <c r="G66" s="307"/>
      <c r="H66" s="307"/>
      <c r="I66" s="307"/>
      <c r="M66" s="307"/>
      <c r="N66" s="307"/>
      <c r="O66" s="307"/>
      <c r="P66" s="307"/>
      <c r="Q66" s="307"/>
      <c r="R66" s="307"/>
    </row>
    <row r="67" spans="1:18">
      <c r="D67" s="307"/>
      <c r="E67" s="307"/>
      <c r="F67" s="307"/>
      <c r="G67" s="307"/>
      <c r="H67" s="307"/>
      <c r="I67" s="307"/>
      <c r="M67" s="307"/>
      <c r="N67" s="308"/>
      <c r="O67" s="308"/>
      <c r="P67" s="308"/>
      <c r="Q67" s="308"/>
      <c r="R67" s="308"/>
    </row>
    <row r="68" spans="1:18">
      <c r="D68" s="307"/>
      <c r="E68" s="308"/>
      <c r="F68" s="308"/>
      <c r="G68" s="308"/>
      <c r="H68" s="308"/>
      <c r="I68" s="308"/>
      <c r="M68" s="307"/>
      <c r="N68" s="308"/>
      <c r="O68" s="308"/>
      <c r="P68" s="308"/>
      <c r="Q68" s="308"/>
      <c r="R68" s="308"/>
    </row>
    <row r="69" spans="1:18">
      <c r="A69" t="s">
        <v>163</v>
      </c>
      <c r="D69" s="307"/>
      <c r="E69" s="308"/>
      <c r="F69" s="308"/>
      <c r="G69" s="308"/>
      <c r="H69" s="308"/>
      <c r="I69" s="308"/>
      <c r="M69" s="307"/>
      <c r="N69" s="308"/>
      <c r="O69" s="308"/>
      <c r="P69" s="308"/>
      <c r="Q69" s="308"/>
      <c r="R69" s="308"/>
    </row>
    <row r="70" spans="1:18">
      <c r="D70" s="307"/>
      <c r="E70" s="308"/>
      <c r="F70" s="308"/>
      <c r="G70" s="308"/>
      <c r="H70" s="308"/>
      <c r="I70" s="308"/>
      <c r="M70" s="307"/>
      <c r="N70" s="308"/>
      <c r="O70" s="308"/>
      <c r="P70" s="308"/>
      <c r="Q70" s="308"/>
      <c r="R70" s="308"/>
    </row>
    <row r="71" spans="1:18">
      <c r="D71" s="307"/>
      <c r="E71" s="308"/>
      <c r="F71" s="308"/>
      <c r="G71" s="308"/>
      <c r="H71" s="308"/>
      <c r="I71" s="308"/>
      <c r="M71" s="308"/>
      <c r="N71" s="308"/>
      <c r="O71" s="308"/>
      <c r="P71" s="308"/>
      <c r="Q71" s="308"/>
      <c r="R71" s="308"/>
    </row>
    <row r="72" spans="1:18">
      <c r="D72" s="308"/>
      <c r="E72" s="308"/>
      <c r="F72" s="308"/>
      <c r="G72" s="308"/>
      <c r="H72" s="308"/>
      <c r="I72" s="308"/>
      <c r="M72" s="75"/>
      <c r="N72" s="75"/>
      <c r="O72" s="75"/>
      <c r="P72" s="75"/>
      <c r="Q72" s="75"/>
      <c r="R72" s="75"/>
    </row>
    <row r="73" spans="1:18">
      <c r="D73" s="75"/>
      <c r="E73" s="75"/>
      <c r="F73" s="75"/>
      <c r="G73" s="75"/>
      <c r="H73" s="75"/>
      <c r="I73" s="75"/>
      <c r="M73" s="309" t="e">
        <f t="shared" ref="M73:R73" si="4">AVERAGE(M55:M71)</f>
        <v>#DIV/0!</v>
      </c>
      <c r="N73" s="309">
        <f t="shared" si="4"/>
        <v>65</v>
      </c>
      <c r="O73" s="309">
        <f t="shared" si="4"/>
        <v>91</v>
      </c>
      <c r="P73" s="309" t="e">
        <f t="shared" si="4"/>
        <v>#DIV/0!</v>
      </c>
      <c r="Q73" s="310" t="e">
        <f t="shared" si="4"/>
        <v>#DIV/0!</v>
      </c>
      <c r="R73" s="309">
        <f t="shared" si="4"/>
        <v>260</v>
      </c>
    </row>
    <row r="74" spans="1:18">
      <c r="D74" s="309" t="e">
        <f t="shared" ref="D74:I74" si="5">AVERAGE(D56:D72)</f>
        <v>#DIV/0!</v>
      </c>
      <c r="E74" s="309">
        <f t="shared" si="5"/>
        <v>65</v>
      </c>
      <c r="F74" s="309">
        <f t="shared" si="5"/>
        <v>91</v>
      </c>
      <c r="G74" s="322" t="s">
        <v>126</v>
      </c>
      <c r="H74" s="322" t="s">
        <v>126</v>
      </c>
      <c r="I74" s="309">
        <f t="shared" si="5"/>
        <v>260</v>
      </c>
    </row>
    <row r="79" spans="1:18" ht="13.5" thickBot="1">
      <c r="M79" t="s">
        <v>164</v>
      </c>
    </row>
    <row r="80" spans="1:18" ht="13.5" thickBot="1">
      <c r="D80" t="s">
        <v>164</v>
      </c>
      <c r="M80" s="304">
        <v>20</v>
      </c>
      <c r="N80" s="305">
        <v>25</v>
      </c>
      <c r="O80" s="305">
        <v>35</v>
      </c>
      <c r="P80" s="305">
        <v>40</v>
      </c>
      <c r="Q80" s="305">
        <v>60</v>
      </c>
      <c r="R80" s="306">
        <v>100</v>
      </c>
    </row>
    <row r="81" spans="3:18" ht="13.5" thickBot="1">
      <c r="C81">
        <v>20</v>
      </c>
      <c r="D81" s="304">
        <v>20</v>
      </c>
      <c r="E81" s="305">
        <v>25</v>
      </c>
      <c r="F81" s="305">
        <v>35</v>
      </c>
      <c r="G81" s="305">
        <v>40</v>
      </c>
      <c r="H81" s="305">
        <v>60</v>
      </c>
      <c r="I81" s="306">
        <v>100</v>
      </c>
      <c r="N81" s="308">
        <v>94</v>
      </c>
      <c r="O81" s="308">
        <v>132</v>
      </c>
      <c r="P81" s="308"/>
      <c r="Q81" s="308"/>
      <c r="R81" s="308">
        <v>376</v>
      </c>
    </row>
    <row r="82" spans="3:18">
      <c r="C82">
        <v>25</v>
      </c>
      <c r="E82" s="308">
        <v>65</v>
      </c>
      <c r="F82" s="308">
        <v>91</v>
      </c>
      <c r="G82" s="308">
        <v>104</v>
      </c>
      <c r="H82" s="308">
        <v>156</v>
      </c>
      <c r="I82" s="308">
        <v>260</v>
      </c>
      <c r="N82" s="308">
        <v>94</v>
      </c>
      <c r="O82" s="308">
        <v>132</v>
      </c>
      <c r="P82" s="308"/>
      <c r="Q82" s="308"/>
      <c r="R82" s="308">
        <v>376</v>
      </c>
    </row>
    <row r="83" spans="3:18">
      <c r="C83">
        <v>35</v>
      </c>
      <c r="E83" s="308">
        <v>65</v>
      </c>
      <c r="F83" s="308">
        <v>91</v>
      </c>
      <c r="G83" s="308">
        <v>104</v>
      </c>
      <c r="H83" s="308">
        <v>156</v>
      </c>
      <c r="I83" s="308">
        <v>260</v>
      </c>
    </row>
    <row r="84" spans="3:18">
      <c r="C84">
        <v>40</v>
      </c>
    </row>
    <row r="85" spans="3:18">
      <c r="C85">
        <v>60</v>
      </c>
      <c r="E85" s="321">
        <f>AVERAGE(E82:E83)</f>
        <v>65</v>
      </c>
      <c r="F85" s="321">
        <f>AVERAGE(F82:F83)</f>
        <v>91</v>
      </c>
      <c r="G85" s="321">
        <f>AVERAGE(G82:G83)</f>
        <v>104</v>
      </c>
      <c r="H85" s="321">
        <f>AVERAGE(H82:H83)</f>
        <v>156</v>
      </c>
      <c r="I85" s="321">
        <f>AVERAGE(I82:I83)</f>
        <v>260</v>
      </c>
    </row>
    <row r="86" spans="3:18">
      <c r="C86">
        <v>100</v>
      </c>
      <c r="E86" t="s">
        <v>148</v>
      </c>
    </row>
  </sheetData>
  <phoneticPr fontId="5" type="noConversion"/>
  <printOptions horizontalCentered="1"/>
  <pageMargins left="0.19685039370078741" right="0.19685039370078741" top="0.21" bottom="0.19685039370078741" header="0" footer="0"/>
  <pageSetup paperSize="119" scale="65" fitToHeight="2" orientation="portrait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3"/>
  <dimension ref="A1:AN77"/>
  <sheetViews>
    <sheetView view="pageBreakPreview" topLeftCell="F1" zoomScale="85" zoomScaleSheetLayoutView="85" workbookViewId="0">
      <selection activeCell="Z66" sqref="Z66"/>
    </sheetView>
  </sheetViews>
  <sheetFormatPr baseColWidth="10" defaultColWidth="11.42578125" defaultRowHeight="12.75"/>
  <cols>
    <col min="1" max="1" width="5" style="590" customWidth="1"/>
    <col min="2" max="2" width="24.140625" style="590" customWidth="1"/>
    <col min="3" max="3" width="12.42578125" style="590" hidden="1" customWidth="1"/>
    <col min="4" max="4" width="1.42578125" style="590" hidden="1" customWidth="1"/>
    <col min="5" max="5" width="11.42578125" style="590" hidden="1" customWidth="1"/>
    <col min="6" max="6" width="1.7109375" style="590" customWidth="1"/>
    <col min="7" max="7" width="12.42578125" style="590" customWidth="1"/>
    <col min="8" max="8" width="1.5703125" style="590" customWidth="1"/>
    <col min="9" max="9" width="12.42578125" style="590" customWidth="1"/>
    <col min="10" max="10" width="2.140625" style="590" customWidth="1"/>
    <col min="11" max="11" width="12.42578125" style="590" customWidth="1"/>
    <col min="12" max="12" width="1.42578125" style="590" customWidth="1"/>
    <col min="13" max="13" width="11.42578125" style="590"/>
    <col min="14" max="14" width="2" style="590" customWidth="1"/>
    <col min="15" max="15" width="11.42578125" style="590"/>
    <col min="16" max="16" width="1.42578125" style="590" customWidth="1"/>
    <col min="17" max="17" width="11.42578125" style="590"/>
    <col min="18" max="18" width="0.140625" style="590" customWidth="1"/>
    <col min="19" max="19" width="1.5703125" style="590" customWidth="1"/>
    <col min="20" max="20" width="11.5703125" style="590" customWidth="1"/>
    <col min="21" max="21" width="1.28515625" style="590" customWidth="1"/>
    <col min="22" max="22" width="10.5703125" style="625" customWidth="1"/>
    <col min="23" max="23" width="12.28515625" style="590" bestFit="1" customWidth="1"/>
    <col min="24" max="27" width="11.42578125" style="590"/>
    <col min="28" max="28" width="11.28515625" style="590" customWidth="1"/>
    <col min="29" max="29" width="11.42578125" style="590"/>
    <col min="30" max="30" width="11.140625" style="590" customWidth="1"/>
    <col min="31" max="31" width="11.42578125" style="590" customWidth="1"/>
    <col min="32" max="32" width="10.85546875" style="590" customWidth="1"/>
    <col min="33" max="16384" width="11.42578125" style="590"/>
  </cols>
  <sheetData>
    <row r="1" spans="1:40" ht="15.75" customHeight="1"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  <c r="P1" s="591"/>
      <c r="Q1" s="591"/>
      <c r="R1" s="591"/>
      <c r="S1" s="591"/>
      <c r="T1" s="591"/>
      <c r="U1" s="591"/>
      <c r="W1" s="592"/>
      <c r="X1" s="592"/>
      <c r="AA1" s="1852"/>
      <c r="AB1" s="1852"/>
      <c r="AC1" s="1852"/>
      <c r="AD1" s="1852"/>
      <c r="AE1" s="1852"/>
      <c r="AF1" s="641"/>
      <c r="AG1" s="641"/>
      <c r="AH1" s="641"/>
      <c r="AI1" s="641"/>
      <c r="AJ1" s="641"/>
      <c r="AK1" s="641"/>
      <c r="AL1" s="641"/>
      <c r="AM1" s="641"/>
      <c r="AN1" s="641"/>
    </row>
    <row r="2" spans="1:40" ht="28.5" customHeight="1">
      <c r="A2" s="591"/>
      <c r="B2" s="591"/>
      <c r="C2" s="1855" t="s">
        <v>495</v>
      </c>
      <c r="D2" s="1848"/>
      <c r="E2" s="1848"/>
      <c r="F2" s="1848"/>
      <c r="G2" s="1848"/>
      <c r="H2" s="1848"/>
      <c r="I2" s="1848"/>
      <c r="J2" s="1848"/>
      <c r="K2" s="1848"/>
      <c r="L2" s="1848"/>
      <c r="M2" s="1848"/>
      <c r="N2" s="1848"/>
      <c r="O2" s="1848"/>
      <c r="P2" s="1848"/>
      <c r="Q2" s="1848"/>
      <c r="R2" s="591"/>
      <c r="S2" s="591"/>
      <c r="T2" s="591"/>
      <c r="U2" s="591"/>
      <c r="W2" s="592"/>
      <c r="X2" s="592"/>
      <c r="AA2" s="1853"/>
      <c r="AB2" s="1853"/>
      <c r="AC2" s="1853"/>
      <c r="AD2" s="1853"/>
      <c r="AE2" s="1853"/>
      <c r="AG2" s="695">
        <v>40909</v>
      </c>
      <c r="AH2" s="698">
        <v>136</v>
      </c>
    </row>
    <row r="3" spans="1:40" ht="13.5" customHeight="1">
      <c r="A3" s="591"/>
      <c r="B3" s="591"/>
      <c r="C3" s="1856" t="s">
        <v>499</v>
      </c>
      <c r="D3" s="1848"/>
      <c r="E3" s="1848"/>
      <c r="F3" s="1848"/>
      <c r="G3" s="1848"/>
      <c r="H3" s="1848"/>
      <c r="I3" s="1848"/>
      <c r="J3" s="1848"/>
      <c r="K3" s="1848"/>
      <c r="L3" s="1848"/>
      <c r="M3" s="1848"/>
      <c r="N3" s="1848"/>
      <c r="O3" s="1848"/>
      <c r="P3" s="1848"/>
      <c r="Q3" s="1848"/>
      <c r="R3" s="591"/>
      <c r="S3" s="591"/>
      <c r="T3" s="591"/>
      <c r="U3" s="591"/>
      <c r="AA3" s="1854"/>
      <c r="AB3" s="1854"/>
      <c r="AC3" s="1854"/>
      <c r="AD3" s="1854"/>
      <c r="AE3" s="1854"/>
      <c r="AG3" s="695">
        <v>40940</v>
      </c>
      <c r="AH3" s="698">
        <v>136</v>
      </c>
    </row>
    <row r="4" spans="1:40" ht="13.5" customHeight="1">
      <c r="A4" s="591"/>
      <c r="B4" s="591"/>
      <c r="C4" s="1848"/>
      <c r="D4" s="1848"/>
      <c r="E4" s="1848"/>
      <c r="F4" s="1848"/>
      <c r="G4" s="1848"/>
      <c r="H4" s="1848"/>
      <c r="I4" s="1848"/>
      <c r="J4" s="1848"/>
      <c r="K4" s="1848"/>
      <c r="L4" s="1848"/>
      <c r="M4" s="1848"/>
      <c r="N4" s="1848"/>
      <c r="O4" s="1848"/>
      <c r="P4" s="1848"/>
      <c r="Q4" s="1848"/>
      <c r="R4" s="591"/>
      <c r="S4" s="591"/>
      <c r="T4" s="591"/>
      <c r="U4" s="591"/>
      <c r="V4" s="643"/>
      <c r="AA4" s="624"/>
      <c r="AB4" s="624"/>
      <c r="AC4" s="624"/>
      <c r="AD4" s="624"/>
      <c r="AE4" s="624"/>
      <c r="AG4" s="695">
        <v>40969</v>
      </c>
      <c r="AH4" s="698">
        <v>116</v>
      </c>
    </row>
    <row r="5" spans="1:40" ht="15" customHeight="1">
      <c r="A5" s="591"/>
      <c r="B5" s="591"/>
      <c r="C5" s="1847" t="s">
        <v>510</v>
      </c>
      <c r="D5" s="1848"/>
      <c r="E5" s="1848"/>
      <c r="F5" s="1848"/>
      <c r="G5" s="1848"/>
      <c r="H5" s="1848"/>
      <c r="I5" s="1848"/>
      <c r="J5" s="1848"/>
      <c r="K5" s="1848"/>
      <c r="L5" s="1848"/>
      <c r="M5" s="1848"/>
      <c r="N5" s="1848"/>
      <c r="O5" s="1848"/>
      <c r="P5" s="1848"/>
      <c r="Q5" s="1848"/>
      <c r="R5" s="591"/>
      <c r="S5" s="591"/>
      <c r="T5" s="591"/>
      <c r="U5" s="591"/>
      <c r="V5" s="644"/>
      <c r="AA5" s="624"/>
      <c r="AB5" s="624"/>
      <c r="AC5" s="626"/>
      <c r="AD5" s="648"/>
      <c r="AE5" s="626"/>
      <c r="AG5" s="695">
        <v>41000</v>
      </c>
      <c r="AH5" s="698">
        <v>105</v>
      </c>
    </row>
    <row r="6" spans="1:40" ht="16.5" thickBot="1">
      <c r="A6" s="591"/>
      <c r="B6" s="591"/>
      <c r="C6" s="591"/>
      <c r="D6" s="591"/>
      <c r="E6" s="591"/>
      <c r="F6" s="591"/>
      <c r="G6" s="591"/>
      <c r="H6" s="591"/>
      <c r="I6" s="591"/>
      <c r="J6" s="591"/>
      <c r="K6" s="591"/>
      <c r="L6" s="591"/>
      <c r="M6" s="591"/>
      <c r="N6" s="591"/>
      <c r="O6" s="591"/>
      <c r="P6" s="591"/>
      <c r="Q6" s="591"/>
      <c r="R6" s="591"/>
      <c r="S6" s="591"/>
      <c r="T6" s="591"/>
      <c r="U6" s="591"/>
      <c r="V6" s="644"/>
      <c r="AA6" s="624"/>
      <c r="AB6" s="649"/>
      <c r="AC6" s="649"/>
      <c r="AD6" s="648"/>
      <c r="AE6" s="649"/>
      <c r="AG6" s="695">
        <v>41030</v>
      </c>
      <c r="AH6" s="698">
        <v>105</v>
      </c>
    </row>
    <row r="7" spans="1:40" ht="16.5" thickBot="1">
      <c r="A7" s="591"/>
      <c r="B7" s="591"/>
      <c r="C7" s="1849">
        <v>2011</v>
      </c>
      <c r="D7" s="1850"/>
      <c r="E7" s="1851"/>
      <c r="F7" s="710"/>
      <c r="G7" s="1849">
        <v>2012</v>
      </c>
      <c r="H7" s="1850"/>
      <c r="I7" s="1850"/>
      <c r="J7" s="593"/>
      <c r="K7" s="1849">
        <v>2013</v>
      </c>
      <c r="L7" s="1850"/>
      <c r="M7" s="1850"/>
      <c r="N7" s="593"/>
      <c r="O7" s="1849">
        <v>2014</v>
      </c>
      <c r="P7" s="1850"/>
      <c r="Q7" s="1851"/>
      <c r="R7" s="593"/>
      <c r="S7" s="668"/>
      <c r="T7" s="1849">
        <v>2015</v>
      </c>
      <c r="U7" s="1850"/>
      <c r="V7" s="1851"/>
      <c r="AA7" s="624"/>
      <c r="AB7" s="647"/>
      <c r="AC7" s="642"/>
      <c r="AD7" s="624"/>
      <c r="AE7" s="642"/>
      <c r="AG7" s="695">
        <v>41061</v>
      </c>
      <c r="AH7" s="698">
        <v>105</v>
      </c>
    </row>
    <row r="8" spans="1:40" ht="15.75" thickBot="1">
      <c r="A8" s="591"/>
      <c r="C8" s="594" t="s">
        <v>162</v>
      </c>
      <c r="D8" s="595"/>
      <c r="E8" s="596" t="s">
        <v>496</v>
      </c>
      <c r="F8" s="629"/>
      <c r="G8" s="633" t="s">
        <v>162</v>
      </c>
      <c r="H8" s="629"/>
      <c r="I8" s="634" t="s">
        <v>496</v>
      </c>
      <c r="J8" s="599"/>
      <c r="K8" s="598" t="s">
        <v>162</v>
      </c>
      <c r="L8" s="635"/>
      <c r="M8" s="596" t="s">
        <v>496</v>
      </c>
      <c r="N8" s="597"/>
      <c r="O8" s="598" t="s">
        <v>162</v>
      </c>
      <c r="P8" s="635"/>
      <c r="Q8" s="636" t="s">
        <v>496</v>
      </c>
      <c r="R8" s="599"/>
      <c r="S8" s="669"/>
      <c r="T8" s="594" t="s">
        <v>162</v>
      </c>
      <c r="U8" s="674"/>
      <c r="V8" s="636" t="s">
        <v>496</v>
      </c>
      <c r="AA8" s="624"/>
      <c r="AB8" s="647"/>
      <c r="AC8" s="642"/>
      <c r="AD8" s="624"/>
      <c r="AE8" s="642"/>
      <c r="AG8" s="695">
        <v>41091</v>
      </c>
      <c r="AH8" s="698">
        <v>98</v>
      </c>
    </row>
    <row r="9" spans="1:40" ht="16.5" thickBot="1">
      <c r="A9" s="591"/>
      <c r="B9" s="600" t="s">
        <v>25</v>
      </c>
      <c r="C9" s="601" t="s">
        <v>497</v>
      </c>
      <c r="D9" s="602"/>
      <c r="E9" s="603" t="s">
        <v>497</v>
      </c>
      <c r="F9" s="630"/>
      <c r="G9" s="605" t="s">
        <v>497</v>
      </c>
      <c r="H9" s="630"/>
      <c r="I9" s="605" t="s">
        <v>497</v>
      </c>
      <c r="J9" s="608"/>
      <c r="K9" s="605" t="s">
        <v>497</v>
      </c>
      <c r="L9" s="602"/>
      <c r="M9" s="605" t="s">
        <v>497</v>
      </c>
      <c r="N9" s="604"/>
      <c r="O9" s="606" t="s">
        <v>497</v>
      </c>
      <c r="P9" s="602"/>
      <c r="Q9" s="607" t="s">
        <v>497</v>
      </c>
      <c r="R9" s="608"/>
      <c r="S9" s="670"/>
      <c r="T9" s="606" t="s">
        <v>497</v>
      </c>
      <c r="U9" s="649"/>
      <c r="V9" s="606" t="s">
        <v>497</v>
      </c>
      <c r="AA9" s="624"/>
      <c r="AB9" s="647"/>
      <c r="AC9" s="642"/>
      <c r="AD9" s="624"/>
      <c r="AE9" s="642"/>
      <c r="AG9" s="695">
        <v>41122</v>
      </c>
      <c r="AH9" s="698">
        <v>94</v>
      </c>
    </row>
    <row r="10" spans="1:40" ht="15">
      <c r="A10" s="591"/>
      <c r="B10" s="609" t="s">
        <v>8</v>
      </c>
      <c r="C10" s="610">
        <f>AVERAGE('[9]GLP por Cía 03 a 06'!$C$1204,'[9]GLP por Cía 03 a 06'!$C$1208,'[9]GLP por Cía 03 a 06'!$C$1212,'[9]GLP por Cía 03 a 06'!$C$1216)</f>
        <v>124.30232558139535</v>
      </c>
      <c r="D10" s="611"/>
      <c r="E10" s="610">
        <f>AVERAGE('[9]GLP por Cía 03 a 06'!$C$1205,'[9]GLP por Cía 03 a 06'!$C$1209,'[9]GLP por Cía 03 a 06'!$C$1213,'[9]GLP por Cía 03 a 06'!$C$1217)</f>
        <v>122.12222222222222</v>
      </c>
      <c r="F10" s="631"/>
      <c r="G10" s="612">
        <v>136</v>
      </c>
      <c r="H10" s="637">
        <v>1</v>
      </c>
      <c r="I10" s="612">
        <v>137</v>
      </c>
      <c r="J10" s="637"/>
      <c r="K10" s="612">
        <v>90</v>
      </c>
      <c r="L10" s="639"/>
      <c r="M10" s="612">
        <v>90</v>
      </c>
      <c r="N10" s="604"/>
      <c r="O10" s="612">
        <v>135</v>
      </c>
      <c r="P10" s="611"/>
      <c r="Q10" s="613">
        <v>135</v>
      </c>
      <c r="R10" s="608"/>
      <c r="S10" s="670"/>
      <c r="T10" s="612">
        <v>105</v>
      </c>
      <c r="U10" s="626"/>
      <c r="V10" s="612">
        <v>105</v>
      </c>
      <c r="AA10" s="624"/>
      <c r="AB10" s="624"/>
      <c r="AC10" s="624"/>
      <c r="AD10" s="624"/>
      <c r="AE10" s="624"/>
      <c r="AG10" s="695">
        <v>41153</v>
      </c>
      <c r="AH10" s="698">
        <v>91</v>
      </c>
    </row>
    <row r="11" spans="1:40" ht="15">
      <c r="A11" s="591"/>
      <c r="B11" s="614" t="s">
        <v>9</v>
      </c>
      <c r="C11" s="610">
        <f>AVERAGE('[9]GLP por Cía 03 a 06'!$C$1220,'[9]GLP por Cía 03 a 06'!$C$1224,'[9]GLP por Cía 03 a 06'!$C$1228,'[9]GLP por Cía 03 a 06'!$C$1232)</f>
        <v>130</v>
      </c>
      <c r="D11" s="611"/>
      <c r="E11" s="610">
        <f>AVERAGE('[9]GLP por Cía 03 a 06'!$C$1221,'[9]GLP por Cía 03 a 06'!$C$1225,'[9]GLP por Cía 03 a 06'!$C$1229,'[9]GLP por Cía 03 a 06'!$C$1233)</f>
        <v>130</v>
      </c>
      <c r="F11" s="631"/>
      <c r="G11" s="615">
        <v>136</v>
      </c>
      <c r="H11" s="637"/>
      <c r="I11" s="615">
        <v>137</v>
      </c>
      <c r="J11" s="637"/>
      <c r="K11" s="615">
        <v>106</v>
      </c>
      <c r="L11" s="639"/>
      <c r="M11" s="615">
        <v>106</v>
      </c>
      <c r="N11" s="604"/>
      <c r="O11" s="615">
        <v>137</v>
      </c>
      <c r="P11" s="611"/>
      <c r="Q11" s="616">
        <v>137</v>
      </c>
      <c r="R11" s="608"/>
      <c r="S11" s="670"/>
      <c r="T11" s="615">
        <v>92</v>
      </c>
      <c r="U11" s="639"/>
      <c r="V11" s="615">
        <v>92</v>
      </c>
      <c r="AG11" s="695">
        <v>41183</v>
      </c>
      <c r="AH11" s="698">
        <v>65</v>
      </c>
    </row>
    <row r="12" spans="1:40" ht="15">
      <c r="A12" s="591"/>
      <c r="B12" s="614" t="s">
        <v>10</v>
      </c>
      <c r="C12" s="610">
        <v>130</v>
      </c>
      <c r="D12" s="611"/>
      <c r="E12" s="610">
        <v>130</v>
      </c>
      <c r="F12" s="631"/>
      <c r="G12" s="615">
        <v>116</v>
      </c>
      <c r="H12" s="637"/>
      <c r="I12" s="615">
        <v>116.75</v>
      </c>
      <c r="J12" s="637"/>
      <c r="K12" s="615">
        <v>109</v>
      </c>
      <c r="L12" s="639"/>
      <c r="M12" s="615">
        <v>109</v>
      </c>
      <c r="N12" s="604"/>
      <c r="O12" s="615">
        <v>140</v>
      </c>
      <c r="P12" s="611"/>
      <c r="Q12" s="616">
        <v>140</v>
      </c>
      <c r="R12" s="608"/>
      <c r="S12" s="670"/>
      <c r="T12" s="615">
        <v>90.75</v>
      </c>
      <c r="U12" s="639"/>
      <c r="V12" s="615">
        <v>90.75</v>
      </c>
      <c r="AG12" s="695">
        <v>41214</v>
      </c>
      <c r="AH12" s="698">
        <v>65</v>
      </c>
    </row>
    <row r="13" spans="1:40" ht="15">
      <c r="A13" s="591"/>
      <c r="B13" s="614" t="s">
        <v>11</v>
      </c>
      <c r="C13" s="610">
        <v>130</v>
      </c>
      <c r="D13" s="611">
        <v>1</v>
      </c>
      <c r="E13" s="610">
        <v>130</v>
      </c>
      <c r="F13" s="631"/>
      <c r="G13" s="615">
        <v>105</v>
      </c>
      <c r="H13" s="637"/>
      <c r="I13" s="615">
        <v>105</v>
      </c>
      <c r="J13" s="637"/>
      <c r="K13" s="615">
        <v>109</v>
      </c>
      <c r="L13" s="639"/>
      <c r="M13" s="615">
        <v>109</v>
      </c>
      <c r="N13" s="604"/>
      <c r="O13" s="615">
        <v>140</v>
      </c>
      <c r="P13" s="611"/>
      <c r="Q13" s="616">
        <v>140</v>
      </c>
      <c r="R13" s="608"/>
      <c r="S13" s="670"/>
      <c r="T13" s="615" t="e">
        <f>AVERAGE('GLP por Cía 03 a 06'!#REF!)</f>
        <v>#REF!</v>
      </c>
      <c r="U13" s="639"/>
      <c r="V13" s="615">
        <v>87</v>
      </c>
      <c r="AG13" s="695">
        <v>41244</v>
      </c>
      <c r="AH13" s="698">
        <v>90</v>
      </c>
    </row>
    <row r="14" spans="1:40" ht="15">
      <c r="A14" s="591"/>
      <c r="B14" s="614" t="s">
        <v>12</v>
      </c>
      <c r="C14" s="610">
        <f>AVERAGE('[9]GLP por Cía 03 a 06'!$C$1272,'[9]GLP por Cía 03 a 06'!$C$1276,'[9]GLP por Cía 03 a 06'!$C$1280,'[9]GLP por Cía 03 a 06'!$C$1284,'[9]GLP por Cía 03 a 06'!$C$1288)</f>
        <v>130.19999999999999</v>
      </c>
      <c r="D14" s="611"/>
      <c r="E14" s="610">
        <v>130</v>
      </c>
      <c r="F14" s="631"/>
      <c r="G14" s="615">
        <v>105</v>
      </c>
      <c r="H14" s="637"/>
      <c r="I14" s="615">
        <v>105</v>
      </c>
      <c r="J14" s="637"/>
      <c r="K14" s="615">
        <v>109</v>
      </c>
      <c r="L14" s="639"/>
      <c r="M14" s="615">
        <v>109</v>
      </c>
      <c r="N14" s="604"/>
      <c r="O14" s="615">
        <v>140</v>
      </c>
      <c r="P14" s="611"/>
      <c r="Q14" s="616">
        <v>140</v>
      </c>
      <c r="R14" s="608"/>
      <c r="S14" s="670"/>
      <c r="T14" s="615" t="e">
        <f>AVERAGE('GLP por Cía 03 a 06'!#REF!)</f>
        <v>#REF!</v>
      </c>
      <c r="U14" s="639"/>
      <c r="V14" s="615">
        <v>78.33</v>
      </c>
      <c r="AG14" s="696">
        <v>41275</v>
      </c>
      <c r="AH14" s="698">
        <v>90</v>
      </c>
    </row>
    <row r="15" spans="1:40" ht="15">
      <c r="A15" s="591"/>
      <c r="B15" s="614" t="s">
        <v>13</v>
      </c>
      <c r="C15" s="610">
        <f>AVERAGE('[9]GLP por Cía 03 a 06'!$C$1292,'[9]GLP por Cía 03 a 06'!$C$1296,'[9]GLP por Cía 03 a 06'!$C$1300,'[9]GLP por Cía 03 a 06'!$C$1304)</f>
        <v>131</v>
      </c>
      <c r="D15" s="611"/>
      <c r="E15" s="610">
        <v>130</v>
      </c>
      <c r="F15" s="631"/>
      <c r="G15" s="615">
        <v>105</v>
      </c>
      <c r="H15" s="637"/>
      <c r="I15" s="615">
        <v>105</v>
      </c>
      <c r="J15" s="637"/>
      <c r="K15" s="615">
        <v>117</v>
      </c>
      <c r="L15" s="639"/>
      <c r="M15" s="615">
        <v>117</v>
      </c>
      <c r="N15" s="604"/>
      <c r="O15" s="615">
        <v>140</v>
      </c>
      <c r="P15" s="611"/>
      <c r="Q15" s="616">
        <v>140</v>
      </c>
      <c r="R15" s="608"/>
      <c r="S15" s="670"/>
      <c r="T15" s="615"/>
      <c r="U15" s="639"/>
      <c r="V15" s="615"/>
      <c r="AG15" s="696">
        <v>41306</v>
      </c>
      <c r="AH15" s="698">
        <v>106</v>
      </c>
    </row>
    <row r="16" spans="1:40" ht="15">
      <c r="A16" s="591"/>
      <c r="B16" s="614" t="s">
        <v>14</v>
      </c>
      <c r="C16" s="610">
        <v>131</v>
      </c>
      <c r="D16" s="611"/>
      <c r="E16" s="610">
        <v>130</v>
      </c>
      <c r="F16" s="631"/>
      <c r="G16" s="615">
        <v>98</v>
      </c>
      <c r="H16" s="637"/>
      <c r="I16" s="615">
        <v>101</v>
      </c>
      <c r="J16" s="637"/>
      <c r="K16" s="615">
        <v>120</v>
      </c>
      <c r="L16" s="639"/>
      <c r="M16" s="615">
        <v>120</v>
      </c>
      <c r="N16" s="604"/>
      <c r="O16" s="615">
        <v>140</v>
      </c>
      <c r="P16" s="611"/>
      <c r="Q16" s="616">
        <v>140</v>
      </c>
      <c r="R16" s="608"/>
      <c r="S16" s="670"/>
      <c r="T16" s="615"/>
      <c r="U16" s="639"/>
      <c r="V16" s="615"/>
      <c r="AG16" s="696">
        <v>41334</v>
      </c>
      <c r="AH16" s="698">
        <v>109</v>
      </c>
    </row>
    <row r="17" spans="1:38" ht="15">
      <c r="A17" s="591"/>
      <c r="B17" s="614" t="s">
        <v>15</v>
      </c>
      <c r="C17" s="610">
        <f>AVERAGE('[9]GLP por Cía 03 a 06'!$C$1324,'[9]GLP por Cía 03 a 06'!$C$1328,'[9]GLP por Cía 03 a 06'!$C$1332,'[9]GLP por Cía 03 a 06'!$C$1336,'[9]GLP por Cía 03 a 06'!$C$1340)</f>
        <v>129.80000000000001</v>
      </c>
      <c r="D17" s="611"/>
      <c r="E17" s="610">
        <v>129.80000000000001</v>
      </c>
      <c r="F17" s="631"/>
      <c r="G17" s="615">
        <v>94</v>
      </c>
      <c r="H17" s="637"/>
      <c r="I17" s="615">
        <v>94</v>
      </c>
      <c r="J17" s="637"/>
      <c r="K17" s="615">
        <v>120</v>
      </c>
      <c r="L17" s="639"/>
      <c r="M17" s="615">
        <v>120</v>
      </c>
      <c r="N17" s="604"/>
      <c r="O17" s="615">
        <v>140</v>
      </c>
      <c r="P17" s="611"/>
      <c r="Q17" s="616">
        <v>140</v>
      </c>
      <c r="R17" s="608"/>
      <c r="S17" s="670"/>
      <c r="T17" s="615"/>
      <c r="U17" s="639"/>
      <c r="V17" s="615"/>
      <c r="AG17" s="696">
        <v>41365</v>
      </c>
      <c r="AH17" s="698">
        <v>109</v>
      </c>
    </row>
    <row r="18" spans="1:38" ht="15">
      <c r="A18" s="591"/>
      <c r="B18" s="614" t="s">
        <v>16</v>
      </c>
      <c r="C18" s="610">
        <v>128</v>
      </c>
      <c r="D18" s="611"/>
      <c r="E18" s="610">
        <v>128</v>
      </c>
      <c r="F18" s="631"/>
      <c r="G18" s="615">
        <v>91</v>
      </c>
      <c r="H18" s="637"/>
      <c r="I18" s="615">
        <v>71</v>
      </c>
      <c r="J18" s="637"/>
      <c r="K18" s="615">
        <v>128</v>
      </c>
      <c r="L18" s="639"/>
      <c r="M18" s="615">
        <v>128</v>
      </c>
      <c r="N18" s="604"/>
      <c r="O18" s="615">
        <v>140</v>
      </c>
      <c r="P18" s="611"/>
      <c r="Q18" s="616">
        <v>140</v>
      </c>
      <c r="R18" s="608"/>
      <c r="S18" s="670"/>
      <c r="T18" s="615"/>
      <c r="U18" s="639"/>
      <c r="V18" s="615"/>
      <c r="AG18" s="696">
        <v>41395</v>
      </c>
      <c r="AH18" s="698">
        <v>109</v>
      </c>
    </row>
    <row r="19" spans="1:38" ht="15">
      <c r="A19" s="591"/>
      <c r="B19" s="614" t="s">
        <v>17</v>
      </c>
      <c r="C19" s="610">
        <f>AVERAGE('[9]GLP por Cía 03 a 06'!$C$1360,'[9]GLP por Cía 03 a 06'!$C$1364,'[9]GLP por Cía 03 a 06'!$C$1368,'[9]GLP por Cía 03 a 06'!$C$1372,'[9]GLP por Cía 03 a 06'!$C$1376)</f>
        <v>129.6</v>
      </c>
      <c r="D19" s="611"/>
      <c r="E19" s="610">
        <f>AVERAGE('[9]GLP por Cía 03 a 06'!$C$1361,'[9]GLP por Cía 03 a 06'!$C$1365,'[9]GLP por Cía 03 a 06'!$C$1369,'[9]GLP por Cía 03 a 06'!$C$1373,'[9]GLP por Cía 03 a 06'!$C$1377)</f>
        <v>129.80000000000001</v>
      </c>
      <c r="F19" s="631"/>
      <c r="G19" s="615">
        <v>65</v>
      </c>
      <c r="H19" s="637"/>
      <c r="I19" s="615">
        <v>61</v>
      </c>
      <c r="J19" s="637"/>
      <c r="K19" s="617">
        <v>130</v>
      </c>
      <c r="L19" s="639"/>
      <c r="M19" s="617">
        <v>130</v>
      </c>
      <c r="N19" s="604"/>
      <c r="O19" s="615">
        <v>140</v>
      </c>
      <c r="P19" s="611"/>
      <c r="Q19" s="616">
        <v>140</v>
      </c>
      <c r="R19" s="608"/>
      <c r="S19" s="670"/>
      <c r="T19" s="615"/>
      <c r="U19" s="639"/>
      <c r="V19" s="615"/>
      <c r="AG19" s="696">
        <v>41426</v>
      </c>
      <c r="AH19" s="698">
        <v>117</v>
      </c>
    </row>
    <row r="20" spans="1:38" ht="15">
      <c r="A20" s="591"/>
      <c r="B20" s="614" t="s">
        <v>18</v>
      </c>
      <c r="C20" s="610">
        <f>AVERAGE('[9]GLP por Cía 03 a 06'!$C$1380,'[9]GLP por Cía 03 a 06'!$C$1384,'[9]GLP por Cía 03 a 06'!$C$1388,'[9]GLP por Cía 03 a 06'!$C$1392,'[9]GLP por Cía 03 a 06'!$C$1396)</f>
        <v>136</v>
      </c>
      <c r="D20" s="611"/>
      <c r="E20" s="610">
        <f>AVERAGE('[9]GLP por Cía 03 a 06'!$C$1381,'[9]GLP por Cía 03 a 06'!$C$1385,'[9]GLP por Cía 03 a 06'!$C$1389,'[9]GLP por Cía 03 a 06'!$C$1393,'[9]GLP por Cía 03 a 06'!$C$1397)</f>
        <v>137</v>
      </c>
      <c r="F20" s="631"/>
      <c r="G20" s="615">
        <v>65</v>
      </c>
      <c r="H20" s="637"/>
      <c r="I20" s="615">
        <v>60</v>
      </c>
      <c r="J20" s="637"/>
      <c r="K20" s="615">
        <v>130</v>
      </c>
      <c r="L20" s="639"/>
      <c r="M20" s="615">
        <v>130</v>
      </c>
      <c r="N20" s="604"/>
      <c r="O20" s="615">
        <v>140</v>
      </c>
      <c r="P20" s="611"/>
      <c r="Q20" s="616">
        <v>140</v>
      </c>
      <c r="R20" s="608"/>
      <c r="S20" s="670"/>
      <c r="T20" s="615"/>
      <c r="U20" s="639"/>
      <c r="V20" s="615"/>
      <c r="AG20" s="696">
        <v>41456</v>
      </c>
      <c r="AH20" s="698">
        <v>120</v>
      </c>
    </row>
    <row r="21" spans="1:38" ht="15.75" thickBot="1">
      <c r="A21" s="591"/>
      <c r="B21" s="618" t="s">
        <v>19</v>
      </c>
      <c r="C21" s="619">
        <v>136</v>
      </c>
      <c r="D21" s="620"/>
      <c r="E21" s="619">
        <f>AVERAGE('[9]GLP por Cía 03 a 06'!$C$1401,'[9]GLP por Cía 03 a 06'!$C$1405,'[9]GLP por Cía 03 a 06'!$C$1409,'[9]GLP por Cía 03 a 06'!$C$1413)</f>
        <v>137</v>
      </c>
      <c r="F21" s="632"/>
      <c r="G21" s="620">
        <v>90</v>
      </c>
      <c r="H21" s="638"/>
      <c r="I21" s="620">
        <v>90</v>
      </c>
      <c r="J21" s="638"/>
      <c r="K21" s="620">
        <v>132</v>
      </c>
      <c r="L21" s="640"/>
      <c r="M21" s="620">
        <v>132</v>
      </c>
      <c r="N21" s="621"/>
      <c r="O21" s="620">
        <v>130</v>
      </c>
      <c r="P21" s="620"/>
      <c r="Q21" s="622">
        <v>130</v>
      </c>
      <c r="R21" s="623"/>
      <c r="S21" s="671"/>
      <c r="T21" s="620"/>
      <c r="U21" s="675"/>
      <c r="V21" s="620"/>
      <c r="AG21" s="696">
        <v>41487</v>
      </c>
      <c r="AH21" s="698">
        <v>120</v>
      </c>
    </row>
    <row r="22" spans="1:38" ht="5.25" customHeight="1" thickBot="1">
      <c r="A22" s="591"/>
      <c r="B22" s="591"/>
      <c r="C22" s="591"/>
      <c r="D22" s="591"/>
      <c r="E22" s="591"/>
      <c r="F22" s="591"/>
      <c r="G22" s="591"/>
      <c r="H22" s="591"/>
      <c r="I22" s="591"/>
      <c r="J22" s="591"/>
      <c r="K22" s="591"/>
      <c r="L22" s="591"/>
      <c r="M22" s="591"/>
      <c r="N22" s="591"/>
      <c r="O22" s="591"/>
      <c r="P22" s="591"/>
      <c r="Q22" s="591"/>
      <c r="R22" s="591"/>
      <c r="S22" s="591"/>
      <c r="T22" s="672"/>
      <c r="U22" s="624"/>
      <c r="V22" s="624"/>
      <c r="AG22" s="696">
        <v>41518</v>
      </c>
      <c r="AH22" s="698">
        <v>128</v>
      </c>
    </row>
    <row r="23" spans="1:38" ht="15.75" thickBot="1">
      <c r="B23" s="650" t="s">
        <v>20</v>
      </c>
      <c r="G23" s="645">
        <v>100</v>
      </c>
      <c r="H23" s="646"/>
      <c r="I23" s="645">
        <v>98</v>
      </c>
      <c r="J23" s="646"/>
      <c r="K23" s="645">
        <v>116</v>
      </c>
      <c r="L23" s="646"/>
      <c r="M23" s="645">
        <v>116</v>
      </c>
      <c r="N23" s="646"/>
      <c r="O23" s="645">
        <v>138</v>
      </c>
      <c r="P23" s="646"/>
      <c r="Q23" s="645">
        <v>138</v>
      </c>
      <c r="R23" s="591"/>
      <c r="S23" s="646"/>
      <c r="T23" s="645" t="e">
        <f>AVERAGE(T10:T21)</f>
        <v>#REF!</v>
      </c>
      <c r="U23" s="673"/>
      <c r="V23" s="645">
        <f>AVERAGE(V10:V21)</f>
        <v>90.616</v>
      </c>
      <c r="AG23" s="696">
        <v>41548</v>
      </c>
      <c r="AH23" s="698">
        <v>130</v>
      </c>
    </row>
    <row r="24" spans="1:38" ht="15">
      <c r="A24" s="591"/>
      <c r="B24" s="591"/>
      <c r="C24" s="591"/>
      <c r="D24" s="591"/>
      <c r="E24" s="591"/>
      <c r="F24" s="591"/>
      <c r="G24" s="564"/>
      <c r="H24" s="564"/>
      <c r="I24" s="591"/>
      <c r="J24" s="591"/>
      <c r="K24" s="591"/>
      <c r="L24" s="591"/>
      <c r="M24" s="591"/>
      <c r="N24" s="591"/>
      <c r="O24" s="591"/>
      <c r="P24" s="591"/>
      <c r="Q24" s="591"/>
      <c r="R24" s="591"/>
      <c r="S24" s="591"/>
      <c r="T24" s="591"/>
      <c r="U24" s="591"/>
      <c r="V24" s="644"/>
      <c r="AG24" s="696">
        <v>41579</v>
      </c>
      <c r="AH24" s="698">
        <v>130</v>
      </c>
    </row>
    <row r="25" spans="1:38" ht="15">
      <c r="A25" s="591"/>
      <c r="B25" s="591"/>
      <c r="C25" s="591"/>
      <c r="D25" s="591"/>
      <c r="E25" s="591"/>
      <c r="F25" s="591"/>
      <c r="G25" s="564"/>
      <c r="H25" s="564"/>
      <c r="I25" s="591"/>
      <c r="J25" s="591"/>
      <c r="K25" s="591"/>
      <c r="L25" s="591"/>
      <c r="M25" s="591"/>
      <c r="N25" s="591"/>
      <c r="O25" s="591"/>
      <c r="P25" s="591"/>
      <c r="Q25" s="591"/>
      <c r="R25" s="591"/>
      <c r="S25" s="591"/>
      <c r="T25" s="591"/>
      <c r="U25" s="591"/>
      <c r="V25" s="644"/>
      <c r="X25" s="591"/>
      <c r="Y25" s="591"/>
      <c r="Z25" s="591"/>
      <c r="AA25" s="591"/>
      <c r="AB25" s="591"/>
      <c r="AC25" s="591"/>
      <c r="AD25" s="591"/>
      <c r="AE25" s="591"/>
      <c r="AG25" s="696">
        <v>41609</v>
      </c>
      <c r="AH25" s="698">
        <v>132</v>
      </c>
    </row>
    <row r="26" spans="1:38" ht="15">
      <c r="A26" s="591"/>
      <c r="B26" s="591"/>
      <c r="C26" s="591"/>
      <c r="D26" s="591"/>
      <c r="E26" s="591"/>
      <c r="F26" s="591"/>
      <c r="G26" s="564"/>
      <c r="H26" s="564"/>
      <c r="I26" s="591"/>
      <c r="J26" s="591"/>
      <c r="K26" s="591"/>
      <c r="L26" s="591"/>
      <c r="M26" s="591"/>
      <c r="N26" s="591"/>
      <c r="O26" s="591"/>
      <c r="P26" s="591"/>
      <c r="Q26" s="591"/>
      <c r="R26" s="591"/>
      <c r="S26" s="591"/>
      <c r="T26" s="591"/>
      <c r="U26" s="591"/>
      <c r="V26" s="644"/>
      <c r="X26" s="591"/>
      <c r="Y26" s="591"/>
      <c r="Z26" s="591"/>
      <c r="AA26" s="591"/>
      <c r="AB26" s="591"/>
      <c r="AC26" s="591"/>
      <c r="AD26" s="591"/>
      <c r="AE26" s="591"/>
      <c r="AG26" s="696">
        <v>41640</v>
      </c>
      <c r="AH26" s="699">
        <v>135</v>
      </c>
    </row>
    <row r="27" spans="1:38" ht="15">
      <c r="A27" s="591"/>
      <c r="B27" s="591"/>
      <c r="C27" s="591"/>
      <c r="D27" s="591"/>
      <c r="E27" s="591"/>
      <c r="F27" s="591"/>
      <c r="G27" s="564"/>
      <c r="H27" s="564"/>
      <c r="I27" s="591"/>
      <c r="J27" s="591"/>
      <c r="K27" s="591"/>
      <c r="L27" s="591"/>
      <c r="M27" s="591"/>
      <c r="N27" s="591"/>
      <c r="O27" s="591"/>
      <c r="P27" s="591"/>
      <c r="Q27" s="591"/>
      <c r="R27" s="591"/>
      <c r="S27" s="591"/>
      <c r="T27" s="591"/>
      <c r="U27" s="591"/>
      <c r="V27" s="644"/>
      <c r="X27" s="591"/>
      <c r="Y27" s="591"/>
      <c r="Z27" s="591"/>
      <c r="AA27" s="591"/>
      <c r="AB27" s="591"/>
      <c r="AC27" s="591"/>
      <c r="AD27" s="591"/>
      <c r="AE27" s="591"/>
      <c r="AG27" s="696">
        <v>41671</v>
      </c>
      <c r="AH27" s="699">
        <v>137</v>
      </c>
    </row>
    <row r="28" spans="1:38" ht="15.75" customHeight="1">
      <c r="B28" s="591"/>
      <c r="C28" s="591"/>
      <c r="D28" s="591"/>
      <c r="E28" s="591"/>
      <c r="F28" s="591"/>
      <c r="G28" s="591"/>
      <c r="H28" s="591"/>
      <c r="I28" s="591"/>
      <c r="J28" s="591"/>
      <c r="K28" s="591"/>
      <c r="L28" s="591"/>
      <c r="M28" s="591"/>
      <c r="N28" s="591"/>
      <c r="O28" s="591"/>
      <c r="P28" s="591"/>
      <c r="Q28" s="591"/>
      <c r="R28" s="591"/>
      <c r="S28" s="591"/>
      <c r="T28" s="591"/>
      <c r="U28" s="591"/>
      <c r="V28" s="644"/>
      <c r="X28" s="591"/>
      <c r="Y28" s="591"/>
      <c r="Z28" s="591"/>
      <c r="AA28" s="591"/>
      <c r="AB28" s="591"/>
      <c r="AC28" s="591"/>
      <c r="AD28" s="591"/>
      <c r="AE28" s="591"/>
      <c r="AG28" s="696">
        <v>41699</v>
      </c>
      <c r="AH28" s="699">
        <v>140</v>
      </c>
    </row>
    <row r="29" spans="1:38" ht="20.25" customHeight="1">
      <c r="A29" s="591"/>
      <c r="B29" s="591"/>
      <c r="C29" s="1855" t="s">
        <v>495</v>
      </c>
      <c r="D29" s="1848"/>
      <c r="E29" s="1848"/>
      <c r="F29" s="1848"/>
      <c r="G29" s="1848"/>
      <c r="H29" s="1848"/>
      <c r="I29" s="1848"/>
      <c r="J29" s="1848"/>
      <c r="K29" s="1848"/>
      <c r="L29" s="1848"/>
      <c r="M29" s="1848"/>
      <c r="N29" s="1848"/>
      <c r="O29" s="1848"/>
      <c r="P29" s="1848"/>
      <c r="Q29" s="1848"/>
      <c r="R29" s="591"/>
      <c r="S29" s="591"/>
      <c r="T29" s="591"/>
      <c r="U29" s="591"/>
      <c r="V29" s="644"/>
      <c r="X29" s="1858" t="s">
        <v>495</v>
      </c>
      <c r="Y29" s="1859"/>
      <c r="Z29" s="1859"/>
      <c r="AA29" s="1859"/>
      <c r="AB29" s="1859"/>
      <c r="AC29" s="1859"/>
      <c r="AD29" s="1859"/>
      <c r="AE29" s="1859"/>
      <c r="AF29" s="693"/>
      <c r="AG29" s="697">
        <v>41730</v>
      </c>
      <c r="AH29" s="700">
        <v>140</v>
      </c>
      <c r="AI29" s="693"/>
      <c r="AJ29" s="693"/>
      <c r="AK29" s="693"/>
      <c r="AL29" s="693"/>
    </row>
    <row r="30" spans="1:38" ht="23.25" customHeight="1" thickBot="1">
      <c r="A30" s="591"/>
      <c r="B30" s="591"/>
      <c r="C30" s="1856" t="s">
        <v>500</v>
      </c>
      <c r="D30" s="1848"/>
      <c r="E30" s="1848"/>
      <c r="F30" s="1848"/>
      <c r="G30" s="1848"/>
      <c r="H30" s="1848"/>
      <c r="I30" s="1848"/>
      <c r="J30" s="1848"/>
      <c r="K30" s="1848"/>
      <c r="L30" s="1848"/>
      <c r="M30" s="1848"/>
      <c r="N30" s="1848"/>
      <c r="O30" s="1848"/>
      <c r="P30" s="1848"/>
      <c r="Q30" s="1848"/>
      <c r="R30" s="591"/>
      <c r="S30" s="591"/>
      <c r="T30" s="591"/>
      <c r="U30" s="591"/>
      <c r="W30" s="676">
        <v>41001</v>
      </c>
      <c r="X30" s="1858" t="s">
        <v>500</v>
      </c>
      <c r="Y30" s="1859"/>
      <c r="Z30" s="1859"/>
      <c r="AA30" s="1859"/>
      <c r="AB30" s="1859"/>
      <c r="AC30" s="1859"/>
      <c r="AD30" s="1859"/>
      <c r="AE30" s="1859"/>
      <c r="AF30" s="694"/>
      <c r="AG30" s="697">
        <v>41760</v>
      </c>
      <c r="AH30" s="700">
        <v>140</v>
      </c>
      <c r="AI30" s="694"/>
      <c r="AJ30" s="694"/>
      <c r="AK30" s="694"/>
      <c r="AL30" s="694"/>
    </row>
    <row r="31" spans="1:38" ht="4.5" customHeight="1" thickBot="1">
      <c r="A31" s="591"/>
      <c r="B31" s="591"/>
      <c r="C31" s="1848"/>
      <c r="D31" s="1848"/>
      <c r="E31" s="1848"/>
      <c r="F31" s="1848"/>
      <c r="G31" s="1848"/>
      <c r="H31" s="1848"/>
      <c r="I31" s="1848"/>
      <c r="J31" s="1848"/>
      <c r="K31" s="1848"/>
      <c r="L31" s="1848"/>
      <c r="M31" s="1848"/>
      <c r="N31" s="1848"/>
      <c r="O31" s="1848"/>
      <c r="P31" s="1848"/>
      <c r="Q31" s="1848"/>
      <c r="R31" s="591"/>
      <c r="S31" s="591"/>
      <c r="T31" s="591"/>
      <c r="U31" s="591"/>
      <c r="W31" s="676">
        <v>41358</v>
      </c>
      <c r="X31" s="694"/>
      <c r="Y31" s="694"/>
      <c r="Z31" s="694"/>
      <c r="AA31" s="694"/>
      <c r="AB31" s="694"/>
      <c r="AC31" s="694"/>
      <c r="AD31" s="694"/>
      <c r="AE31" s="694"/>
      <c r="AF31" s="694"/>
      <c r="AG31" s="697">
        <v>41791</v>
      </c>
      <c r="AH31" s="700">
        <v>140</v>
      </c>
      <c r="AI31" s="694"/>
      <c r="AJ31" s="694"/>
      <c r="AK31" s="694"/>
      <c r="AL31" s="694"/>
    </row>
    <row r="32" spans="1:38" ht="16.5" thickBot="1">
      <c r="A32" s="591"/>
      <c r="B32" s="591"/>
      <c r="C32" s="1847" t="s">
        <v>498</v>
      </c>
      <c r="D32" s="1848"/>
      <c r="E32" s="1848"/>
      <c r="F32" s="1848"/>
      <c r="G32" s="1848"/>
      <c r="H32" s="1848"/>
      <c r="I32" s="1848"/>
      <c r="J32" s="1848"/>
      <c r="K32" s="1848"/>
      <c r="L32" s="1848"/>
      <c r="M32" s="1848"/>
      <c r="N32" s="1848"/>
      <c r="O32" s="1848"/>
      <c r="P32" s="1848"/>
      <c r="Q32" s="1848"/>
      <c r="R32" s="591"/>
      <c r="S32" s="591"/>
      <c r="T32" s="591"/>
      <c r="U32" s="591"/>
      <c r="W32" s="676">
        <v>41743</v>
      </c>
      <c r="X32" s="591"/>
      <c r="Y32" s="1857" t="s">
        <v>511</v>
      </c>
      <c r="Z32" s="1857"/>
      <c r="AA32" s="1857"/>
      <c r="AB32" s="1857"/>
      <c r="AC32" s="1857"/>
      <c r="AD32" s="1857"/>
      <c r="AE32" s="591"/>
      <c r="AG32" s="696">
        <v>41821</v>
      </c>
      <c r="AH32" s="699">
        <v>140</v>
      </c>
    </row>
    <row r="33" spans="1:34" ht="15.75" thickBot="1">
      <c r="A33" s="591"/>
      <c r="B33" s="591"/>
      <c r="C33" s="591"/>
      <c r="D33" s="591"/>
      <c r="E33" s="591"/>
      <c r="F33" s="591"/>
      <c r="G33" s="591"/>
      <c r="H33" s="591"/>
      <c r="I33" s="591"/>
      <c r="J33" s="591"/>
      <c r="K33" s="591"/>
      <c r="L33" s="591"/>
      <c r="M33" s="591"/>
      <c r="N33" s="591"/>
      <c r="O33" s="591"/>
      <c r="P33" s="591"/>
      <c r="Q33" s="591"/>
      <c r="R33" s="591"/>
      <c r="S33" s="591"/>
      <c r="T33" s="591"/>
      <c r="U33" s="591"/>
      <c r="X33" s="591"/>
      <c r="Z33" s="677" t="s">
        <v>118</v>
      </c>
      <c r="AA33" s="678" t="s">
        <v>119</v>
      </c>
      <c r="AB33" s="677" t="s">
        <v>120</v>
      </c>
      <c r="AC33" s="678" t="s">
        <v>121</v>
      </c>
      <c r="AD33" s="677" t="s">
        <v>122</v>
      </c>
      <c r="AE33" s="591"/>
      <c r="AG33" s="696">
        <v>41852</v>
      </c>
      <c r="AH33" s="699">
        <v>140</v>
      </c>
    </row>
    <row r="34" spans="1:34" ht="16.5" thickBot="1">
      <c r="A34" s="591"/>
      <c r="B34" s="591"/>
      <c r="C34" s="1849">
        <v>2011</v>
      </c>
      <c r="D34" s="1850"/>
      <c r="E34" s="1851"/>
      <c r="F34" s="710"/>
      <c r="G34" s="1849">
        <v>2012</v>
      </c>
      <c r="H34" s="1850"/>
      <c r="I34" s="1850"/>
      <c r="J34" s="593"/>
      <c r="K34" s="1849">
        <v>2013</v>
      </c>
      <c r="L34" s="1850"/>
      <c r="M34" s="1850"/>
      <c r="N34" s="593"/>
      <c r="O34" s="1849">
        <v>2014</v>
      </c>
      <c r="P34" s="1850"/>
      <c r="Q34" s="1851"/>
      <c r="R34" s="593"/>
      <c r="S34" s="591"/>
      <c r="T34" s="591"/>
      <c r="U34" s="591"/>
      <c r="W34" s="590">
        <v>189</v>
      </c>
      <c r="X34" s="591"/>
      <c r="Y34" s="679" t="s">
        <v>123</v>
      </c>
      <c r="Z34" s="680">
        <v>105</v>
      </c>
      <c r="AA34" s="680">
        <v>147</v>
      </c>
      <c r="AB34" s="680" t="s">
        <v>126</v>
      </c>
      <c r="AC34" s="680" t="s">
        <v>126</v>
      </c>
      <c r="AD34" s="681">
        <v>420</v>
      </c>
      <c r="AE34" s="591"/>
      <c r="AG34" s="696">
        <v>41883</v>
      </c>
      <c r="AH34" s="699">
        <v>140</v>
      </c>
    </row>
    <row r="35" spans="1:34" ht="15.75" thickBot="1">
      <c r="A35" s="591"/>
      <c r="C35" s="594" t="s">
        <v>162</v>
      </c>
      <c r="D35" s="595"/>
      <c r="E35" s="596" t="s">
        <v>496</v>
      </c>
      <c r="F35" s="629"/>
      <c r="G35" s="633" t="s">
        <v>162</v>
      </c>
      <c r="H35" s="629"/>
      <c r="I35" s="634" t="s">
        <v>496</v>
      </c>
      <c r="J35" s="599"/>
      <c r="K35" s="598" t="s">
        <v>162</v>
      </c>
      <c r="L35" s="635"/>
      <c r="M35" s="596" t="s">
        <v>496</v>
      </c>
      <c r="N35" s="597"/>
      <c r="O35" s="598" t="s">
        <v>162</v>
      </c>
      <c r="P35" s="635"/>
      <c r="Q35" s="636" t="s">
        <v>496</v>
      </c>
      <c r="R35" s="599"/>
      <c r="S35" s="591"/>
      <c r="T35" s="591"/>
      <c r="U35" s="591"/>
      <c r="W35" s="590">
        <v>189</v>
      </c>
      <c r="X35" s="591"/>
      <c r="Y35" s="682" t="s">
        <v>124</v>
      </c>
      <c r="Z35" s="136">
        <v>105</v>
      </c>
      <c r="AA35" s="136">
        <v>147</v>
      </c>
      <c r="AB35" s="136">
        <v>168</v>
      </c>
      <c r="AC35" s="136">
        <v>252</v>
      </c>
      <c r="AD35" s="683">
        <v>420</v>
      </c>
      <c r="AE35" s="591"/>
      <c r="AG35" s="696">
        <v>41913</v>
      </c>
      <c r="AH35" s="699">
        <v>140</v>
      </c>
    </row>
    <row r="36" spans="1:34" ht="16.5" thickBot="1">
      <c r="A36" s="591"/>
      <c r="B36" s="600" t="s">
        <v>25</v>
      </c>
      <c r="C36" s="601" t="s">
        <v>497</v>
      </c>
      <c r="D36" s="602"/>
      <c r="E36" s="603" t="s">
        <v>497</v>
      </c>
      <c r="F36" s="630"/>
      <c r="G36" s="605" t="s">
        <v>501</v>
      </c>
      <c r="H36" s="630"/>
      <c r="I36" s="605" t="s">
        <v>501</v>
      </c>
      <c r="J36" s="608"/>
      <c r="K36" s="605" t="s">
        <v>501</v>
      </c>
      <c r="L36" s="602"/>
      <c r="M36" s="605" t="s">
        <v>501</v>
      </c>
      <c r="N36" s="604"/>
      <c r="O36" s="605" t="s">
        <v>501</v>
      </c>
      <c r="P36" s="602"/>
      <c r="Q36" s="605" t="s">
        <v>501</v>
      </c>
      <c r="R36" s="608"/>
      <c r="S36" s="591"/>
      <c r="T36" s="591"/>
      <c r="U36" s="591"/>
      <c r="W36" s="590">
        <v>196</v>
      </c>
      <c r="X36" s="591"/>
      <c r="Y36" s="684" t="s">
        <v>125</v>
      </c>
      <c r="Z36" s="685">
        <v>105</v>
      </c>
      <c r="AA36" s="685">
        <v>147</v>
      </c>
      <c r="AB36" s="685" t="s">
        <v>126</v>
      </c>
      <c r="AC36" s="685" t="s">
        <v>126</v>
      </c>
      <c r="AD36" s="686">
        <v>420</v>
      </c>
      <c r="AE36" s="591"/>
      <c r="AG36" s="696">
        <v>41944</v>
      </c>
      <c r="AH36" s="699">
        <v>140</v>
      </c>
    </row>
    <row r="37" spans="1:34" ht="15">
      <c r="A37" s="591"/>
      <c r="B37" s="609" t="s">
        <v>8</v>
      </c>
      <c r="C37" s="610">
        <f>AVERAGE('[9]GLP por Cía 03 a 06'!$C$1204,'[9]GLP por Cía 03 a 06'!$C$1208,'[9]GLP por Cía 03 a 06'!$C$1212,'[9]GLP por Cía 03 a 06'!$C$1216)</f>
        <v>124.30232558139535</v>
      </c>
      <c r="D37" s="611"/>
      <c r="E37" s="610">
        <f>AVERAGE('[9]GLP por Cía 03 a 06'!$C$1205,'[9]GLP por Cía 03 a 06'!$C$1209,'[9]GLP por Cía 03 a 06'!$C$1213,'[9]GLP por Cía 03 a 06'!$C$1217)</f>
        <v>122.12222222222222</v>
      </c>
      <c r="F37" s="631"/>
      <c r="G37" s="612">
        <v>190</v>
      </c>
      <c r="H37" s="637"/>
      <c r="I37" s="612">
        <v>191</v>
      </c>
      <c r="J37" s="637"/>
      <c r="K37" s="612">
        <v>126</v>
      </c>
      <c r="L37" s="639"/>
      <c r="M37" s="612">
        <v>126</v>
      </c>
      <c r="N37" s="604"/>
      <c r="O37" s="612">
        <v>189</v>
      </c>
      <c r="P37" s="611"/>
      <c r="Q37" s="613">
        <v>189</v>
      </c>
      <c r="R37" s="608"/>
      <c r="S37" s="591"/>
      <c r="T37" s="591"/>
      <c r="U37" s="591"/>
      <c r="W37" s="590">
        <v>196</v>
      </c>
      <c r="X37" s="591"/>
      <c r="Y37" s="591"/>
      <c r="Z37" s="591"/>
      <c r="AA37" s="591"/>
      <c r="AB37" s="591"/>
      <c r="AC37" s="591"/>
      <c r="AD37" s="591"/>
      <c r="AE37" s="591"/>
      <c r="AG37" s="696">
        <v>41974</v>
      </c>
      <c r="AH37" s="699">
        <v>130</v>
      </c>
    </row>
    <row r="38" spans="1:34" ht="15.75" thickBot="1">
      <c r="A38" s="591"/>
      <c r="B38" s="614" t="s">
        <v>9</v>
      </c>
      <c r="C38" s="610">
        <f>AVERAGE('[9]GLP por Cía 03 a 06'!$C$1220,'[9]GLP por Cía 03 a 06'!$C$1224,'[9]GLP por Cía 03 a 06'!$C$1228,'[9]GLP por Cía 03 a 06'!$C$1232)</f>
        <v>130</v>
      </c>
      <c r="D38" s="611"/>
      <c r="E38" s="610">
        <f>AVERAGE('[9]GLP por Cía 03 a 06'!$C$1221,'[9]GLP por Cía 03 a 06'!$C$1225,'[9]GLP por Cía 03 a 06'!$C$1229,'[9]GLP por Cía 03 a 06'!$C$1233)</f>
        <v>130</v>
      </c>
      <c r="F38" s="631"/>
      <c r="G38" s="615">
        <v>190</v>
      </c>
      <c r="H38" s="637"/>
      <c r="I38" s="615">
        <v>191</v>
      </c>
      <c r="J38" s="637"/>
      <c r="K38" s="615">
        <v>139</v>
      </c>
      <c r="L38" s="639"/>
      <c r="M38" s="615">
        <v>138</v>
      </c>
      <c r="N38" s="604"/>
      <c r="O38" s="615">
        <v>192</v>
      </c>
      <c r="P38" s="611"/>
      <c r="Q38" s="616">
        <v>192</v>
      </c>
      <c r="R38" s="608"/>
      <c r="S38" s="591"/>
      <c r="T38" s="591"/>
      <c r="U38" s="591"/>
      <c r="X38" s="591"/>
      <c r="Y38" s="1857" t="s">
        <v>512</v>
      </c>
      <c r="Z38" s="1857"/>
      <c r="AA38" s="1857"/>
      <c r="AB38" s="1857"/>
      <c r="AC38" s="1857"/>
      <c r="AD38" s="1857"/>
      <c r="AE38" s="591"/>
      <c r="AG38" s="696">
        <v>42005</v>
      </c>
      <c r="AH38" s="699">
        <v>105</v>
      </c>
    </row>
    <row r="39" spans="1:34" ht="15.75" thickBot="1">
      <c r="A39" s="591"/>
      <c r="B39" s="614" t="s">
        <v>10</v>
      </c>
      <c r="C39" s="610">
        <v>130</v>
      </c>
      <c r="D39" s="611"/>
      <c r="E39" s="610">
        <v>130</v>
      </c>
      <c r="F39" s="631"/>
      <c r="G39" s="615">
        <v>163</v>
      </c>
      <c r="H39" s="637"/>
      <c r="I39" s="615">
        <v>163</v>
      </c>
      <c r="J39" s="637"/>
      <c r="K39" s="615">
        <v>139</v>
      </c>
      <c r="L39" s="639"/>
      <c r="M39" s="615">
        <v>138</v>
      </c>
      <c r="N39" s="604"/>
      <c r="O39" s="615">
        <v>196</v>
      </c>
      <c r="P39" s="611"/>
      <c r="Q39" s="616">
        <v>196</v>
      </c>
      <c r="R39" s="608"/>
      <c r="S39" s="591"/>
      <c r="T39" s="591"/>
      <c r="U39" s="591"/>
      <c r="W39" s="590">
        <f>AVERAGE(W34:W38)</f>
        <v>192.5</v>
      </c>
      <c r="X39" s="591"/>
      <c r="Z39" s="577" t="s">
        <v>118</v>
      </c>
      <c r="AA39" s="578" t="s">
        <v>119</v>
      </c>
      <c r="AB39" s="577" t="s">
        <v>120</v>
      </c>
      <c r="AC39" s="578" t="s">
        <v>121</v>
      </c>
      <c r="AD39" s="577" t="s">
        <v>122</v>
      </c>
      <c r="AE39" s="591"/>
      <c r="AG39" s="696">
        <v>42036</v>
      </c>
      <c r="AH39" s="699">
        <v>92</v>
      </c>
    </row>
    <row r="40" spans="1:34" ht="15">
      <c r="A40" s="591"/>
      <c r="B40" s="614" t="s">
        <v>11</v>
      </c>
      <c r="C40" s="610">
        <v>130</v>
      </c>
      <c r="D40" s="611">
        <v>1</v>
      </c>
      <c r="E40" s="610">
        <v>130</v>
      </c>
      <c r="F40" s="631"/>
      <c r="G40" s="615">
        <v>147</v>
      </c>
      <c r="H40" s="637"/>
      <c r="I40" s="615">
        <v>147</v>
      </c>
      <c r="J40" s="637"/>
      <c r="K40" s="615">
        <v>139</v>
      </c>
      <c r="L40" s="639"/>
      <c r="M40" s="615">
        <v>138</v>
      </c>
      <c r="N40" s="604"/>
      <c r="O40" s="615">
        <v>196</v>
      </c>
      <c r="P40" s="611"/>
      <c r="Q40" s="616">
        <v>196</v>
      </c>
      <c r="R40" s="608"/>
      <c r="S40" s="591"/>
      <c r="T40" s="591"/>
      <c r="U40" s="591"/>
      <c r="W40" s="627">
        <v>208</v>
      </c>
      <c r="X40" s="627"/>
      <c r="Y40" s="690" t="s">
        <v>123</v>
      </c>
      <c r="Z40" s="687">
        <v>109</v>
      </c>
      <c r="AA40" s="680">
        <v>153</v>
      </c>
      <c r="AB40" s="680" t="s">
        <v>126</v>
      </c>
      <c r="AC40" s="680" t="s">
        <v>126</v>
      </c>
      <c r="AD40" s="681">
        <v>436</v>
      </c>
      <c r="AE40" s="591"/>
      <c r="AG40" s="696">
        <v>42064</v>
      </c>
      <c r="AH40" s="699">
        <v>90</v>
      </c>
    </row>
    <row r="41" spans="1:34" ht="15">
      <c r="A41" s="591"/>
      <c r="B41" s="614" t="s">
        <v>12</v>
      </c>
      <c r="C41" s="610">
        <f>AVERAGE('[9]GLP por Cía 03 a 06'!$C$1272,'[9]GLP por Cía 03 a 06'!$C$1276,'[9]GLP por Cía 03 a 06'!$C$1280,'[9]GLP por Cía 03 a 06'!$C$1284,'[9]GLP por Cía 03 a 06'!$C$1288)</f>
        <v>130.19999999999999</v>
      </c>
      <c r="D41" s="611"/>
      <c r="E41" s="610">
        <v>130</v>
      </c>
      <c r="F41" s="631"/>
      <c r="G41" s="615">
        <v>147</v>
      </c>
      <c r="H41" s="637"/>
      <c r="I41" s="615">
        <v>147</v>
      </c>
      <c r="J41" s="637"/>
      <c r="K41" s="615">
        <v>139</v>
      </c>
      <c r="L41" s="639"/>
      <c r="M41" s="615">
        <v>138</v>
      </c>
      <c r="N41" s="604"/>
      <c r="O41" s="615">
        <v>196</v>
      </c>
      <c r="P41" s="611"/>
      <c r="Q41" s="616">
        <v>196</v>
      </c>
      <c r="R41" s="608"/>
      <c r="S41" s="591"/>
      <c r="T41" s="591"/>
      <c r="U41" s="591"/>
      <c r="X41" s="591"/>
      <c r="Y41" s="691" t="s">
        <v>124</v>
      </c>
      <c r="Z41" s="688">
        <v>109</v>
      </c>
      <c r="AA41" s="136">
        <v>152.6</v>
      </c>
      <c r="AB41" s="136">
        <v>174.4</v>
      </c>
      <c r="AC41" s="136">
        <v>261.60000000000002</v>
      </c>
      <c r="AD41" s="683">
        <v>436</v>
      </c>
      <c r="AE41" s="591"/>
      <c r="AG41" s="696">
        <v>42095</v>
      </c>
      <c r="AH41" s="699">
        <v>87</v>
      </c>
    </row>
    <row r="42" spans="1:34" ht="15.75" thickBot="1">
      <c r="A42" s="591"/>
      <c r="B42" s="614" t="s">
        <v>13</v>
      </c>
      <c r="C42" s="610">
        <f>AVERAGE('[9]GLP por Cía 03 a 06'!$C$1292,'[9]GLP por Cía 03 a 06'!$C$1296,'[9]GLP por Cía 03 a 06'!$C$1300,'[9]GLP por Cía 03 a 06'!$C$1304)</f>
        <v>131</v>
      </c>
      <c r="D42" s="611"/>
      <c r="E42" s="610">
        <v>130</v>
      </c>
      <c r="F42" s="631"/>
      <c r="G42" s="615">
        <v>147</v>
      </c>
      <c r="H42" s="637"/>
      <c r="I42" s="615">
        <v>147</v>
      </c>
      <c r="J42" s="637"/>
      <c r="K42" s="615">
        <v>164</v>
      </c>
      <c r="L42" s="639"/>
      <c r="M42" s="615">
        <v>164</v>
      </c>
      <c r="N42" s="604"/>
      <c r="O42" s="615">
        <v>196</v>
      </c>
      <c r="P42" s="611"/>
      <c r="Q42" s="616">
        <v>196</v>
      </c>
      <c r="R42" s="608"/>
      <c r="S42" s="591"/>
      <c r="T42" s="591"/>
      <c r="U42" s="591"/>
      <c r="X42" s="591"/>
      <c r="Y42" s="692" t="s">
        <v>125</v>
      </c>
      <c r="Z42" s="689">
        <v>109</v>
      </c>
      <c r="AA42" s="685">
        <v>153</v>
      </c>
      <c r="AB42" s="685">
        <v>174.4</v>
      </c>
      <c r="AC42" s="685">
        <v>261.60000000000002</v>
      </c>
      <c r="AD42" s="686">
        <v>396</v>
      </c>
      <c r="AE42" s="591"/>
      <c r="AG42" s="696">
        <v>42125</v>
      </c>
      <c r="AH42" s="699">
        <v>78</v>
      </c>
    </row>
    <row r="43" spans="1:34" ht="15">
      <c r="A43" s="591"/>
      <c r="B43" s="614" t="s">
        <v>14</v>
      </c>
      <c r="C43" s="610">
        <v>131</v>
      </c>
      <c r="D43" s="611"/>
      <c r="E43" s="610">
        <v>130</v>
      </c>
      <c r="F43" s="631"/>
      <c r="G43" s="615">
        <v>134</v>
      </c>
      <c r="H43" s="637"/>
      <c r="I43" s="615">
        <v>140</v>
      </c>
      <c r="J43" s="637"/>
      <c r="K43" s="615">
        <v>168</v>
      </c>
      <c r="L43" s="639"/>
      <c r="M43" s="615">
        <v>168</v>
      </c>
      <c r="N43" s="604"/>
      <c r="O43" s="615">
        <v>196</v>
      </c>
      <c r="P43" s="611"/>
      <c r="Q43" s="616">
        <v>196</v>
      </c>
      <c r="R43" s="608"/>
      <c r="S43" s="591"/>
      <c r="T43" s="591"/>
      <c r="U43" s="591"/>
      <c r="X43" s="591"/>
      <c r="Y43" s="591"/>
      <c r="Z43" s="591"/>
      <c r="AA43" s="591"/>
      <c r="AB43" s="591"/>
      <c r="AC43" s="591"/>
      <c r="AD43" s="591"/>
      <c r="AE43" s="591"/>
      <c r="AG43" s="696"/>
    </row>
    <row r="44" spans="1:34" ht="15.75" thickBot="1">
      <c r="A44" s="591"/>
      <c r="B44" s="614" t="s">
        <v>15</v>
      </c>
      <c r="C44" s="610">
        <f>AVERAGE('[9]GLP por Cía 03 a 06'!$C$1324,'[9]GLP por Cía 03 a 06'!$C$1328,'[9]GLP por Cía 03 a 06'!$C$1332,'[9]GLP por Cía 03 a 06'!$C$1336,'[9]GLP por Cía 03 a 06'!$C$1340)</f>
        <v>129.80000000000001</v>
      </c>
      <c r="D44" s="611"/>
      <c r="E44" s="610">
        <v>129.80000000000001</v>
      </c>
      <c r="F44" s="631"/>
      <c r="G44" s="615">
        <v>131</v>
      </c>
      <c r="H44" s="637"/>
      <c r="I44" s="615">
        <v>131</v>
      </c>
      <c r="J44" s="637"/>
      <c r="K44" s="615">
        <v>168</v>
      </c>
      <c r="L44" s="639"/>
      <c r="M44" s="615">
        <v>168</v>
      </c>
      <c r="N44" s="604"/>
      <c r="O44" s="615">
        <v>196</v>
      </c>
      <c r="P44" s="611"/>
      <c r="Q44" s="616">
        <v>196</v>
      </c>
      <c r="R44" s="608"/>
      <c r="S44" s="591"/>
      <c r="T44" s="591"/>
      <c r="U44" s="591"/>
      <c r="X44" s="591"/>
      <c r="Y44" s="1857" t="s">
        <v>513</v>
      </c>
      <c r="Z44" s="1857"/>
      <c r="AA44" s="1857"/>
      <c r="AB44" s="1857"/>
      <c r="AC44" s="1857"/>
      <c r="AD44" s="1857"/>
      <c r="AE44" s="591"/>
    </row>
    <row r="45" spans="1:34" ht="15.75" thickBot="1">
      <c r="A45" s="591"/>
      <c r="B45" s="614" t="s">
        <v>16</v>
      </c>
      <c r="C45" s="610">
        <v>128</v>
      </c>
      <c r="D45" s="611"/>
      <c r="E45" s="610">
        <v>128</v>
      </c>
      <c r="F45" s="631"/>
      <c r="G45" s="615">
        <v>129</v>
      </c>
      <c r="H45" s="637"/>
      <c r="I45" s="615">
        <v>99</v>
      </c>
      <c r="J45" s="637"/>
      <c r="K45" s="615">
        <v>179</v>
      </c>
      <c r="L45" s="639"/>
      <c r="M45" s="615">
        <v>179</v>
      </c>
      <c r="N45" s="604"/>
      <c r="O45" s="615">
        <v>196</v>
      </c>
      <c r="P45" s="611"/>
      <c r="Q45" s="616">
        <v>196</v>
      </c>
      <c r="R45" s="608"/>
      <c r="S45" s="591"/>
      <c r="T45" s="591"/>
      <c r="U45" s="591"/>
      <c r="X45" s="591"/>
      <c r="Z45" s="677" t="s">
        <v>118</v>
      </c>
      <c r="AA45" s="678" t="s">
        <v>119</v>
      </c>
      <c r="AB45" s="677" t="s">
        <v>120</v>
      </c>
      <c r="AC45" s="678" t="s">
        <v>121</v>
      </c>
      <c r="AD45" s="677" t="s">
        <v>122</v>
      </c>
      <c r="AE45" s="591"/>
    </row>
    <row r="46" spans="1:34" ht="15.75">
      <c r="A46" s="591"/>
      <c r="B46" s="614" t="s">
        <v>17</v>
      </c>
      <c r="C46" s="610">
        <f>AVERAGE('[9]GLP por Cía 03 a 06'!$C$1360,'[9]GLP por Cía 03 a 06'!$C$1364,'[9]GLP por Cía 03 a 06'!$C$1368,'[9]GLP por Cía 03 a 06'!$C$1372,'[9]GLP por Cía 03 a 06'!$C$1376)</f>
        <v>129.6</v>
      </c>
      <c r="D46" s="611"/>
      <c r="E46" s="610">
        <f>AVERAGE('[9]GLP por Cía 03 a 06'!$C$1361,'[9]GLP por Cía 03 a 06'!$C$1365,'[9]GLP por Cía 03 a 06'!$C$1369,'[9]GLP por Cía 03 a 06'!$C$1373,'[9]GLP por Cía 03 a 06'!$C$1377)</f>
        <v>129.80000000000001</v>
      </c>
      <c r="F46" s="631"/>
      <c r="G46" s="615">
        <v>91</v>
      </c>
      <c r="H46" s="637"/>
      <c r="I46" s="615">
        <v>85</v>
      </c>
      <c r="J46" s="637"/>
      <c r="K46" s="617">
        <v>182</v>
      </c>
      <c r="L46" s="639"/>
      <c r="M46" s="617">
        <v>182</v>
      </c>
      <c r="N46" s="604"/>
      <c r="O46" s="615">
        <v>196</v>
      </c>
      <c r="P46" s="611"/>
      <c r="Q46" s="616">
        <v>196</v>
      </c>
      <c r="R46" s="608"/>
      <c r="S46" s="591"/>
      <c r="T46" s="591"/>
      <c r="U46" s="591"/>
      <c r="V46" s="644"/>
      <c r="X46" s="591"/>
      <c r="Y46" s="679" t="s">
        <v>123</v>
      </c>
      <c r="Z46" s="680">
        <v>140</v>
      </c>
      <c r="AA46" s="680">
        <v>196</v>
      </c>
      <c r="AB46" s="680" t="s">
        <v>126</v>
      </c>
      <c r="AC46" s="680" t="s">
        <v>126</v>
      </c>
      <c r="AD46" s="681">
        <v>560</v>
      </c>
      <c r="AE46" s="591"/>
    </row>
    <row r="47" spans="1:34" ht="15.75">
      <c r="A47" s="591"/>
      <c r="B47" s="614" t="s">
        <v>18</v>
      </c>
      <c r="C47" s="610">
        <f>AVERAGE('[9]GLP por Cía 03 a 06'!$C$1380,'[9]GLP por Cía 03 a 06'!$C$1384,'[9]GLP por Cía 03 a 06'!$C$1388,'[9]GLP por Cía 03 a 06'!$C$1392,'[9]GLP por Cía 03 a 06'!$C$1396)</f>
        <v>136</v>
      </c>
      <c r="D47" s="611"/>
      <c r="E47" s="610">
        <f>AVERAGE('[9]GLP por Cía 03 a 06'!$C$1381,'[9]GLP por Cía 03 a 06'!$C$1385,'[9]GLP por Cía 03 a 06'!$C$1389,'[9]GLP por Cía 03 a 06'!$C$1393,'[9]GLP por Cía 03 a 06'!$C$1397)</f>
        <v>137</v>
      </c>
      <c r="F47" s="631"/>
      <c r="G47" s="615">
        <v>91</v>
      </c>
      <c r="H47" s="637"/>
      <c r="I47" s="615">
        <v>84</v>
      </c>
      <c r="J47" s="637"/>
      <c r="K47" s="615">
        <v>182</v>
      </c>
      <c r="L47" s="639"/>
      <c r="M47" s="615">
        <v>182</v>
      </c>
      <c r="N47" s="604"/>
      <c r="O47" s="615">
        <v>196</v>
      </c>
      <c r="P47" s="611"/>
      <c r="Q47" s="616">
        <v>196</v>
      </c>
      <c r="R47" s="608"/>
      <c r="S47" s="591"/>
      <c r="T47" s="591"/>
      <c r="U47" s="591"/>
      <c r="V47" s="644"/>
      <c r="W47" s="590">
        <v>5.4</v>
      </c>
      <c r="X47" s="591"/>
      <c r="Y47" s="682" t="s">
        <v>124</v>
      </c>
      <c r="Z47" s="136">
        <v>140</v>
      </c>
      <c r="AA47" s="136">
        <v>196</v>
      </c>
      <c r="AB47" s="136">
        <v>224</v>
      </c>
      <c r="AC47" s="136">
        <v>336</v>
      </c>
      <c r="AD47" s="683">
        <v>560</v>
      </c>
      <c r="AE47" s="591"/>
    </row>
    <row r="48" spans="1:34" ht="16.5" thickBot="1">
      <c r="A48" s="591"/>
      <c r="B48" s="618" t="s">
        <v>19</v>
      </c>
      <c r="C48" s="619">
        <v>136</v>
      </c>
      <c r="D48" s="620"/>
      <c r="E48" s="619">
        <f>AVERAGE('[9]GLP por Cía 03 a 06'!$C$1401,'[9]GLP por Cía 03 a 06'!$C$1405,'[9]GLP por Cía 03 a 06'!$C$1409,'[9]GLP por Cía 03 a 06'!$C$1413)</f>
        <v>137</v>
      </c>
      <c r="F48" s="632"/>
      <c r="G48" s="620">
        <v>126</v>
      </c>
      <c r="H48" s="638"/>
      <c r="I48" s="620">
        <v>126</v>
      </c>
      <c r="J48" s="638"/>
      <c r="K48" s="620">
        <v>193</v>
      </c>
      <c r="L48" s="640"/>
      <c r="M48" s="620">
        <v>193</v>
      </c>
      <c r="N48" s="621"/>
      <c r="O48" s="620">
        <v>182</v>
      </c>
      <c r="P48" s="620"/>
      <c r="Q48" s="622">
        <v>182</v>
      </c>
      <c r="R48" s="623"/>
      <c r="S48" s="591"/>
      <c r="T48" s="591"/>
      <c r="U48" s="591"/>
      <c r="V48" s="644"/>
      <c r="W48" s="590">
        <v>5</v>
      </c>
      <c r="X48" s="591"/>
      <c r="Y48" s="684" t="s">
        <v>125</v>
      </c>
      <c r="Z48" s="685">
        <v>140</v>
      </c>
      <c r="AA48" s="685">
        <v>196</v>
      </c>
      <c r="AB48" s="685">
        <v>224</v>
      </c>
      <c r="AC48" s="685">
        <v>336</v>
      </c>
      <c r="AD48" s="686">
        <v>560</v>
      </c>
      <c r="AE48" s="591"/>
    </row>
    <row r="49" spans="1:31" ht="6" customHeight="1" thickBot="1">
      <c r="A49" s="591"/>
      <c r="B49" s="591"/>
      <c r="C49" s="591"/>
      <c r="D49" s="591"/>
      <c r="E49" s="591"/>
      <c r="F49" s="591"/>
      <c r="G49" s="591"/>
      <c r="H49" s="591"/>
      <c r="I49" s="591"/>
      <c r="J49" s="591"/>
      <c r="K49" s="591"/>
      <c r="L49" s="591"/>
      <c r="M49" s="591"/>
      <c r="N49" s="591"/>
      <c r="O49" s="591"/>
      <c r="P49" s="591"/>
      <c r="Q49" s="591"/>
      <c r="R49" s="591"/>
      <c r="S49" s="591"/>
      <c r="T49" s="591"/>
      <c r="U49" s="591"/>
      <c r="V49" s="644"/>
      <c r="X49" s="591"/>
      <c r="Y49" s="591" t="e">
        <f>AVERAGE(Y47:Y48)</f>
        <v>#DIV/0!</v>
      </c>
      <c r="Z49" s="591"/>
      <c r="AA49" s="591"/>
      <c r="AB49" s="591"/>
      <c r="AC49" s="591"/>
      <c r="AD49" s="591"/>
      <c r="AE49" s="591"/>
    </row>
    <row r="50" spans="1:31" ht="7.5" customHeight="1" thickBot="1">
      <c r="B50" s="650" t="s">
        <v>20</v>
      </c>
      <c r="G50" s="645">
        <f>AVERAGE(G37:G48)</f>
        <v>140.5</v>
      </c>
      <c r="H50" s="646"/>
      <c r="I50" s="645">
        <f>AVERAGE(I37:I48)</f>
        <v>137.58333333333334</v>
      </c>
      <c r="J50" s="646"/>
      <c r="K50" s="645">
        <f>AVERAGE(K37:K48)</f>
        <v>159.83333333333334</v>
      </c>
      <c r="L50" s="646"/>
      <c r="M50" s="645">
        <f>AVERAGE(M37:M48)</f>
        <v>159.5</v>
      </c>
      <c r="N50" s="646"/>
      <c r="O50" s="645">
        <f>AVERAGE(O37:O48)</f>
        <v>193.91666666666666</v>
      </c>
      <c r="P50" s="646"/>
      <c r="Q50" s="645">
        <f>AVERAGE(Q37:Q48)</f>
        <v>193.91666666666666</v>
      </c>
      <c r="R50" s="591"/>
      <c r="S50" s="591"/>
      <c r="T50" s="591"/>
      <c r="U50" s="591"/>
      <c r="V50" s="644"/>
      <c r="X50" s="591"/>
      <c r="Y50" s="591"/>
      <c r="Z50" s="591"/>
      <c r="AA50" s="591"/>
      <c r="AB50" s="591"/>
      <c r="AC50" s="591"/>
      <c r="AD50" s="591"/>
      <c r="AE50" s="591"/>
    </row>
    <row r="51" spans="1:31" ht="15.75" thickBot="1">
      <c r="A51" s="591"/>
      <c r="B51" s="591"/>
      <c r="C51" s="591"/>
      <c r="D51" s="591"/>
      <c r="E51" s="591"/>
      <c r="F51" s="591"/>
      <c r="G51" s="564"/>
      <c r="H51" s="564"/>
      <c r="I51" s="591"/>
      <c r="J51" s="591"/>
      <c r="K51" s="591"/>
      <c r="L51" s="591"/>
      <c r="M51" s="591"/>
      <c r="N51" s="591"/>
      <c r="O51" s="591"/>
      <c r="P51" s="591"/>
      <c r="Q51" s="591"/>
      <c r="R51" s="591"/>
      <c r="S51" s="591"/>
      <c r="T51" s="591"/>
      <c r="U51" s="591"/>
      <c r="V51" s="644"/>
      <c r="X51" s="591"/>
      <c r="Y51" s="1857" t="s">
        <v>514</v>
      </c>
      <c r="Z51" s="1857"/>
      <c r="AA51" s="1857"/>
      <c r="AB51" s="1857"/>
      <c r="AC51" s="1857"/>
      <c r="AD51" s="1857"/>
      <c r="AE51" s="591"/>
    </row>
    <row r="52" spans="1:31" ht="15.75" thickBot="1">
      <c r="B52" s="591"/>
      <c r="C52" s="591"/>
      <c r="D52" s="591"/>
      <c r="E52" s="591"/>
      <c r="F52" s="591"/>
      <c r="G52" s="591"/>
      <c r="H52" s="591"/>
      <c r="I52" s="591"/>
      <c r="J52" s="591"/>
      <c r="K52" s="591"/>
      <c r="L52" s="591"/>
      <c r="M52" s="591"/>
      <c r="N52" s="591"/>
      <c r="O52" s="591"/>
      <c r="P52" s="591"/>
      <c r="Q52" s="591"/>
      <c r="R52" s="591"/>
      <c r="S52" s="591"/>
      <c r="T52" s="591"/>
      <c r="U52" s="591"/>
      <c r="V52" s="644"/>
      <c r="W52" s="591"/>
      <c r="X52" s="591"/>
      <c r="Y52" s="591"/>
      <c r="Z52" s="677" t="s">
        <v>118</v>
      </c>
      <c r="AA52" s="678" t="s">
        <v>119</v>
      </c>
      <c r="AB52" s="677" t="s">
        <v>120</v>
      </c>
      <c r="AC52" s="678" t="s">
        <v>121</v>
      </c>
      <c r="AD52" s="677" t="s">
        <v>122</v>
      </c>
      <c r="AE52" s="591"/>
    </row>
    <row r="53" spans="1:31" ht="15.75" customHeight="1">
      <c r="A53" s="1855" t="s">
        <v>495</v>
      </c>
      <c r="B53" s="1606"/>
      <c r="C53" s="1606"/>
      <c r="D53" s="1606"/>
      <c r="E53" s="1606"/>
      <c r="F53" s="1606"/>
      <c r="G53" s="1606"/>
      <c r="H53" s="1606"/>
      <c r="I53" s="1606"/>
      <c r="J53" s="1606"/>
      <c r="K53" s="1606"/>
      <c r="L53" s="1606"/>
      <c r="M53" s="1606"/>
      <c r="N53" s="1606"/>
      <c r="O53" s="1606"/>
      <c r="P53" s="1606"/>
      <c r="Q53" s="1606"/>
      <c r="R53" s="1606"/>
      <c r="S53" s="1606"/>
      <c r="T53" s="1606"/>
      <c r="U53" s="1606"/>
      <c r="V53" s="1606"/>
      <c r="W53" s="1606"/>
      <c r="X53" s="591"/>
      <c r="Y53" s="679" t="s">
        <v>123</v>
      </c>
      <c r="Z53" s="680">
        <v>140</v>
      </c>
      <c r="AA53" s="680">
        <v>196</v>
      </c>
      <c r="AB53" s="680" t="s">
        <v>126</v>
      </c>
      <c r="AC53" s="680" t="s">
        <v>126</v>
      </c>
      <c r="AD53" s="681">
        <v>560</v>
      </c>
      <c r="AE53" s="591"/>
    </row>
    <row r="54" spans="1:31" ht="15" customHeight="1">
      <c r="A54" s="1856" t="s">
        <v>502</v>
      </c>
      <c r="B54" s="1606"/>
      <c r="C54" s="1606"/>
      <c r="D54" s="1606"/>
      <c r="E54" s="1606"/>
      <c r="F54" s="1606"/>
      <c r="G54" s="1606"/>
      <c r="H54" s="1606"/>
      <c r="I54" s="1606"/>
      <c r="J54" s="1606"/>
      <c r="K54" s="1606"/>
      <c r="L54" s="1606"/>
      <c r="M54" s="1606"/>
      <c r="N54" s="1606"/>
      <c r="O54" s="1606"/>
      <c r="P54" s="1606"/>
      <c r="Q54" s="1606"/>
      <c r="R54" s="1606"/>
      <c r="S54" s="1606"/>
      <c r="T54" s="1606"/>
      <c r="U54" s="1606"/>
      <c r="V54" s="1606"/>
      <c r="W54" s="1606"/>
      <c r="X54" s="591"/>
      <c r="Y54" s="682" t="s">
        <v>124</v>
      </c>
      <c r="Z54" s="136">
        <v>140</v>
      </c>
      <c r="AA54" s="136">
        <v>196</v>
      </c>
      <c r="AB54" s="136">
        <v>224</v>
      </c>
      <c r="AC54" s="136">
        <v>336</v>
      </c>
      <c r="AD54" s="683">
        <v>560</v>
      </c>
      <c r="AE54" s="591"/>
    </row>
    <row r="55" spans="1:31" ht="15" customHeight="1" thickBot="1">
      <c r="A55" s="1606"/>
      <c r="B55" s="1606"/>
      <c r="C55" s="1606"/>
      <c r="D55" s="1606"/>
      <c r="E55" s="1606"/>
      <c r="F55" s="1606"/>
      <c r="G55" s="1606"/>
      <c r="H55" s="1606"/>
      <c r="I55" s="1606"/>
      <c r="J55" s="1606"/>
      <c r="K55" s="1606"/>
      <c r="L55" s="1606"/>
      <c r="M55" s="1606"/>
      <c r="N55" s="1606"/>
      <c r="O55" s="1606"/>
      <c r="P55" s="1606"/>
      <c r="Q55" s="1606"/>
      <c r="R55" s="1606"/>
      <c r="S55" s="1606"/>
      <c r="T55" s="1606"/>
      <c r="U55" s="1606"/>
      <c r="V55" s="1606"/>
      <c r="W55" s="1606"/>
      <c r="X55" s="591"/>
      <c r="Y55" s="684" t="s">
        <v>125</v>
      </c>
      <c r="Z55" s="685">
        <v>140</v>
      </c>
      <c r="AA55" s="685">
        <v>196</v>
      </c>
      <c r="AB55" s="685">
        <v>224</v>
      </c>
      <c r="AC55" s="685">
        <v>336</v>
      </c>
      <c r="AD55" s="686">
        <v>560</v>
      </c>
      <c r="AE55" s="591"/>
    </row>
    <row r="56" spans="1:31" ht="15.75" customHeight="1">
      <c r="A56" s="1847" t="s">
        <v>510</v>
      </c>
      <c r="B56" s="1606"/>
      <c r="C56" s="1606"/>
      <c r="D56" s="1606"/>
      <c r="E56" s="1606"/>
      <c r="F56" s="1606"/>
      <c r="G56" s="1606"/>
      <c r="H56" s="1606"/>
      <c r="I56" s="1606"/>
      <c r="J56" s="1606"/>
      <c r="K56" s="1606"/>
      <c r="L56" s="1606"/>
      <c r="M56" s="1606"/>
      <c r="N56" s="1606"/>
      <c r="O56" s="1606"/>
      <c r="P56" s="1606"/>
      <c r="Q56" s="1606"/>
      <c r="R56" s="1606"/>
      <c r="S56" s="1606"/>
      <c r="T56" s="1606"/>
      <c r="U56" s="1606"/>
      <c r="V56" s="1606"/>
      <c r="W56" s="1606"/>
      <c r="X56" s="591"/>
      <c r="AE56" s="591"/>
    </row>
    <row r="57" spans="1:31" ht="13.5" thickBot="1">
      <c r="A57" s="591"/>
      <c r="B57" s="591"/>
      <c r="C57" s="591"/>
      <c r="D57" s="591"/>
      <c r="E57" s="591"/>
      <c r="F57" s="591"/>
      <c r="G57" s="591"/>
      <c r="H57" s="591"/>
      <c r="I57" s="591"/>
      <c r="J57" s="591"/>
      <c r="K57" s="591"/>
      <c r="L57" s="591"/>
      <c r="M57" s="591"/>
      <c r="N57" s="591"/>
      <c r="O57" s="591"/>
      <c r="P57" s="591"/>
      <c r="Q57" s="591"/>
      <c r="R57" s="591"/>
      <c r="S57" s="591"/>
      <c r="T57" s="591"/>
      <c r="U57" s="591"/>
      <c r="W57" s="591"/>
      <c r="X57" s="624"/>
      <c r="Y57" s="624"/>
      <c r="Z57" s="624"/>
      <c r="AA57" s="702"/>
      <c r="AB57" s="624"/>
      <c r="AC57" s="624"/>
      <c r="AD57" s="624"/>
      <c r="AE57" s="624"/>
    </row>
    <row r="58" spans="1:31" ht="16.5" thickBot="1">
      <c r="A58" s="591"/>
      <c r="B58" s="591"/>
      <c r="C58" s="1849">
        <v>2011</v>
      </c>
      <c r="D58" s="1850"/>
      <c r="E58" s="1851"/>
      <c r="F58" s="710"/>
      <c r="G58" s="1849">
        <v>2012</v>
      </c>
      <c r="H58" s="1850"/>
      <c r="I58" s="1850"/>
      <c r="J58" s="593"/>
      <c r="K58" s="1849">
        <v>2013</v>
      </c>
      <c r="L58" s="1850"/>
      <c r="M58" s="1850"/>
      <c r="N58" s="593"/>
      <c r="O58" s="1849">
        <v>2014</v>
      </c>
      <c r="P58" s="1850"/>
      <c r="Q58" s="1851"/>
      <c r="R58" s="593"/>
      <c r="S58" s="593"/>
      <c r="T58" s="1849">
        <v>2015</v>
      </c>
      <c r="U58" s="1850"/>
      <c r="V58" s="1851"/>
      <c r="W58" s="591"/>
      <c r="AA58" s="701"/>
    </row>
    <row r="59" spans="1:31" ht="15.75" thickBot="1">
      <c r="A59" s="591"/>
      <c r="C59" s="594" t="s">
        <v>162</v>
      </c>
      <c r="D59" s="595"/>
      <c r="E59" s="596" t="s">
        <v>496</v>
      </c>
      <c r="F59" s="629"/>
      <c r="G59" s="633" t="s">
        <v>162</v>
      </c>
      <c r="H59" s="629"/>
      <c r="I59" s="634" t="s">
        <v>496</v>
      </c>
      <c r="J59" s="599"/>
      <c r="K59" s="598" t="s">
        <v>162</v>
      </c>
      <c r="L59" s="635"/>
      <c r="M59" s="596" t="s">
        <v>496</v>
      </c>
      <c r="N59" s="597"/>
      <c r="O59" s="598" t="s">
        <v>162</v>
      </c>
      <c r="P59" s="635"/>
      <c r="Q59" s="636" t="s">
        <v>496</v>
      </c>
      <c r="R59" s="599"/>
      <c r="S59" s="599"/>
      <c r="T59" s="594" t="s">
        <v>162</v>
      </c>
      <c r="U59" s="674"/>
      <c r="V59" s="636" t="s">
        <v>496</v>
      </c>
      <c r="W59" s="591"/>
      <c r="AA59" s="136"/>
    </row>
    <row r="60" spans="1:31" ht="16.5" thickBot="1">
      <c r="A60" s="591"/>
      <c r="B60" s="600" t="s">
        <v>25</v>
      </c>
      <c r="C60" s="601" t="s">
        <v>497</v>
      </c>
      <c r="D60" s="602"/>
      <c r="E60" s="603" t="s">
        <v>497</v>
      </c>
      <c r="F60" s="630"/>
      <c r="G60" s="605" t="s">
        <v>503</v>
      </c>
      <c r="H60" s="630"/>
      <c r="I60" s="605" t="s">
        <v>503</v>
      </c>
      <c r="J60" s="608"/>
      <c r="K60" s="605" t="s">
        <v>503</v>
      </c>
      <c r="L60" s="602"/>
      <c r="M60" s="605" t="s">
        <v>503</v>
      </c>
      <c r="N60" s="604"/>
      <c r="O60" s="605" t="s">
        <v>503</v>
      </c>
      <c r="P60" s="602"/>
      <c r="Q60" s="605" t="s">
        <v>503</v>
      </c>
      <c r="R60" s="608"/>
      <c r="S60" s="608"/>
      <c r="T60" s="606" t="s">
        <v>503</v>
      </c>
      <c r="U60" s="649"/>
      <c r="V60" s="606" t="s">
        <v>503</v>
      </c>
      <c r="W60" s="591"/>
      <c r="AA60" s="580"/>
    </row>
    <row r="61" spans="1:31" ht="15">
      <c r="A61" s="591"/>
      <c r="B61" s="609" t="s">
        <v>8</v>
      </c>
      <c r="C61" s="610">
        <f>AVERAGE('[9]GLP por Cía 03 a 06'!$C$1204,'[9]GLP por Cía 03 a 06'!$C$1208,'[9]GLP por Cía 03 a 06'!$C$1212,'[9]GLP por Cía 03 a 06'!$C$1216)</f>
        <v>124.30232558139535</v>
      </c>
      <c r="D61" s="611"/>
      <c r="E61" s="610">
        <f>AVERAGE('[9]GLP por Cía 03 a 06'!$C$1205,'[9]GLP por Cía 03 a 06'!$C$1209,'[9]GLP por Cía 03 a 06'!$C$1213,'[9]GLP por Cía 03 a 06'!$C$1217)</f>
        <v>122.12222222222222</v>
      </c>
      <c r="F61" s="631"/>
      <c r="G61" s="612">
        <v>560</v>
      </c>
      <c r="H61" s="637"/>
      <c r="I61" s="612">
        <v>545</v>
      </c>
      <c r="J61" s="637"/>
      <c r="K61" s="612">
        <v>360</v>
      </c>
      <c r="L61" s="639"/>
      <c r="M61" s="612">
        <v>360</v>
      </c>
      <c r="N61" s="604"/>
      <c r="O61" s="612">
        <v>520</v>
      </c>
      <c r="P61" s="611"/>
      <c r="Q61" s="613">
        <v>520</v>
      </c>
      <c r="R61" s="608"/>
      <c r="S61" s="608"/>
      <c r="T61" s="612">
        <v>420</v>
      </c>
      <c r="U61" s="626"/>
      <c r="V61" s="612">
        <v>420</v>
      </c>
      <c r="W61" s="591"/>
      <c r="AA61" s="136">
        <v>92</v>
      </c>
    </row>
    <row r="62" spans="1:31" ht="15">
      <c r="A62" s="591"/>
      <c r="B62" s="614" t="s">
        <v>9</v>
      </c>
      <c r="C62" s="610">
        <f>AVERAGE('[9]GLP por Cía 03 a 06'!$C$1220,'[9]GLP por Cía 03 a 06'!$C$1224,'[9]GLP por Cía 03 a 06'!$C$1228,'[9]GLP por Cía 03 a 06'!$C$1232)</f>
        <v>130</v>
      </c>
      <c r="D62" s="611"/>
      <c r="E62" s="610">
        <f>AVERAGE('[9]GLP por Cía 03 a 06'!$C$1221,'[9]GLP por Cía 03 a 06'!$C$1225,'[9]GLP por Cía 03 a 06'!$C$1229,'[9]GLP por Cía 03 a 06'!$C$1233)</f>
        <v>130</v>
      </c>
      <c r="F62" s="631"/>
      <c r="G62" s="615">
        <v>560</v>
      </c>
      <c r="H62" s="637"/>
      <c r="I62" s="615">
        <v>545</v>
      </c>
      <c r="J62" s="637"/>
      <c r="K62" s="615">
        <v>396</v>
      </c>
      <c r="L62" s="639"/>
      <c r="M62" s="615">
        <v>396</v>
      </c>
      <c r="N62" s="604"/>
      <c r="O62" s="615">
        <v>540</v>
      </c>
      <c r="P62" s="611"/>
      <c r="Q62" s="616">
        <v>540</v>
      </c>
      <c r="R62" s="608"/>
      <c r="S62" s="608"/>
      <c r="T62" s="615">
        <v>368</v>
      </c>
      <c r="U62" s="639">
        <v>3</v>
      </c>
      <c r="V62" s="615">
        <v>368</v>
      </c>
      <c r="W62" s="591"/>
      <c r="AA62" s="136"/>
    </row>
    <row r="63" spans="1:31" ht="15">
      <c r="A63" s="591"/>
      <c r="B63" s="614" t="s">
        <v>10</v>
      </c>
      <c r="C63" s="610">
        <v>130</v>
      </c>
      <c r="D63" s="611"/>
      <c r="E63" s="610">
        <v>130</v>
      </c>
      <c r="F63" s="631"/>
      <c r="G63" s="615">
        <v>470</v>
      </c>
      <c r="H63" s="637"/>
      <c r="I63" s="615">
        <v>466</v>
      </c>
      <c r="J63" s="637"/>
      <c r="K63" s="615">
        <v>396</v>
      </c>
      <c r="L63" s="639"/>
      <c r="M63" s="615">
        <v>396</v>
      </c>
      <c r="N63" s="604"/>
      <c r="O63" s="615">
        <v>540</v>
      </c>
      <c r="P63" s="611"/>
      <c r="Q63" s="616">
        <v>540</v>
      </c>
      <c r="R63" s="608"/>
      <c r="S63" s="608"/>
      <c r="T63" s="615">
        <v>363</v>
      </c>
      <c r="U63" s="639"/>
      <c r="V63" s="615">
        <v>363</v>
      </c>
      <c r="W63" s="591"/>
      <c r="AA63" s="136"/>
    </row>
    <row r="64" spans="1:31" ht="15">
      <c r="A64" s="591"/>
      <c r="B64" s="614" t="s">
        <v>11</v>
      </c>
      <c r="C64" s="610">
        <v>130</v>
      </c>
      <c r="D64" s="611">
        <v>1</v>
      </c>
      <c r="E64" s="610">
        <v>130</v>
      </c>
      <c r="F64" s="631"/>
      <c r="G64" s="615">
        <v>420</v>
      </c>
      <c r="H64" s="637"/>
      <c r="I64" s="615">
        <v>420</v>
      </c>
      <c r="J64" s="637"/>
      <c r="K64" s="615">
        <v>396</v>
      </c>
      <c r="L64" s="639"/>
      <c r="M64" s="615">
        <v>396</v>
      </c>
      <c r="N64" s="604"/>
      <c r="O64" s="615">
        <v>560</v>
      </c>
      <c r="P64" s="611"/>
      <c r="Q64" s="616">
        <v>560</v>
      </c>
      <c r="R64" s="608"/>
      <c r="S64" s="608"/>
      <c r="T64" s="615"/>
      <c r="U64" s="639"/>
      <c r="V64" s="615"/>
      <c r="W64" s="591"/>
      <c r="AA64" s="580"/>
    </row>
    <row r="65" spans="1:27" ht="15">
      <c r="A65" s="591"/>
      <c r="B65" s="614" t="s">
        <v>12</v>
      </c>
      <c r="C65" s="610">
        <f>AVERAGE('[9]GLP por Cía 03 a 06'!$C$1272,'[9]GLP por Cía 03 a 06'!$C$1276,'[9]GLP por Cía 03 a 06'!$C$1280,'[9]GLP por Cía 03 a 06'!$C$1284,'[9]GLP por Cía 03 a 06'!$C$1288)</f>
        <v>130.19999999999999</v>
      </c>
      <c r="D65" s="611"/>
      <c r="E65" s="610">
        <v>130</v>
      </c>
      <c r="F65" s="631"/>
      <c r="G65" s="615">
        <v>420</v>
      </c>
      <c r="H65" s="637"/>
      <c r="I65" s="615">
        <v>420</v>
      </c>
      <c r="J65" s="637"/>
      <c r="K65" s="615">
        <v>396</v>
      </c>
      <c r="L65" s="639"/>
      <c r="M65" s="615">
        <v>396</v>
      </c>
      <c r="N65" s="604"/>
      <c r="O65" s="615">
        <v>560</v>
      </c>
      <c r="P65" s="611"/>
      <c r="Q65" s="616">
        <v>560</v>
      </c>
      <c r="R65" s="608"/>
      <c r="S65" s="608"/>
      <c r="T65" s="615"/>
      <c r="U65" s="639"/>
      <c r="V65" s="615"/>
      <c r="W65" s="591"/>
      <c r="AA65" s="136">
        <v>92</v>
      </c>
    </row>
    <row r="66" spans="1:27" ht="15">
      <c r="A66" s="591"/>
      <c r="B66" s="614" t="s">
        <v>13</v>
      </c>
      <c r="C66" s="610">
        <f>AVERAGE('[9]GLP por Cía 03 a 06'!$C$1292,'[9]GLP por Cía 03 a 06'!$C$1296,'[9]GLP por Cía 03 a 06'!$C$1300,'[9]GLP por Cía 03 a 06'!$C$1304)</f>
        <v>131</v>
      </c>
      <c r="D66" s="611"/>
      <c r="E66" s="610">
        <v>130</v>
      </c>
      <c r="F66" s="631"/>
      <c r="G66" s="615">
        <v>420</v>
      </c>
      <c r="H66" s="637"/>
      <c r="I66" s="615">
        <v>420</v>
      </c>
      <c r="J66" s="637"/>
      <c r="K66" s="615">
        <v>469</v>
      </c>
      <c r="L66" s="639"/>
      <c r="M66" s="615">
        <v>469</v>
      </c>
      <c r="N66" s="604"/>
      <c r="O66" s="615">
        <v>560</v>
      </c>
      <c r="P66" s="611"/>
      <c r="Q66" s="616">
        <v>560</v>
      </c>
      <c r="R66" s="608"/>
      <c r="S66" s="608"/>
      <c r="T66" s="615"/>
      <c r="U66" s="639"/>
      <c r="V66" s="615"/>
      <c r="W66" s="591"/>
      <c r="AA66" s="136"/>
    </row>
    <row r="67" spans="1:27" ht="15">
      <c r="A67" s="591"/>
      <c r="B67" s="614" t="s">
        <v>14</v>
      </c>
      <c r="C67" s="610">
        <v>131</v>
      </c>
      <c r="D67" s="611"/>
      <c r="E67" s="610">
        <v>130</v>
      </c>
      <c r="F67" s="631"/>
      <c r="G67" s="615">
        <v>384</v>
      </c>
      <c r="H67" s="637"/>
      <c r="I67" s="615">
        <v>384</v>
      </c>
      <c r="J67" s="637"/>
      <c r="K67" s="615">
        <v>480</v>
      </c>
      <c r="L67" s="639"/>
      <c r="M67" s="615">
        <v>480</v>
      </c>
      <c r="N67" s="604"/>
      <c r="O67" s="615">
        <v>560</v>
      </c>
      <c r="P67" s="611"/>
      <c r="Q67" s="616">
        <v>560</v>
      </c>
      <c r="R67" s="608"/>
      <c r="S67" s="608"/>
      <c r="T67" s="615"/>
      <c r="U67" s="639"/>
      <c r="V67" s="615"/>
      <c r="W67" s="591"/>
      <c r="AA67" s="136"/>
    </row>
    <row r="68" spans="1:27" ht="15">
      <c r="A68" s="591"/>
      <c r="B68" s="614" t="s">
        <v>15</v>
      </c>
      <c r="C68" s="610">
        <f>AVERAGE('[9]GLP por Cía 03 a 06'!$C$1324,'[9]GLP por Cía 03 a 06'!$C$1328,'[9]GLP por Cía 03 a 06'!$C$1332,'[9]GLP por Cía 03 a 06'!$C$1336,'[9]GLP por Cía 03 a 06'!$C$1340)</f>
        <v>129.80000000000001</v>
      </c>
      <c r="D68" s="611"/>
      <c r="E68" s="610">
        <v>129.80000000000001</v>
      </c>
      <c r="F68" s="631"/>
      <c r="G68" s="615">
        <v>376</v>
      </c>
      <c r="H68" s="637"/>
      <c r="I68" s="615">
        <v>376</v>
      </c>
      <c r="J68" s="637"/>
      <c r="K68" s="615">
        <v>480</v>
      </c>
      <c r="L68" s="639"/>
      <c r="M68" s="615">
        <v>480</v>
      </c>
      <c r="N68" s="604"/>
      <c r="O68" s="615">
        <v>560</v>
      </c>
      <c r="P68" s="611"/>
      <c r="Q68" s="616">
        <v>560</v>
      </c>
      <c r="R68" s="608"/>
      <c r="S68" s="608"/>
      <c r="T68" s="615"/>
      <c r="U68" s="639"/>
      <c r="V68" s="615"/>
      <c r="W68" s="591"/>
      <c r="AA68" s="580"/>
    </row>
    <row r="69" spans="1:27" ht="15">
      <c r="A69" s="591"/>
      <c r="B69" s="614" t="s">
        <v>16</v>
      </c>
      <c r="C69" s="610">
        <v>128</v>
      </c>
      <c r="D69" s="611"/>
      <c r="E69" s="610">
        <v>128</v>
      </c>
      <c r="F69" s="631"/>
      <c r="G69" s="615">
        <v>355</v>
      </c>
      <c r="H69" s="637"/>
      <c r="I69" s="615">
        <v>305</v>
      </c>
      <c r="J69" s="637"/>
      <c r="K69" s="615">
        <v>512</v>
      </c>
      <c r="L69" s="639"/>
      <c r="M69" s="615">
        <v>512</v>
      </c>
      <c r="N69" s="604"/>
      <c r="O69" s="615">
        <v>560</v>
      </c>
      <c r="P69" s="611"/>
      <c r="Q69" s="616">
        <v>560</v>
      </c>
      <c r="R69" s="608"/>
      <c r="S69" s="608"/>
      <c r="T69" s="615"/>
      <c r="U69" s="639"/>
      <c r="V69" s="615"/>
      <c r="W69" s="591"/>
      <c r="AA69" s="136">
        <v>87</v>
      </c>
    </row>
    <row r="70" spans="1:27" ht="15">
      <c r="A70" s="591"/>
      <c r="B70" s="614" t="s">
        <v>17</v>
      </c>
      <c r="C70" s="610">
        <f>AVERAGE('[9]GLP por Cía 03 a 06'!$C$1360,'[9]GLP por Cía 03 a 06'!$C$1364,'[9]GLP por Cía 03 a 06'!$C$1368,'[9]GLP por Cía 03 a 06'!$C$1372,'[9]GLP por Cía 03 a 06'!$C$1376)</f>
        <v>129.6</v>
      </c>
      <c r="D70" s="611"/>
      <c r="E70" s="610">
        <f>AVERAGE('[9]GLP por Cía 03 a 06'!$C$1361,'[9]GLP por Cía 03 a 06'!$C$1365,'[9]GLP por Cía 03 a 06'!$C$1369,'[9]GLP por Cía 03 a 06'!$C$1373,'[9]GLP por Cía 03 a 06'!$C$1377)</f>
        <v>129.80000000000001</v>
      </c>
      <c r="F70" s="631"/>
      <c r="G70" s="615">
        <v>260</v>
      </c>
      <c r="H70" s="637"/>
      <c r="I70" s="615">
        <v>244</v>
      </c>
      <c r="J70" s="637"/>
      <c r="K70" s="617">
        <v>520</v>
      </c>
      <c r="L70" s="639">
        <v>56</v>
      </c>
      <c r="M70" s="617">
        <v>520</v>
      </c>
      <c r="N70" s="604"/>
      <c r="O70" s="615">
        <v>560</v>
      </c>
      <c r="P70" s="611"/>
      <c r="Q70" s="616">
        <v>560</v>
      </c>
      <c r="R70" s="608"/>
      <c r="S70" s="608"/>
      <c r="T70" s="615"/>
      <c r="U70" s="639"/>
      <c r="V70" s="615"/>
      <c r="W70" s="591"/>
      <c r="AA70" s="136">
        <f>AVERAGE(AA57:AA69)</f>
        <v>90.333333333333329</v>
      </c>
    </row>
    <row r="71" spans="1:27" ht="15">
      <c r="A71" s="591"/>
      <c r="B71" s="614" t="s">
        <v>18</v>
      </c>
      <c r="C71" s="610">
        <f>AVERAGE('[9]GLP por Cía 03 a 06'!$C$1380,'[9]GLP por Cía 03 a 06'!$C$1384,'[9]GLP por Cía 03 a 06'!$C$1388,'[9]GLP por Cía 03 a 06'!$C$1392,'[9]GLP por Cía 03 a 06'!$C$1396)</f>
        <v>136</v>
      </c>
      <c r="D71" s="611"/>
      <c r="E71" s="610">
        <f>AVERAGE('[9]GLP por Cía 03 a 06'!$C$1381,'[9]GLP por Cía 03 a 06'!$C$1385,'[9]GLP por Cía 03 a 06'!$C$1389,'[9]GLP por Cía 03 a 06'!$C$1393,'[9]GLP por Cía 03 a 06'!$C$1397)</f>
        <v>137</v>
      </c>
      <c r="F71" s="631"/>
      <c r="G71" s="615">
        <v>260</v>
      </c>
      <c r="H71" s="637"/>
      <c r="I71" s="615">
        <v>240</v>
      </c>
      <c r="J71" s="637"/>
      <c r="K71" s="615">
        <v>520</v>
      </c>
      <c r="L71" s="639"/>
      <c r="M71" s="615">
        <v>520</v>
      </c>
      <c r="N71" s="604"/>
      <c r="O71" s="615">
        <v>560</v>
      </c>
      <c r="P71" s="611"/>
      <c r="Q71" s="616">
        <v>560</v>
      </c>
      <c r="R71" s="608"/>
      <c r="S71" s="608"/>
      <c r="T71" s="615"/>
      <c r="U71" s="639"/>
      <c r="V71" s="615"/>
      <c r="W71" s="591"/>
      <c r="AA71" s="136"/>
    </row>
    <row r="72" spans="1:27" ht="15.75" thickBot="1">
      <c r="A72" s="591"/>
      <c r="B72" s="618" t="s">
        <v>19</v>
      </c>
      <c r="C72" s="619">
        <v>136</v>
      </c>
      <c r="D72" s="620"/>
      <c r="E72" s="619">
        <f>AVERAGE('[9]GLP por Cía 03 a 06'!$C$1401,'[9]GLP por Cía 03 a 06'!$C$1405,'[9]GLP por Cía 03 a 06'!$C$1409,'[9]GLP por Cía 03 a 06'!$C$1413)</f>
        <v>137</v>
      </c>
      <c r="F72" s="632"/>
      <c r="G72" s="620">
        <v>360</v>
      </c>
      <c r="H72" s="638"/>
      <c r="I72" s="620">
        <v>360</v>
      </c>
      <c r="J72" s="638"/>
      <c r="K72" s="620">
        <v>552</v>
      </c>
      <c r="L72" s="640"/>
      <c r="M72" s="620">
        <v>552</v>
      </c>
      <c r="N72" s="621"/>
      <c r="O72" s="620">
        <v>520</v>
      </c>
      <c r="P72" s="620"/>
      <c r="Q72" s="622">
        <v>520</v>
      </c>
      <c r="R72" s="623"/>
      <c r="S72" s="623"/>
      <c r="T72" s="620"/>
      <c r="U72" s="675"/>
      <c r="V72" s="620"/>
      <c r="W72" s="591"/>
    </row>
    <row r="73" spans="1:27" ht="5.25" customHeight="1" thickBot="1">
      <c r="A73" s="591"/>
      <c r="B73" s="591"/>
      <c r="C73" s="591"/>
      <c r="D73" s="591"/>
      <c r="E73" s="591"/>
      <c r="F73" s="591"/>
      <c r="G73" s="591"/>
      <c r="H73" s="591"/>
      <c r="I73" s="591"/>
      <c r="J73" s="591"/>
      <c r="K73" s="591"/>
      <c r="L73" s="591"/>
      <c r="M73" s="591"/>
      <c r="N73" s="591"/>
      <c r="O73" s="591"/>
      <c r="P73" s="591"/>
      <c r="Q73" s="591"/>
      <c r="R73" s="591"/>
      <c r="S73" s="591"/>
      <c r="T73" s="672"/>
      <c r="U73" s="624"/>
      <c r="V73" s="624"/>
      <c r="W73" s="591"/>
    </row>
    <row r="74" spans="1:27" ht="15.75" thickBot="1">
      <c r="B74" s="650" t="s">
        <v>20</v>
      </c>
      <c r="G74" s="645">
        <f>AVERAGE(G61:G72)</f>
        <v>403.75</v>
      </c>
      <c r="H74" s="646"/>
      <c r="I74" s="645">
        <f>AVERAGE(I61:I72)</f>
        <v>393.75</v>
      </c>
      <c r="J74" s="646"/>
      <c r="K74" s="645">
        <f>AVERAGE(K61:K72)</f>
        <v>456.41666666666669</v>
      </c>
      <c r="L74" s="646"/>
      <c r="M74" s="645">
        <f>AVERAGE(M61:M72)</f>
        <v>456.41666666666669</v>
      </c>
      <c r="N74" s="646"/>
      <c r="O74" s="645">
        <f>AVERAGE(O61:O72)</f>
        <v>550</v>
      </c>
      <c r="P74" s="646"/>
      <c r="Q74" s="645">
        <f>AVERAGE(Q61:Q72)</f>
        <v>550</v>
      </c>
      <c r="R74" s="591"/>
      <c r="S74" s="593"/>
      <c r="T74" s="645">
        <f>AVERAGE(T61:T72)</f>
        <v>383.66666666666669</v>
      </c>
      <c r="U74" s="673"/>
      <c r="V74" s="645">
        <f>AVERAGE(V61:V72)</f>
        <v>383.66666666666669</v>
      </c>
      <c r="W74" s="591"/>
    </row>
    <row r="75" spans="1:27">
      <c r="A75" s="591"/>
      <c r="B75" s="591"/>
      <c r="C75" s="591"/>
      <c r="D75" s="591"/>
      <c r="E75" s="591"/>
      <c r="F75" s="591"/>
      <c r="G75" s="564"/>
      <c r="H75" s="564"/>
      <c r="I75" s="591"/>
      <c r="J75" s="591"/>
      <c r="K75" s="591"/>
      <c r="L75" s="591"/>
      <c r="M75" s="591"/>
      <c r="N75" s="591"/>
      <c r="O75" s="591"/>
      <c r="P75" s="591"/>
      <c r="Q75" s="591"/>
      <c r="R75" s="591"/>
      <c r="S75" s="591"/>
      <c r="T75" s="591"/>
      <c r="U75" s="591"/>
      <c r="W75" s="591"/>
    </row>
    <row r="76" spans="1:27">
      <c r="B76" s="625"/>
      <c r="C76" s="625"/>
      <c r="D76" s="625"/>
      <c r="E76" s="625"/>
      <c r="F76" s="625"/>
      <c r="G76" s="625"/>
      <c r="H76" s="625"/>
      <c r="I76" s="625"/>
    </row>
    <row r="77" spans="1:27">
      <c r="B77" s="625"/>
      <c r="C77" s="625"/>
      <c r="D77" s="625"/>
      <c r="E77" s="625"/>
      <c r="F77" s="625"/>
      <c r="G77" s="625"/>
      <c r="H77" s="625"/>
      <c r="I77" s="625"/>
    </row>
  </sheetData>
  <mergeCells count="32">
    <mergeCell ref="C58:E58"/>
    <mergeCell ref="G58:I58"/>
    <mergeCell ref="K58:M58"/>
    <mergeCell ref="O58:Q58"/>
    <mergeCell ref="T58:V58"/>
    <mergeCell ref="A56:W56"/>
    <mergeCell ref="X29:AE29"/>
    <mergeCell ref="C30:Q31"/>
    <mergeCell ref="X30:AE30"/>
    <mergeCell ref="C32:Q32"/>
    <mergeCell ref="Y32:AD32"/>
    <mergeCell ref="C34:E34"/>
    <mergeCell ref="G34:I34"/>
    <mergeCell ref="K34:M34"/>
    <mergeCell ref="O34:Q34"/>
    <mergeCell ref="C29:Q29"/>
    <mergeCell ref="Y38:AD38"/>
    <mergeCell ref="Y44:AD44"/>
    <mergeCell ref="Y51:AD51"/>
    <mergeCell ref="A53:W53"/>
    <mergeCell ref="A54:W55"/>
    <mergeCell ref="C7:E7"/>
    <mergeCell ref="G7:I7"/>
    <mergeCell ref="K7:M7"/>
    <mergeCell ref="O7:Q7"/>
    <mergeCell ref="T7:V7"/>
    <mergeCell ref="C5:Q5"/>
    <mergeCell ref="AA1:AE1"/>
    <mergeCell ref="C2:Q2"/>
    <mergeCell ref="AA2:AE2"/>
    <mergeCell ref="C3:Q4"/>
    <mergeCell ref="AA3:AE3"/>
  </mergeCells>
  <printOptions horizontalCentered="1" verticalCentered="1"/>
  <pageMargins left="0.39370078740157483" right="0.39370078740157483" top="0.59055118110236227" bottom="0.59055118110236227" header="0" footer="0"/>
  <pageSetup scale="79" orientation="landscape" horizontalDpi="300" verticalDpi="300" r:id="rId1"/>
  <headerFooter alignWithMargins="0"/>
  <rowBreaks count="3" manualBreakCount="3">
    <brk id="24" max="30" man="1"/>
    <brk id="57" max="30" man="1"/>
    <brk id="86" min="1" max="23" man="1"/>
  </rowBreaks>
  <colBreaks count="1" manualBreakCount="1">
    <brk id="23" max="71" man="1"/>
  </col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4"/>
  <dimension ref="A1"/>
  <sheetViews>
    <sheetView workbookViewId="0">
      <selection activeCell="K35" sqref="K35"/>
    </sheetView>
  </sheetViews>
  <sheetFormatPr baseColWidth="10" defaultColWidth="11.5703125"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G68"/>
  <sheetViews>
    <sheetView view="pageBreakPreview" zoomScaleNormal="75" zoomScaleSheetLayoutView="100" workbookViewId="0">
      <selection activeCell="D11" sqref="D11"/>
    </sheetView>
  </sheetViews>
  <sheetFormatPr baseColWidth="10" defaultColWidth="11.42578125" defaultRowHeight="12.75"/>
  <cols>
    <col min="1" max="1" width="26.7109375" customWidth="1"/>
  </cols>
  <sheetData>
    <row r="1" spans="1:7" ht="18">
      <c r="A1" s="1518" t="s">
        <v>667</v>
      </c>
      <c r="B1" s="1518"/>
      <c r="C1" s="1518"/>
      <c r="D1" s="1518"/>
      <c r="E1" s="1518"/>
      <c r="F1" s="1518"/>
      <c r="G1" s="1518"/>
    </row>
    <row r="2" spans="1:7">
      <c r="A2" s="1527" t="s">
        <v>36</v>
      </c>
      <c r="B2" s="1527"/>
      <c r="C2" s="1527"/>
      <c r="D2" s="1527"/>
      <c r="E2" s="1527"/>
      <c r="F2" s="1527"/>
      <c r="G2" s="1527"/>
    </row>
    <row r="3" spans="1:7">
      <c r="A3" s="1528" t="s">
        <v>668</v>
      </c>
      <c r="B3" s="1528"/>
      <c r="C3" s="1528"/>
      <c r="D3" s="1528"/>
      <c r="E3" s="1528"/>
      <c r="F3" s="1528"/>
      <c r="G3" s="1528"/>
    </row>
    <row r="4" spans="1:7">
      <c r="A4" s="1528" t="s">
        <v>669</v>
      </c>
      <c r="B4" s="1528"/>
      <c r="C4" s="1528"/>
      <c r="D4" s="1528"/>
      <c r="E4" s="1528"/>
      <c r="F4" s="1528"/>
      <c r="G4" s="1528"/>
    </row>
    <row r="5" spans="1:7">
      <c r="A5" s="1529" t="s">
        <v>670</v>
      </c>
      <c r="B5" s="1529"/>
      <c r="C5" s="1529"/>
      <c r="D5" s="1529"/>
      <c r="E5" s="1529"/>
      <c r="F5" s="1529"/>
      <c r="G5" s="1529"/>
    </row>
    <row r="6" spans="1:7" ht="5.25" customHeight="1" thickBot="1">
      <c r="A6" s="564"/>
      <c r="B6" s="564"/>
      <c r="C6" s="564"/>
      <c r="D6" s="564"/>
      <c r="E6" s="564"/>
      <c r="F6" s="564"/>
      <c r="G6" s="564"/>
    </row>
    <row r="7" spans="1:7" ht="20.25" customHeight="1" thickBot="1">
      <c r="A7" s="1218" t="s">
        <v>1</v>
      </c>
      <c r="B7" s="1519" t="s">
        <v>2</v>
      </c>
      <c r="C7" s="1520"/>
      <c r="D7" s="1521"/>
      <c r="E7" s="1522" t="s">
        <v>3</v>
      </c>
      <c r="F7" s="1523"/>
      <c r="G7" s="1524"/>
    </row>
    <row r="8" spans="1:7" ht="21.75" customHeight="1" thickBot="1">
      <c r="A8" s="1200" t="s">
        <v>21</v>
      </c>
      <c r="B8" s="1219" t="s">
        <v>4</v>
      </c>
      <c r="C8" s="1219" t="s">
        <v>5</v>
      </c>
      <c r="D8" s="1220" t="s">
        <v>6</v>
      </c>
      <c r="E8" s="1221" t="s">
        <v>4</v>
      </c>
      <c r="F8" s="1222" t="s">
        <v>5</v>
      </c>
      <c r="G8" s="1222" t="s">
        <v>6</v>
      </c>
    </row>
    <row r="9" spans="1:7">
      <c r="A9" s="10">
        <v>39449</v>
      </c>
      <c r="B9" s="61">
        <v>28.9</v>
      </c>
      <c r="C9" s="56">
        <v>28.23</v>
      </c>
      <c r="D9" s="62">
        <v>26.1</v>
      </c>
      <c r="E9" s="61">
        <v>28.54</v>
      </c>
      <c r="F9" s="56">
        <v>27.94</v>
      </c>
      <c r="G9" s="62">
        <v>25.9</v>
      </c>
    </row>
    <row r="10" spans="1:7">
      <c r="A10" s="1207">
        <v>39470</v>
      </c>
      <c r="B10" s="1225">
        <v>28.9</v>
      </c>
      <c r="C10" s="1209">
        <v>28.33</v>
      </c>
      <c r="D10" s="1210">
        <v>26.38</v>
      </c>
      <c r="E10" s="1225">
        <v>28.51</v>
      </c>
      <c r="F10" s="1209">
        <v>27.98</v>
      </c>
      <c r="G10" s="1210">
        <v>26.13</v>
      </c>
    </row>
    <row r="11" spans="1:7" ht="15" thickBot="1">
      <c r="A11" s="1226" t="s">
        <v>7</v>
      </c>
      <c r="B11" s="1227">
        <f t="shared" ref="B11:G11" si="0">AVERAGE(B9:B10)</f>
        <v>28.9</v>
      </c>
      <c r="C11" s="1228">
        <f t="shared" si="0"/>
        <v>28.28</v>
      </c>
      <c r="D11" s="1228">
        <f t="shared" si="0"/>
        <v>26.240000000000002</v>
      </c>
      <c r="E11" s="1227">
        <f>AVERAGE(E9:E10)</f>
        <v>28.524999999999999</v>
      </c>
      <c r="F11" s="1228">
        <f t="shared" si="0"/>
        <v>27.96</v>
      </c>
      <c r="G11" s="1229">
        <f t="shared" si="0"/>
        <v>26.015000000000001</v>
      </c>
    </row>
    <row r="12" spans="1:7">
      <c r="A12" s="7">
        <v>39496</v>
      </c>
      <c r="B12" s="61">
        <v>28.72</v>
      </c>
      <c r="C12" s="56">
        <v>28.2</v>
      </c>
      <c r="D12" s="62">
        <v>26.3</v>
      </c>
      <c r="E12" s="61">
        <v>28.36</v>
      </c>
      <c r="F12" s="56">
        <v>27.84</v>
      </c>
      <c r="G12" s="62">
        <v>26.1</v>
      </c>
    </row>
    <row r="13" spans="1:7">
      <c r="A13" s="1207">
        <v>39503</v>
      </c>
      <c r="B13" s="1225">
        <v>28.69</v>
      </c>
      <c r="C13" s="1209">
        <v>28.16</v>
      </c>
      <c r="D13" s="1210">
        <v>26.32</v>
      </c>
      <c r="E13" s="1225">
        <v>28.33</v>
      </c>
      <c r="F13" s="1209">
        <v>27.81</v>
      </c>
      <c r="G13" s="1210">
        <v>26.08</v>
      </c>
    </row>
    <row r="14" spans="1:7" ht="15" thickBot="1">
      <c r="A14" s="1226" t="s">
        <v>7</v>
      </c>
      <c r="B14" s="1227">
        <f t="shared" ref="B14:G14" si="1">AVERAGE(B12:B13)</f>
        <v>28.704999999999998</v>
      </c>
      <c r="C14" s="1228">
        <f t="shared" si="1"/>
        <v>28.18</v>
      </c>
      <c r="D14" s="1228">
        <f t="shared" si="1"/>
        <v>26.310000000000002</v>
      </c>
      <c r="E14" s="1227">
        <f>AVERAGE(E12:E13)</f>
        <v>28.344999999999999</v>
      </c>
      <c r="F14" s="1228">
        <f t="shared" si="1"/>
        <v>27.824999999999999</v>
      </c>
      <c r="G14" s="1229">
        <f t="shared" si="1"/>
        <v>26.09</v>
      </c>
    </row>
    <row r="15" spans="1:7">
      <c r="A15" s="10">
        <v>39510</v>
      </c>
      <c r="B15" s="61">
        <v>29.11</v>
      </c>
      <c r="C15" s="56">
        <v>28.61</v>
      </c>
      <c r="D15" s="62">
        <v>26.87</v>
      </c>
      <c r="E15" s="61">
        <v>28.82</v>
      </c>
      <c r="F15" s="56">
        <v>28.32</v>
      </c>
      <c r="G15" s="62">
        <v>26.65</v>
      </c>
    </row>
    <row r="16" spans="1:7">
      <c r="A16" s="1207">
        <v>39517</v>
      </c>
      <c r="B16" s="1225">
        <v>30.13</v>
      </c>
      <c r="C16" s="1209">
        <v>29.65</v>
      </c>
      <c r="D16" s="1210">
        <v>27.93</v>
      </c>
      <c r="E16" s="1225">
        <v>29.93</v>
      </c>
      <c r="F16" s="1209">
        <v>29.44</v>
      </c>
      <c r="G16" s="1210">
        <v>27.79</v>
      </c>
    </row>
    <row r="17" spans="1:7">
      <c r="A17" s="10">
        <v>39524</v>
      </c>
      <c r="B17" s="61">
        <v>30.27</v>
      </c>
      <c r="C17" s="56">
        <v>29.78</v>
      </c>
      <c r="D17" s="62">
        <v>28.06</v>
      </c>
      <c r="E17" s="61">
        <v>29.96</v>
      </c>
      <c r="F17" s="56">
        <v>29.47</v>
      </c>
      <c r="G17" s="62">
        <v>27.84</v>
      </c>
    </row>
    <row r="18" spans="1:7">
      <c r="A18" s="1207">
        <v>39531</v>
      </c>
      <c r="B18" s="1225">
        <v>30.301691176470559</v>
      </c>
      <c r="C18" s="1209">
        <v>29.802105263157866</v>
      </c>
      <c r="D18" s="1210">
        <v>28.147153846153859</v>
      </c>
      <c r="E18" s="1225">
        <v>29.95</v>
      </c>
      <c r="F18" s="1209">
        <v>29.46</v>
      </c>
      <c r="G18" s="1210">
        <v>27.86</v>
      </c>
    </row>
    <row r="19" spans="1:7">
      <c r="A19" s="10">
        <v>39538</v>
      </c>
      <c r="B19" s="61">
        <v>30.38</v>
      </c>
      <c r="C19" s="56">
        <v>29.89</v>
      </c>
      <c r="D19" s="62">
        <v>29.21</v>
      </c>
      <c r="E19" s="61">
        <v>30</v>
      </c>
      <c r="F19" s="56">
        <v>29.52</v>
      </c>
      <c r="G19" s="62">
        <v>29.05</v>
      </c>
    </row>
    <row r="20" spans="1:7" ht="15" thickBot="1">
      <c r="A20" s="1226" t="s">
        <v>7</v>
      </c>
      <c r="B20" s="1227">
        <f t="shared" ref="B20:G20" si="2">AVERAGE(B15:B19)</f>
        <v>30.038338235294113</v>
      </c>
      <c r="C20" s="1228">
        <f t="shared" si="2"/>
        <v>29.546421052631569</v>
      </c>
      <c r="D20" s="1228">
        <f t="shared" si="2"/>
        <v>28.04343076923077</v>
      </c>
      <c r="E20" s="1227">
        <f>AVERAGE(E15:E19)</f>
        <v>29.732000000000006</v>
      </c>
      <c r="F20" s="1228">
        <f t="shared" si="2"/>
        <v>29.242000000000001</v>
      </c>
      <c r="G20" s="1229">
        <f t="shared" si="2"/>
        <v>27.838000000000001</v>
      </c>
    </row>
    <row r="21" spans="1:7">
      <c r="A21" s="587">
        <v>39545</v>
      </c>
      <c r="B21" s="14">
        <v>31.5</v>
      </c>
      <c r="C21" s="15">
        <v>30.78</v>
      </c>
      <c r="D21" s="16">
        <v>30.34</v>
      </c>
      <c r="E21" s="14">
        <v>31.26</v>
      </c>
      <c r="F21" s="15">
        <v>30.5</v>
      </c>
      <c r="G21" s="16">
        <v>30.18</v>
      </c>
    </row>
    <row r="22" spans="1:7">
      <c r="A22" s="1207">
        <v>39552</v>
      </c>
      <c r="B22" s="1225">
        <v>31.51</v>
      </c>
      <c r="C22" s="1209">
        <v>30.77</v>
      </c>
      <c r="D22" s="1210">
        <v>30.34</v>
      </c>
      <c r="E22" s="1225">
        <v>31.25</v>
      </c>
      <c r="F22" s="1209">
        <v>30.45</v>
      </c>
      <c r="G22" s="1210">
        <v>30.14</v>
      </c>
    </row>
    <row r="23" spans="1:7">
      <c r="A23" s="587">
        <v>39559</v>
      </c>
      <c r="B23" s="14">
        <v>31.71</v>
      </c>
      <c r="C23" s="15">
        <v>31.03</v>
      </c>
      <c r="D23" s="16">
        <v>30.73</v>
      </c>
      <c r="E23" s="14">
        <v>31.4</v>
      </c>
      <c r="F23" s="15">
        <v>30.71</v>
      </c>
      <c r="G23" s="16">
        <v>30.5</v>
      </c>
    </row>
    <row r="24" spans="1:7">
      <c r="A24" s="1207">
        <v>39566</v>
      </c>
      <c r="B24" s="1225">
        <v>32.049999999999997</v>
      </c>
      <c r="C24" s="1209">
        <v>31.37</v>
      </c>
      <c r="D24" s="1210">
        <v>31.32</v>
      </c>
      <c r="E24" s="1225">
        <v>31.73</v>
      </c>
      <c r="F24" s="1209">
        <v>31.02</v>
      </c>
      <c r="G24" s="1210">
        <v>31.07</v>
      </c>
    </row>
    <row r="25" spans="1:7" ht="15" thickBot="1">
      <c r="A25" s="1226" t="s">
        <v>7</v>
      </c>
      <c r="B25" s="1227">
        <f t="shared" ref="B25:G25" si="3">AVERAGE(B21:B24)</f>
        <v>31.692499999999999</v>
      </c>
      <c r="C25" s="1228">
        <f t="shared" si="3"/>
        <v>30.987500000000001</v>
      </c>
      <c r="D25" s="1228">
        <f t="shared" si="3"/>
        <v>30.682499999999997</v>
      </c>
      <c r="E25" s="1227">
        <f>AVERAGE(E21:E24)</f>
        <v>31.41</v>
      </c>
      <c r="F25" s="1228">
        <f t="shared" si="3"/>
        <v>30.669999999999998</v>
      </c>
      <c r="G25" s="1229">
        <f t="shared" si="3"/>
        <v>30.472499999999997</v>
      </c>
    </row>
    <row r="26" spans="1:7">
      <c r="A26" s="587">
        <v>39573</v>
      </c>
      <c r="B26" s="14">
        <v>32.119999999999997</v>
      </c>
      <c r="C26" s="15">
        <v>31.46</v>
      </c>
      <c r="D26" s="16">
        <v>31.56</v>
      </c>
      <c r="E26" s="14">
        <v>31.78</v>
      </c>
      <c r="F26" s="15">
        <v>31.05</v>
      </c>
      <c r="G26" s="16">
        <v>31.33</v>
      </c>
    </row>
    <row r="27" spans="1:7">
      <c r="A27" s="1207">
        <v>39580</v>
      </c>
      <c r="B27" s="1225">
        <v>32.979999999999997</v>
      </c>
      <c r="C27" s="1209">
        <v>32.299999999999997</v>
      </c>
      <c r="D27" s="1210">
        <v>32.08</v>
      </c>
      <c r="E27" s="1225">
        <v>32.68</v>
      </c>
      <c r="F27" s="1209">
        <v>31.94</v>
      </c>
      <c r="G27" s="1210">
        <v>31.84</v>
      </c>
    </row>
    <row r="28" spans="1:7">
      <c r="A28" s="587">
        <v>39587</v>
      </c>
      <c r="B28" s="14">
        <v>33.049999999999997</v>
      </c>
      <c r="C28" s="15">
        <v>32.36</v>
      </c>
      <c r="D28" s="16">
        <v>32.54</v>
      </c>
      <c r="E28" s="14">
        <v>32.659999999999997</v>
      </c>
      <c r="F28" s="15">
        <v>31.94</v>
      </c>
      <c r="G28" s="16">
        <v>32.28</v>
      </c>
    </row>
    <row r="29" spans="1:7">
      <c r="A29" s="1207">
        <v>39594</v>
      </c>
      <c r="B29" s="1225">
        <v>34.33</v>
      </c>
      <c r="C29" s="1209">
        <v>33.65</v>
      </c>
      <c r="D29" s="1210">
        <v>34.1</v>
      </c>
      <c r="E29" s="1225">
        <v>33.96</v>
      </c>
      <c r="F29" s="1209">
        <v>33.229999999999997</v>
      </c>
      <c r="G29" s="1210">
        <v>33.79</v>
      </c>
    </row>
    <row r="30" spans="1:7" ht="15" thickBot="1">
      <c r="A30" s="1226" t="s">
        <v>7</v>
      </c>
      <c r="B30" s="1227">
        <f t="shared" ref="B30:G30" si="4">AVERAGE(B26:B29)</f>
        <v>33.119999999999997</v>
      </c>
      <c r="C30" s="1228">
        <f t="shared" si="4"/>
        <v>32.442500000000003</v>
      </c>
      <c r="D30" s="1228">
        <f t="shared" si="4"/>
        <v>32.57</v>
      </c>
      <c r="E30" s="1227">
        <f>AVERAGE(E26:E29)</f>
        <v>32.770000000000003</v>
      </c>
      <c r="F30" s="1228">
        <f t="shared" si="4"/>
        <v>32.04</v>
      </c>
      <c r="G30" s="1229">
        <f t="shared" si="4"/>
        <v>32.31</v>
      </c>
    </row>
    <row r="31" spans="1:7">
      <c r="A31" s="587">
        <v>39601</v>
      </c>
      <c r="B31" s="14">
        <v>34.92</v>
      </c>
      <c r="C31" s="15">
        <v>34.24</v>
      </c>
      <c r="D31" s="16">
        <v>35.4</v>
      </c>
      <c r="E31" s="14">
        <v>34.54</v>
      </c>
      <c r="F31" s="15">
        <v>33.869999999999997</v>
      </c>
      <c r="G31" s="16">
        <v>35.049999999999997</v>
      </c>
    </row>
    <row r="32" spans="1:7">
      <c r="A32" s="1207">
        <v>39608</v>
      </c>
      <c r="B32" s="1225">
        <v>35.17</v>
      </c>
      <c r="C32" s="1209">
        <v>34.46</v>
      </c>
      <c r="D32" s="1210">
        <v>35.880000000000003</v>
      </c>
      <c r="E32" s="1225">
        <v>34.83</v>
      </c>
      <c r="F32" s="1209">
        <v>34.14</v>
      </c>
      <c r="G32" s="1210">
        <v>35.69</v>
      </c>
    </row>
    <row r="33" spans="1:7">
      <c r="A33" s="587">
        <v>39615</v>
      </c>
      <c r="B33" s="14">
        <v>35.97</v>
      </c>
      <c r="C33" s="15">
        <v>35.270000000000003</v>
      </c>
      <c r="D33" s="16">
        <v>37.14</v>
      </c>
      <c r="E33" s="14">
        <v>35.659999999999997</v>
      </c>
      <c r="F33" s="15">
        <v>34.97</v>
      </c>
      <c r="G33" s="16">
        <v>36.92</v>
      </c>
    </row>
    <row r="34" spans="1:7">
      <c r="A34" s="1207">
        <v>39622</v>
      </c>
      <c r="B34" s="1225">
        <v>35.97</v>
      </c>
      <c r="C34" s="1209">
        <v>35.31</v>
      </c>
      <c r="D34" s="1210">
        <v>37.17</v>
      </c>
      <c r="E34" s="1225">
        <v>35.64</v>
      </c>
      <c r="F34" s="1209">
        <v>34.96</v>
      </c>
      <c r="G34" s="1210">
        <v>36.96</v>
      </c>
    </row>
    <row r="35" spans="1:7" ht="15" thickBot="1">
      <c r="A35" s="1226" t="s">
        <v>7</v>
      </c>
      <c r="B35" s="1227">
        <f t="shared" ref="B35:G35" si="5">AVERAGE(B31:B34)</f>
        <v>35.5075</v>
      </c>
      <c r="C35" s="1228">
        <f t="shared" si="5"/>
        <v>34.82</v>
      </c>
      <c r="D35" s="1228">
        <f t="shared" si="5"/>
        <v>36.397500000000001</v>
      </c>
      <c r="E35" s="1227">
        <f>AVERAGE(E31:E34)</f>
        <v>35.167500000000004</v>
      </c>
      <c r="F35" s="1228">
        <f t="shared" si="5"/>
        <v>34.484999999999999</v>
      </c>
      <c r="G35" s="1229">
        <f t="shared" si="5"/>
        <v>36.155000000000001</v>
      </c>
    </row>
    <row r="36" spans="1:7">
      <c r="A36" s="10">
        <v>39631</v>
      </c>
      <c r="B36" s="61">
        <v>36.25</v>
      </c>
      <c r="C36" s="1108">
        <v>35.630000000000003</v>
      </c>
      <c r="D36" s="1109">
        <v>37.21</v>
      </c>
      <c r="E36" s="61">
        <v>35.799999999999997</v>
      </c>
      <c r="F36" s="1108">
        <v>35.200000000000003</v>
      </c>
      <c r="G36" s="1109">
        <v>36.97</v>
      </c>
    </row>
    <row r="37" spans="1:7">
      <c r="A37" s="1207">
        <v>39636</v>
      </c>
      <c r="B37" s="1225">
        <v>36.44</v>
      </c>
      <c r="C37" s="1209">
        <v>35.78</v>
      </c>
      <c r="D37" s="1210">
        <v>37.17</v>
      </c>
      <c r="E37" s="1225">
        <v>36.049999999999997</v>
      </c>
      <c r="F37" s="1209">
        <v>35.369999999999997</v>
      </c>
      <c r="G37" s="1210">
        <v>36.950000000000003</v>
      </c>
    </row>
    <row r="38" spans="1:7">
      <c r="A38" s="10">
        <v>39643</v>
      </c>
      <c r="B38" s="61">
        <v>36.46</v>
      </c>
      <c r="C38" s="1108">
        <v>35.81</v>
      </c>
      <c r="D38" s="1109">
        <v>37.15</v>
      </c>
      <c r="E38" s="61">
        <v>36.130000000000003</v>
      </c>
      <c r="F38" s="1108">
        <v>35.46</v>
      </c>
      <c r="G38" s="1109">
        <v>36.9</v>
      </c>
    </row>
    <row r="39" spans="1:7">
      <c r="A39" s="1207">
        <v>39650</v>
      </c>
      <c r="B39" s="1225">
        <v>36.47</v>
      </c>
      <c r="C39" s="1209">
        <v>35.799999999999997</v>
      </c>
      <c r="D39" s="1210">
        <v>37.15</v>
      </c>
      <c r="E39" s="1225">
        <v>36.200000000000003</v>
      </c>
      <c r="F39" s="1209">
        <v>35.49</v>
      </c>
      <c r="G39" s="1210">
        <v>36.99</v>
      </c>
    </row>
    <row r="40" spans="1:7">
      <c r="A40" s="10">
        <v>39657</v>
      </c>
      <c r="B40" s="61">
        <v>36.479999999999997</v>
      </c>
      <c r="C40" s="1108">
        <v>35.81</v>
      </c>
      <c r="D40" s="1109">
        <v>37.159999999999997</v>
      </c>
      <c r="E40" s="61">
        <v>36.130000000000003</v>
      </c>
      <c r="F40" s="1108">
        <v>35.409999999999997</v>
      </c>
      <c r="G40" s="1109">
        <v>36.950000000000003</v>
      </c>
    </row>
    <row r="41" spans="1:7" ht="15" thickBot="1">
      <c r="A41" s="1226" t="s">
        <v>7</v>
      </c>
      <c r="B41" s="1227">
        <f t="shared" ref="B41:G41" si="6">AVERAGE(B36:B40)</f>
        <v>36.42</v>
      </c>
      <c r="C41" s="1228">
        <f t="shared" si="6"/>
        <v>35.765999999999998</v>
      </c>
      <c r="D41" s="1228">
        <f t="shared" si="6"/>
        <v>37.167999999999999</v>
      </c>
      <c r="E41" s="1227">
        <f>AVERAGE(E36:E40)</f>
        <v>36.061999999999998</v>
      </c>
      <c r="F41" s="1228">
        <f t="shared" si="6"/>
        <v>35.386000000000003</v>
      </c>
      <c r="G41" s="1229">
        <f t="shared" si="6"/>
        <v>36.951999999999998</v>
      </c>
    </row>
    <row r="42" spans="1:7">
      <c r="A42" s="587">
        <v>39664</v>
      </c>
      <c r="B42" s="14">
        <v>35.950000000000003</v>
      </c>
      <c r="C42" s="15">
        <v>35.26</v>
      </c>
      <c r="D42" s="16">
        <v>36.54</v>
      </c>
      <c r="E42" s="14">
        <v>35.58</v>
      </c>
      <c r="F42" s="15">
        <v>34.86</v>
      </c>
      <c r="G42" s="16">
        <v>36.31</v>
      </c>
    </row>
    <row r="43" spans="1:7">
      <c r="A43" s="1207">
        <v>39671</v>
      </c>
      <c r="B43" s="1225">
        <v>35.869999999999997</v>
      </c>
      <c r="C43" s="1209">
        <v>35.200000000000003</v>
      </c>
      <c r="D43" s="1210">
        <v>35.869999999999997</v>
      </c>
      <c r="E43" s="1225">
        <v>35.57</v>
      </c>
      <c r="F43" s="1209">
        <v>34.85</v>
      </c>
      <c r="G43" s="1210">
        <v>35.630000000000003</v>
      </c>
    </row>
    <row r="44" spans="1:7">
      <c r="A44" s="587">
        <v>39678</v>
      </c>
      <c r="B44" s="14">
        <v>35.840000000000003</v>
      </c>
      <c r="C44" s="15">
        <v>35.14</v>
      </c>
      <c r="D44" s="16">
        <v>34.76</v>
      </c>
      <c r="E44" s="14">
        <v>35.450000000000003</v>
      </c>
      <c r="F44" s="15">
        <v>34.75</v>
      </c>
      <c r="G44" s="16">
        <v>34.22</v>
      </c>
    </row>
    <row r="45" spans="1:7">
      <c r="A45" s="1207">
        <v>39685</v>
      </c>
      <c r="B45" s="1225">
        <v>35.44</v>
      </c>
      <c r="C45" s="1209">
        <v>34.89</v>
      </c>
      <c r="D45" s="1210">
        <v>34.18</v>
      </c>
      <c r="E45" s="1225">
        <v>35.020000000000003</v>
      </c>
      <c r="F45" s="1209">
        <v>34.479999999999997</v>
      </c>
      <c r="G45" s="1210">
        <v>33.76</v>
      </c>
    </row>
    <row r="46" spans="1:7" ht="15" thickBot="1">
      <c r="A46" s="1226" t="s">
        <v>7</v>
      </c>
      <c r="B46" s="1227">
        <f t="shared" ref="B46:G46" si="7">AVERAGE(B42:B45)</f>
        <v>35.774999999999999</v>
      </c>
      <c r="C46" s="1228">
        <f t="shared" si="7"/>
        <v>35.122500000000002</v>
      </c>
      <c r="D46" s="1228">
        <f t="shared" si="7"/>
        <v>35.337499999999999</v>
      </c>
      <c r="E46" s="1227">
        <f>AVERAGE(E42:E45)</f>
        <v>35.405000000000001</v>
      </c>
      <c r="F46" s="1228">
        <f t="shared" si="7"/>
        <v>34.734999999999999</v>
      </c>
      <c r="G46" s="1229">
        <f t="shared" si="7"/>
        <v>34.979999999999997</v>
      </c>
    </row>
    <row r="47" spans="1:7">
      <c r="A47" s="10">
        <v>39692</v>
      </c>
      <c r="B47" s="61">
        <v>35.340000000000003</v>
      </c>
      <c r="C47" s="1108">
        <v>34.83</v>
      </c>
      <c r="D47" s="1109">
        <v>33.6</v>
      </c>
      <c r="E47" s="61">
        <v>34.94</v>
      </c>
      <c r="F47" s="1108">
        <v>34.42</v>
      </c>
      <c r="G47" s="1109">
        <v>33.229999999999997</v>
      </c>
    </row>
    <row r="48" spans="1:7">
      <c r="A48" s="1207">
        <v>39699</v>
      </c>
      <c r="B48" s="1225">
        <v>35.1</v>
      </c>
      <c r="C48" s="1209">
        <v>34.47</v>
      </c>
      <c r="D48" s="1210">
        <v>33.409999999999997</v>
      </c>
      <c r="E48" s="1225">
        <v>34.700000000000003</v>
      </c>
      <c r="F48" s="1209">
        <v>34.01</v>
      </c>
      <c r="G48" s="1210">
        <v>32.96</v>
      </c>
    </row>
    <row r="49" spans="1:7">
      <c r="A49" s="10">
        <v>39707</v>
      </c>
      <c r="B49" s="61">
        <v>34.770000000000003</v>
      </c>
      <c r="C49" s="1108">
        <v>34.11</v>
      </c>
      <c r="D49" s="1109">
        <v>33.03</v>
      </c>
      <c r="E49" s="61">
        <v>34.43</v>
      </c>
      <c r="F49" s="1108">
        <v>33.74</v>
      </c>
      <c r="G49" s="1109">
        <v>32.67</v>
      </c>
    </row>
    <row r="50" spans="1:7">
      <c r="A50" s="1207">
        <v>39713</v>
      </c>
      <c r="B50" s="1225">
        <v>34.68</v>
      </c>
      <c r="C50" s="1209">
        <v>34.01</v>
      </c>
      <c r="D50" s="1210">
        <v>32.46</v>
      </c>
      <c r="E50" s="1225">
        <v>34.340000000000003</v>
      </c>
      <c r="F50" s="1209">
        <v>33.619999999999997</v>
      </c>
      <c r="G50" s="1210">
        <v>32.11</v>
      </c>
    </row>
    <row r="51" spans="1:7">
      <c r="A51" s="10">
        <v>39720</v>
      </c>
      <c r="B51" s="61">
        <v>34.26</v>
      </c>
      <c r="C51" s="1108">
        <v>33.56</v>
      </c>
      <c r="D51" s="1109">
        <v>31.82</v>
      </c>
      <c r="E51" s="61">
        <v>33.82</v>
      </c>
      <c r="F51" s="1108">
        <v>33.119999999999997</v>
      </c>
      <c r="G51" s="1109">
        <v>31.31</v>
      </c>
    </row>
    <row r="52" spans="1:7" ht="15" thickBot="1">
      <c r="A52" s="1226" t="s">
        <v>7</v>
      </c>
      <c r="B52" s="1227">
        <f t="shared" ref="B52:G52" si="8">AVERAGE(B47:B51)</f>
        <v>34.83</v>
      </c>
      <c r="C52" s="1228">
        <f t="shared" si="8"/>
        <v>34.195999999999998</v>
      </c>
      <c r="D52" s="1228">
        <f t="shared" si="8"/>
        <v>32.863999999999997</v>
      </c>
      <c r="E52" s="1227">
        <f>AVERAGE(E47:E51)</f>
        <v>34.445999999999998</v>
      </c>
      <c r="F52" s="1228">
        <f t="shared" si="8"/>
        <v>33.782000000000004</v>
      </c>
      <c r="G52" s="1229">
        <f t="shared" si="8"/>
        <v>32.456000000000003</v>
      </c>
    </row>
    <row r="53" spans="1:7">
      <c r="A53" s="7">
        <v>39727</v>
      </c>
      <c r="B53" s="14">
        <v>34.01</v>
      </c>
      <c r="C53" s="15">
        <v>33.33</v>
      </c>
      <c r="D53" s="16">
        <v>31.48</v>
      </c>
      <c r="E53" s="14">
        <v>33.57</v>
      </c>
      <c r="F53" s="15">
        <v>32.86</v>
      </c>
      <c r="G53" s="16">
        <v>31.03</v>
      </c>
    </row>
    <row r="54" spans="1:7">
      <c r="A54" s="1207">
        <v>39734</v>
      </c>
      <c r="B54" s="1225">
        <v>32.5</v>
      </c>
      <c r="C54" s="1209">
        <v>31.81</v>
      </c>
      <c r="D54" s="1210">
        <v>30.18</v>
      </c>
      <c r="E54" s="1225">
        <v>31.94</v>
      </c>
      <c r="F54" s="1209">
        <v>31.26</v>
      </c>
      <c r="G54" s="1210">
        <v>29.78</v>
      </c>
    </row>
    <row r="55" spans="1:7">
      <c r="A55" s="7">
        <v>39742</v>
      </c>
      <c r="B55" s="14">
        <v>30.06</v>
      </c>
      <c r="C55" s="15">
        <v>29.12</v>
      </c>
      <c r="D55" s="16">
        <v>28.45</v>
      </c>
      <c r="E55" s="14">
        <v>29.51</v>
      </c>
      <c r="F55" s="15">
        <v>28.51</v>
      </c>
      <c r="G55" s="16">
        <v>27.95</v>
      </c>
    </row>
    <row r="56" spans="1:7">
      <c r="A56" s="1207">
        <v>39748</v>
      </c>
      <c r="B56" s="1225">
        <v>28.57</v>
      </c>
      <c r="C56" s="1209">
        <v>27.64</v>
      </c>
      <c r="D56" s="1210">
        <v>27.27</v>
      </c>
      <c r="E56" s="1225">
        <v>28.04</v>
      </c>
      <c r="F56" s="1209">
        <v>27.08</v>
      </c>
      <c r="G56" s="1210">
        <v>26.74</v>
      </c>
    </row>
    <row r="57" spans="1:7" ht="15" thickBot="1">
      <c r="A57" s="1226" t="s">
        <v>7</v>
      </c>
      <c r="B57" s="1227">
        <f t="shared" ref="B57:G57" si="9">AVERAGE(B53:B56)</f>
        <v>31.284999999999997</v>
      </c>
      <c r="C57" s="1228">
        <f t="shared" si="9"/>
        <v>30.475000000000001</v>
      </c>
      <c r="D57" s="1228">
        <f t="shared" si="9"/>
        <v>29.344999999999999</v>
      </c>
      <c r="E57" s="1227">
        <f t="shared" si="9"/>
        <v>30.765000000000001</v>
      </c>
      <c r="F57" s="1228">
        <f t="shared" si="9"/>
        <v>29.927500000000002</v>
      </c>
      <c r="G57" s="1229">
        <f t="shared" si="9"/>
        <v>28.875</v>
      </c>
    </row>
    <row r="58" spans="1:7">
      <c r="A58" s="7">
        <v>39755</v>
      </c>
      <c r="B58" s="14">
        <v>27.5</v>
      </c>
      <c r="C58" s="15">
        <v>26.58</v>
      </c>
      <c r="D58" s="16">
        <v>26.5</v>
      </c>
      <c r="E58" s="14">
        <v>26.97</v>
      </c>
      <c r="F58" s="15">
        <v>25.99</v>
      </c>
      <c r="G58" s="16">
        <v>26.01</v>
      </c>
    </row>
    <row r="59" spans="1:7">
      <c r="A59" s="1207">
        <v>39762</v>
      </c>
      <c r="B59" s="1225">
        <v>26.73</v>
      </c>
      <c r="C59" s="1209">
        <v>25.79</v>
      </c>
      <c r="D59" s="1210">
        <v>25.73</v>
      </c>
      <c r="E59" s="1225">
        <v>26.22</v>
      </c>
      <c r="F59" s="1209">
        <v>25.25</v>
      </c>
      <c r="G59" s="1210">
        <v>25.27</v>
      </c>
    </row>
    <row r="60" spans="1:7">
      <c r="A60" s="7">
        <v>39769</v>
      </c>
      <c r="B60" s="14">
        <v>25.98</v>
      </c>
      <c r="C60" s="15">
        <v>25.03</v>
      </c>
      <c r="D60" s="16">
        <v>24.81</v>
      </c>
      <c r="E60" s="14">
        <v>25.49</v>
      </c>
      <c r="F60" s="15">
        <v>24.52</v>
      </c>
      <c r="G60" s="16">
        <v>24.32</v>
      </c>
    </row>
    <row r="61" spans="1:7">
      <c r="A61" s="1207">
        <v>39776</v>
      </c>
      <c r="B61" s="1225">
        <v>24.95</v>
      </c>
      <c r="C61" s="1209">
        <v>24</v>
      </c>
      <c r="D61" s="1210">
        <v>23.82</v>
      </c>
      <c r="E61" s="1225">
        <v>24.36</v>
      </c>
      <c r="F61" s="1209">
        <v>23.39</v>
      </c>
      <c r="G61" s="1210">
        <v>23.26</v>
      </c>
    </row>
    <row r="62" spans="1:7" ht="15" thickBot="1">
      <c r="A62" s="1226" t="s">
        <v>7</v>
      </c>
      <c r="B62" s="1227">
        <f t="shared" ref="B62:G62" si="10">AVERAGE(B58:B61)</f>
        <v>26.290000000000003</v>
      </c>
      <c r="C62" s="1228">
        <f t="shared" si="10"/>
        <v>25.35</v>
      </c>
      <c r="D62" s="1228">
        <f t="shared" si="10"/>
        <v>25.215000000000003</v>
      </c>
      <c r="E62" s="1227">
        <f t="shared" si="10"/>
        <v>25.759999999999998</v>
      </c>
      <c r="F62" s="1228">
        <f t="shared" si="10"/>
        <v>24.787499999999998</v>
      </c>
      <c r="G62" s="1229">
        <f t="shared" si="10"/>
        <v>24.715</v>
      </c>
    </row>
    <row r="63" spans="1:7">
      <c r="A63" s="10">
        <v>39783</v>
      </c>
      <c r="B63" s="61">
        <v>23.83</v>
      </c>
      <c r="C63" s="1108">
        <v>23.11</v>
      </c>
      <c r="D63" s="1109">
        <v>22.9</v>
      </c>
      <c r="E63" s="61">
        <v>23.35</v>
      </c>
      <c r="F63" s="1108">
        <v>22.58</v>
      </c>
      <c r="G63" s="1109">
        <v>22.45</v>
      </c>
    </row>
    <row r="64" spans="1:7">
      <c r="A64" s="1207">
        <v>39790</v>
      </c>
      <c r="B64" s="1225">
        <v>22.92</v>
      </c>
      <c r="C64" s="1209">
        <v>22.22</v>
      </c>
      <c r="D64" s="1210">
        <v>21.82</v>
      </c>
      <c r="E64" s="1225">
        <v>22.41</v>
      </c>
      <c r="F64" s="1209">
        <v>21.71</v>
      </c>
      <c r="G64" s="1210">
        <v>21.34</v>
      </c>
    </row>
    <row r="65" spans="1:7">
      <c r="A65" s="10">
        <v>39797</v>
      </c>
      <c r="B65" s="61">
        <v>22.47</v>
      </c>
      <c r="C65" s="1108">
        <v>21.74</v>
      </c>
      <c r="D65" s="1109">
        <v>21.13</v>
      </c>
      <c r="E65" s="61">
        <v>21.91</v>
      </c>
      <c r="F65" s="1108">
        <v>21.2</v>
      </c>
      <c r="G65" s="1109">
        <v>20.56</v>
      </c>
    </row>
    <row r="66" spans="1:7">
      <c r="A66" s="1207">
        <v>39804</v>
      </c>
      <c r="B66" s="1225">
        <v>22.03</v>
      </c>
      <c r="C66" s="1209">
        <v>21.35</v>
      </c>
      <c r="D66" s="1210">
        <v>20.37</v>
      </c>
      <c r="E66" s="1225">
        <v>21.66</v>
      </c>
      <c r="F66" s="1209">
        <v>20.99</v>
      </c>
      <c r="G66" s="1210">
        <v>19.86</v>
      </c>
    </row>
    <row r="67" spans="1:7">
      <c r="A67" s="10">
        <v>39811</v>
      </c>
      <c r="B67" s="61">
        <v>21.48</v>
      </c>
      <c r="C67" s="1108">
        <v>20.62</v>
      </c>
      <c r="D67" s="1109">
        <v>19.84</v>
      </c>
      <c r="E67" s="61">
        <v>20.99</v>
      </c>
      <c r="F67" s="1108">
        <v>20.03</v>
      </c>
      <c r="G67" s="1109">
        <v>19.34</v>
      </c>
    </row>
    <row r="68" spans="1:7" ht="15" thickBot="1">
      <c r="A68" s="1226" t="s">
        <v>7</v>
      </c>
      <c r="B68" s="1227">
        <f t="shared" ref="B68:G68" si="11">AVERAGE(B63:B67)</f>
        <v>22.545999999999999</v>
      </c>
      <c r="C68" s="1228">
        <f t="shared" si="11"/>
        <v>21.808</v>
      </c>
      <c r="D68" s="1228">
        <f t="shared" si="11"/>
        <v>21.212</v>
      </c>
      <c r="E68" s="1227">
        <f t="shared" si="11"/>
        <v>22.064</v>
      </c>
      <c r="F68" s="1228">
        <f t="shared" si="11"/>
        <v>21.302</v>
      </c>
      <c r="G68" s="1229">
        <f t="shared" si="11"/>
        <v>20.71</v>
      </c>
    </row>
  </sheetData>
  <mergeCells count="7">
    <mergeCell ref="B7:D7"/>
    <mergeCell ref="E7:G7"/>
    <mergeCell ref="A1:G1"/>
    <mergeCell ref="A2:G2"/>
    <mergeCell ref="A3:G3"/>
    <mergeCell ref="A4:G4"/>
    <mergeCell ref="A5:G5"/>
  </mergeCells>
  <phoneticPr fontId="5" type="noConversion"/>
  <pageMargins left="1.28" right="0.75" top="0.38" bottom="0.5" header="0" footer="0"/>
  <pageSetup scale="80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5"/>
  <dimension ref="A1:M177"/>
  <sheetViews>
    <sheetView view="pageBreakPreview" zoomScaleNormal="100" zoomScaleSheetLayoutView="100" workbookViewId="0">
      <selection activeCell="F19" sqref="F19"/>
    </sheetView>
  </sheetViews>
  <sheetFormatPr baseColWidth="10" defaultColWidth="11.42578125" defaultRowHeight="12.75"/>
  <cols>
    <col min="1" max="1" width="12.7109375" customWidth="1"/>
    <col min="2" max="2" width="29.5703125" customWidth="1"/>
    <col min="3" max="3" width="12.28515625" bestFit="1" customWidth="1"/>
  </cols>
  <sheetData>
    <row r="1" spans="1:7">
      <c r="A1" s="1004" t="s">
        <v>54</v>
      </c>
      <c r="B1" s="1004"/>
      <c r="C1" s="1003"/>
      <c r="D1" s="548"/>
      <c r="E1" s="548"/>
      <c r="F1" s="548"/>
      <c r="G1" s="548"/>
    </row>
    <row r="2" spans="1:7">
      <c r="A2" s="1004" t="s">
        <v>569</v>
      </c>
      <c r="B2" s="1004"/>
      <c r="C2" s="1003"/>
      <c r="D2" s="548"/>
      <c r="E2" s="548"/>
      <c r="F2" s="548"/>
      <c r="G2" s="548"/>
    </row>
    <row r="3" spans="1:7">
      <c r="A3" s="1001"/>
      <c r="B3" s="1001"/>
      <c r="C3" s="1001"/>
      <c r="D3" s="1001"/>
      <c r="E3" s="1001"/>
      <c r="F3" s="1001"/>
      <c r="G3" s="1001"/>
    </row>
    <row r="4" spans="1:7" ht="22.5">
      <c r="A4" s="1780" t="s">
        <v>604</v>
      </c>
      <c r="B4" s="1780"/>
      <c r="C4" s="1780"/>
      <c r="D4" s="1780"/>
      <c r="E4" s="1780"/>
      <c r="F4" s="1780"/>
      <c r="G4" s="1780"/>
    </row>
    <row r="5" spans="1:7" ht="22.5">
      <c r="A5" s="1780" t="s">
        <v>603</v>
      </c>
      <c r="B5" s="1780"/>
      <c r="C5" s="1780"/>
      <c r="D5" s="1780"/>
      <c r="E5" s="1780"/>
      <c r="F5" s="1780"/>
      <c r="G5" s="1780"/>
    </row>
    <row r="6" spans="1:7" ht="22.5">
      <c r="A6" s="1780" t="s">
        <v>617</v>
      </c>
      <c r="B6" s="1780"/>
      <c r="C6" s="1780"/>
      <c r="D6" s="1780"/>
      <c r="E6" s="1780"/>
      <c r="F6" s="1780"/>
      <c r="G6" s="1780"/>
    </row>
    <row r="7" spans="1:7" ht="5.25" customHeight="1">
      <c r="A7" s="994"/>
      <c r="B7" s="994"/>
      <c r="C7" s="994"/>
      <c r="D7" s="994"/>
      <c r="E7" s="994"/>
      <c r="F7" s="994"/>
      <c r="G7" s="994"/>
    </row>
    <row r="8" spans="1:7" ht="13.5">
      <c r="A8" s="1781" t="s">
        <v>605</v>
      </c>
      <c r="B8" s="1781"/>
      <c r="C8" s="1781"/>
      <c r="D8" s="1781"/>
      <c r="E8" s="1781"/>
      <c r="F8" s="1781"/>
      <c r="G8" s="1781"/>
    </row>
    <row r="9" spans="1:7" ht="3.75" customHeight="1">
      <c r="A9" s="1002"/>
      <c r="B9" s="1002"/>
      <c r="C9" s="1002"/>
      <c r="D9" s="1002"/>
      <c r="E9" s="1002"/>
      <c r="F9" s="1002"/>
      <c r="G9" s="1002"/>
    </row>
    <row r="10" spans="1:7" ht="13.5" thickBot="1">
      <c r="A10" s="1559" t="s">
        <v>115</v>
      </c>
      <c r="B10" s="1559"/>
      <c r="C10" s="1559"/>
      <c r="D10" s="1559"/>
      <c r="E10" s="1559"/>
      <c r="F10" s="1559"/>
      <c r="G10" s="1559"/>
    </row>
    <row r="11" spans="1:7" ht="29.25" customHeight="1" thickBot="1">
      <c r="A11" s="1005" t="s">
        <v>116</v>
      </c>
      <c r="B11" s="1024" t="s">
        <v>117</v>
      </c>
      <c r="C11" s="1006" t="s">
        <v>118</v>
      </c>
      <c r="D11" s="1007" t="s">
        <v>119</v>
      </c>
      <c r="E11" s="1006" t="s">
        <v>120</v>
      </c>
      <c r="F11" s="1007" t="s">
        <v>121</v>
      </c>
      <c r="G11" s="1008" t="s">
        <v>122</v>
      </c>
    </row>
    <row r="12" spans="1:7" ht="12.75" customHeight="1">
      <c r="A12" s="1776">
        <v>43255</v>
      </c>
      <c r="B12" s="901" t="s">
        <v>611</v>
      </c>
      <c r="C12" s="931">
        <v>120</v>
      </c>
      <c r="D12" s="931">
        <v>168</v>
      </c>
      <c r="E12" s="931" t="s">
        <v>126</v>
      </c>
      <c r="F12" s="931" t="s">
        <v>126</v>
      </c>
      <c r="G12" s="932">
        <v>480</v>
      </c>
    </row>
    <row r="13" spans="1:7" ht="12.75" customHeight="1">
      <c r="A13" s="1777"/>
      <c r="B13" s="902" t="s">
        <v>612</v>
      </c>
      <c r="C13" s="933">
        <v>120</v>
      </c>
      <c r="D13" s="933">
        <v>168</v>
      </c>
      <c r="E13" s="933">
        <v>192</v>
      </c>
      <c r="F13" s="933">
        <v>288</v>
      </c>
      <c r="G13" s="934">
        <v>480</v>
      </c>
    </row>
    <row r="14" spans="1:7" ht="14.25" customHeight="1" thickBot="1">
      <c r="A14" s="1778"/>
      <c r="B14" s="903" t="s">
        <v>602</v>
      </c>
      <c r="C14" s="935">
        <v>120</v>
      </c>
      <c r="D14" s="935">
        <v>168</v>
      </c>
      <c r="E14" s="935">
        <v>192</v>
      </c>
      <c r="F14" s="935">
        <v>288</v>
      </c>
      <c r="G14" s="936">
        <v>480</v>
      </c>
    </row>
    <row r="15" spans="1:7" ht="5.25" customHeight="1" thickBot="1">
      <c r="A15" s="997"/>
      <c r="B15" s="589"/>
      <c r="C15" s="937"/>
      <c r="D15" s="937"/>
      <c r="E15" s="937"/>
      <c r="F15" s="937"/>
      <c r="G15" s="1000"/>
    </row>
    <row r="16" spans="1:7" ht="13.5" customHeight="1">
      <c r="A16" s="1776">
        <v>43262</v>
      </c>
      <c r="B16" s="901" t="s">
        <v>611</v>
      </c>
      <c r="C16" s="931">
        <v>120</v>
      </c>
      <c r="D16" s="931">
        <v>168</v>
      </c>
      <c r="E16" s="931" t="s">
        <v>126</v>
      </c>
      <c r="F16" s="931" t="s">
        <v>126</v>
      </c>
      <c r="G16" s="932">
        <v>480</v>
      </c>
    </row>
    <row r="17" spans="1:7" ht="14.25" customHeight="1">
      <c r="A17" s="1777"/>
      <c r="B17" s="902" t="s">
        <v>612</v>
      </c>
      <c r="C17" s="933">
        <v>120</v>
      </c>
      <c r="D17" s="933">
        <v>168</v>
      </c>
      <c r="E17" s="933">
        <v>192</v>
      </c>
      <c r="F17" s="933">
        <v>288</v>
      </c>
      <c r="G17" s="934">
        <v>480</v>
      </c>
    </row>
    <row r="18" spans="1:7" ht="14.25" customHeight="1" thickBot="1">
      <c r="A18" s="1778"/>
      <c r="B18" s="903" t="s">
        <v>602</v>
      </c>
      <c r="C18" s="935">
        <v>120</v>
      </c>
      <c r="D18" s="935">
        <v>168</v>
      </c>
      <c r="E18" s="935">
        <v>192</v>
      </c>
      <c r="F18" s="935">
        <v>288</v>
      </c>
      <c r="G18" s="936">
        <v>480</v>
      </c>
    </row>
    <row r="19" spans="1:7" ht="6" customHeight="1" thickBot="1">
      <c r="A19" s="997"/>
      <c r="B19" s="589"/>
      <c r="C19" s="937"/>
      <c r="D19" s="937"/>
      <c r="E19" s="937"/>
      <c r="F19" s="937"/>
      <c r="G19" s="1000"/>
    </row>
    <row r="20" spans="1:7" ht="12" customHeight="1">
      <c r="A20" s="1776">
        <v>43270</v>
      </c>
      <c r="B20" s="901" t="s">
        <v>611</v>
      </c>
      <c r="C20" s="931">
        <v>120</v>
      </c>
      <c r="D20" s="931">
        <v>168</v>
      </c>
      <c r="E20" s="931" t="s">
        <v>126</v>
      </c>
      <c r="F20" s="931" t="s">
        <v>126</v>
      </c>
      <c r="G20" s="932">
        <v>480</v>
      </c>
    </row>
    <row r="21" spans="1:7" ht="12" customHeight="1">
      <c r="A21" s="1777"/>
      <c r="B21" s="902" t="s">
        <v>612</v>
      </c>
      <c r="C21" s="933">
        <v>120</v>
      </c>
      <c r="D21" s="933">
        <v>168</v>
      </c>
      <c r="E21" s="933">
        <v>192</v>
      </c>
      <c r="F21" s="933">
        <v>288</v>
      </c>
      <c r="G21" s="934">
        <v>480</v>
      </c>
    </row>
    <row r="22" spans="1:7" ht="14.25" customHeight="1" thickBot="1">
      <c r="A22" s="1778"/>
      <c r="B22" s="903" t="s">
        <v>602</v>
      </c>
      <c r="C22" s="935">
        <v>120</v>
      </c>
      <c r="D22" s="935">
        <v>168</v>
      </c>
      <c r="E22" s="935">
        <v>192</v>
      </c>
      <c r="F22" s="935">
        <v>288</v>
      </c>
      <c r="G22" s="936">
        <v>480</v>
      </c>
    </row>
    <row r="23" spans="1:7" ht="4.5" customHeight="1" thickBot="1">
      <c r="A23" s="997"/>
      <c r="B23" s="589"/>
      <c r="C23" s="937"/>
      <c r="D23" s="937"/>
      <c r="E23" s="937"/>
      <c r="F23" s="937"/>
      <c r="G23" s="1000"/>
    </row>
    <row r="24" spans="1:7" ht="12" customHeight="1">
      <c r="A24" s="1776">
        <v>43277</v>
      </c>
      <c r="B24" s="901" t="s">
        <v>611</v>
      </c>
      <c r="C24" s="931">
        <v>120</v>
      </c>
      <c r="D24" s="931">
        <v>168</v>
      </c>
      <c r="E24" s="931" t="s">
        <v>126</v>
      </c>
      <c r="F24" s="931" t="s">
        <v>126</v>
      </c>
      <c r="G24" s="932">
        <v>480</v>
      </c>
    </row>
    <row r="25" spans="1:7" ht="12" customHeight="1">
      <c r="A25" s="1777"/>
      <c r="B25" s="902" t="s">
        <v>612</v>
      </c>
      <c r="C25" s="933">
        <v>120</v>
      </c>
      <c r="D25" s="933">
        <v>168</v>
      </c>
      <c r="E25" s="933">
        <v>192</v>
      </c>
      <c r="F25" s="933">
        <v>288</v>
      </c>
      <c r="G25" s="934">
        <v>480</v>
      </c>
    </row>
    <row r="26" spans="1:7" ht="14.25" customHeight="1" thickBot="1">
      <c r="A26" s="1778"/>
      <c r="B26" s="903" t="s">
        <v>602</v>
      </c>
      <c r="C26" s="935">
        <v>120</v>
      </c>
      <c r="D26" s="935">
        <v>168</v>
      </c>
      <c r="E26" s="935">
        <v>192</v>
      </c>
      <c r="F26" s="935">
        <v>288</v>
      </c>
      <c r="G26" s="936">
        <v>480</v>
      </c>
    </row>
    <row r="27" spans="1:7" ht="6" customHeight="1" thickBot="1">
      <c r="A27" s="997"/>
      <c r="B27" s="589"/>
      <c r="C27" s="937"/>
      <c r="D27" s="937"/>
      <c r="E27" s="937"/>
      <c r="F27" s="937"/>
      <c r="G27" s="1000"/>
    </row>
    <row r="28" spans="1:7" ht="12" customHeight="1">
      <c r="A28" s="1776">
        <v>43285</v>
      </c>
      <c r="B28" s="901" t="s">
        <v>611</v>
      </c>
      <c r="C28" s="931">
        <v>120</v>
      </c>
      <c r="D28" s="931">
        <v>168</v>
      </c>
      <c r="E28" s="931" t="s">
        <v>126</v>
      </c>
      <c r="F28" s="931" t="s">
        <v>126</v>
      </c>
      <c r="G28" s="932">
        <v>480</v>
      </c>
    </row>
    <row r="29" spans="1:7" ht="12" customHeight="1">
      <c r="A29" s="1777"/>
      <c r="B29" s="902" t="s">
        <v>612</v>
      </c>
      <c r="C29" s="933">
        <v>120</v>
      </c>
      <c r="D29" s="933">
        <v>168</v>
      </c>
      <c r="E29" s="933">
        <v>192</v>
      </c>
      <c r="F29" s="933">
        <v>288</v>
      </c>
      <c r="G29" s="934">
        <v>480</v>
      </c>
    </row>
    <row r="30" spans="1:7" ht="14.25" customHeight="1" thickBot="1">
      <c r="A30" s="1778"/>
      <c r="B30" s="903" t="s">
        <v>602</v>
      </c>
      <c r="C30" s="935">
        <v>120</v>
      </c>
      <c r="D30" s="935">
        <v>168</v>
      </c>
      <c r="E30" s="935">
        <v>192</v>
      </c>
      <c r="F30" s="935">
        <v>288</v>
      </c>
      <c r="G30" s="936">
        <v>480</v>
      </c>
    </row>
    <row r="31" spans="1:7" ht="6.75" customHeight="1" thickBot="1">
      <c r="A31" s="997"/>
      <c r="B31" s="589"/>
      <c r="C31" s="937"/>
      <c r="D31" s="937"/>
      <c r="E31" s="937"/>
      <c r="F31" s="937"/>
      <c r="G31" s="1000"/>
    </row>
    <row r="32" spans="1:7" ht="12" customHeight="1">
      <c r="A32" s="1776">
        <v>43291</v>
      </c>
      <c r="B32" s="901" t="s">
        <v>611</v>
      </c>
      <c r="C32" s="931">
        <v>120</v>
      </c>
      <c r="D32" s="931">
        <v>168</v>
      </c>
      <c r="E32" s="931" t="s">
        <v>126</v>
      </c>
      <c r="F32" s="931" t="s">
        <v>126</v>
      </c>
      <c r="G32" s="932">
        <v>480</v>
      </c>
    </row>
    <row r="33" spans="1:7" ht="12" customHeight="1">
      <c r="A33" s="1777"/>
      <c r="B33" s="902" t="s">
        <v>612</v>
      </c>
      <c r="C33" s="933">
        <v>120</v>
      </c>
      <c r="D33" s="933">
        <v>168</v>
      </c>
      <c r="E33" s="933">
        <v>192</v>
      </c>
      <c r="F33" s="933">
        <v>288</v>
      </c>
      <c r="G33" s="934">
        <v>480</v>
      </c>
    </row>
    <row r="34" spans="1:7" ht="14.25" customHeight="1" thickBot="1">
      <c r="A34" s="1778"/>
      <c r="B34" s="903" t="s">
        <v>602</v>
      </c>
      <c r="C34" s="935">
        <v>120</v>
      </c>
      <c r="D34" s="935">
        <v>168</v>
      </c>
      <c r="E34" s="935">
        <v>192</v>
      </c>
      <c r="F34" s="935">
        <v>288</v>
      </c>
      <c r="G34" s="936">
        <v>480</v>
      </c>
    </row>
    <row r="35" spans="1:7" ht="6" customHeight="1" thickBot="1">
      <c r="A35" s="997"/>
      <c r="B35" s="589"/>
      <c r="C35" s="937"/>
      <c r="D35" s="937"/>
      <c r="E35" s="937"/>
      <c r="F35" s="937"/>
      <c r="G35" s="1000"/>
    </row>
    <row r="36" spans="1:7" ht="12" customHeight="1">
      <c r="A36" s="1776">
        <v>43298</v>
      </c>
      <c r="B36" s="901" t="s">
        <v>123</v>
      </c>
      <c r="C36" s="931">
        <v>120</v>
      </c>
      <c r="D36" s="931">
        <v>168</v>
      </c>
      <c r="E36" s="931" t="s">
        <v>126</v>
      </c>
      <c r="F36" s="931" t="s">
        <v>126</v>
      </c>
      <c r="G36" s="932">
        <v>480</v>
      </c>
    </row>
    <row r="37" spans="1:7" ht="12" customHeight="1">
      <c r="A37" s="1777"/>
      <c r="B37" s="902" t="s">
        <v>124</v>
      </c>
      <c r="C37" s="933">
        <v>120</v>
      </c>
      <c r="D37" s="933">
        <v>168</v>
      </c>
      <c r="E37" s="933">
        <v>192</v>
      </c>
      <c r="F37" s="933">
        <v>288</v>
      </c>
      <c r="G37" s="934">
        <v>480</v>
      </c>
    </row>
    <row r="38" spans="1:7" ht="14.25" customHeight="1" thickBot="1">
      <c r="A38" s="1778"/>
      <c r="B38" s="903" t="s">
        <v>602</v>
      </c>
      <c r="C38" s="935">
        <v>120</v>
      </c>
      <c r="D38" s="935">
        <v>168</v>
      </c>
      <c r="E38" s="935">
        <v>192</v>
      </c>
      <c r="F38" s="935">
        <v>288</v>
      </c>
      <c r="G38" s="936">
        <v>480</v>
      </c>
    </row>
    <row r="39" spans="1:7" ht="6.75" customHeight="1" thickBot="1">
      <c r="A39" s="997"/>
      <c r="B39" s="589"/>
      <c r="C39" s="937"/>
      <c r="D39" s="937"/>
      <c r="E39" s="937"/>
      <c r="F39" s="937"/>
      <c r="G39" s="1000"/>
    </row>
    <row r="40" spans="1:7" ht="12" customHeight="1">
      <c r="A40" s="1776">
        <v>43305</v>
      </c>
      <c r="B40" s="901" t="s">
        <v>611</v>
      </c>
      <c r="C40" s="931">
        <v>120</v>
      </c>
      <c r="D40" s="931">
        <v>168</v>
      </c>
      <c r="E40" s="931" t="s">
        <v>126</v>
      </c>
      <c r="F40" s="931" t="s">
        <v>126</v>
      </c>
      <c r="G40" s="932">
        <v>480</v>
      </c>
    </row>
    <row r="41" spans="1:7" ht="12" customHeight="1">
      <c r="A41" s="1777"/>
      <c r="B41" s="902" t="s">
        <v>612</v>
      </c>
      <c r="C41" s="933">
        <v>120</v>
      </c>
      <c r="D41" s="933">
        <v>168</v>
      </c>
      <c r="E41" s="933">
        <v>192</v>
      </c>
      <c r="F41" s="933">
        <v>288</v>
      </c>
      <c r="G41" s="934">
        <v>480</v>
      </c>
    </row>
    <row r="42" spans="1:7" ht="14.25" customHeight="1" thickBot="1">
      <c r="A42" s="1778"/>
      <c r="B42" s="903" t="s">
        <v>602</v>
      </c>
      <c r="C42" s="935">
        <v>120</v>
      </c>
      <c r="D42" s="935">
        <v>168</v>
      </c>
      <c r="E42" s="935">
        <v>192</v>
      </c>
      <c r="F42" s="935">
        <v>288</v>
      </c>
      <c r="G42" s="936">
        <v>480</v>
      </c>
    </row>
    <row r="43" spans="1:7" ht="6" customHeight="1" thickBot="1">
      <c r="A43" s="997"/>
      <c r="B43" s="589"/>
      <c r="C43" s="937"/>
      <c r="D43" s="937"/>
      <c r="E43" s="937"/>
      <c r="F43" s="937"/>
      <c r="G43" s="1000"/>
    </row>
    <row r="44" spans="1:7" ht="12" customHeight="1">
      <c r="A44" s="1776">
        <v>43312</v>
      </c>
      <c r="B44" s="901" t="s">
        <v>611</v>
      </c>
      <c r="C44" s="931">
        <v>120</v>
      </c>
      <c r="D44" s="931">
        <v>168</v>
      </c>
      <c r="E44" s="931" t="s">
        <v>126</v>
      </c>
      <c r="F44" s="931" t="s">
        <v>126</v>
      </c>
      <c r="G44" s="932">
        <v>480</v>
      </c>
    </row>
    <row r="45" spans="1:7" ht="12" customHeight="1">
      <c r="A45" s="1777"/>
      <c r="B45" s="902" t="s">
        <v>612</v>
      </c>
      <c r="C45" s="933">
        <v>120</v>
      </c>
      <c r="D45" s="933">
        <v>168</v>
      </c>
      <c r="E45" s="933">
        <v>192</v>
      </c>
      <c r="F45" s="933">
        <v>288</v>
      </c>
      <c r="G45" s="934">
        <v>480</v>
      </c>
    </row>
    <row r="46" spans="1:7" ht="14.25" customHeight="1" thickBot="1">
      <c r="A46" s="1778"/>
      <c r="B46" s="903" t="s">
        <v>602</v>
      </c>
      <c r="C46" s="935">
        <v>120</v>
      </c>
      <c r="D46" s="935">
        <v>168</v>
      </c>
      <c r="E46" s="935">
        <v>192</v>
      </c>
      <c r="F46" s="935">
        <v>288</v>
      </c>
      <c r="G46" s="936">
        <v>480</v>
      </c>
    </row>
    <row r="47" spans="1:7" ht="6.75" customHeight="1" thickBot="1">
      <c r="A47" s="999"/>
      <c r="B47" s="581"/>
      <c r="C47" s="1012"/>
      <c r="D47" s="1012"/>
      <c r="E47" s="1012"/>
      <c r="F47" s="1012"/>
      <c r="G47" s="1013"/>
    </row>
    <row r="48" spans="1:7" ht="12" customHeight="1">
      <c r="A48" s="1776">
        <v>43318</v>
      </c>
      <c r="B48" s="901" t="s">
        <v>611</v>
      </c>
      <c r="C48" s="931">
        <v>120</v>
      </c>
      <c r="D48" s="931">
        <v>168</v>
      </c>
      <c r="E48" s="931" t="s">
        <v>126</v>
      </c>
      <c r="F48" s="931" t="s">
        <v>126</v>
      </c>
      <c r="G48" s="932">
        <v>480</v>
      </c>
    </row>
    <row r="49" spans="1:7" ht="12" customHeight="1">
      <c r="A49" s="1777"/>
      <c r="B49" s="902" t="s">
        <v>612</v>
      </c>
      <c r="C49" s="933">
        <v>120</v>
      </c>
      <c r="D49" s="933">
        <v>168</v>
      </c>
      <c r="E49" s="933">
        <v>192</v>
      </c>
      <c r="F49" s="933">
        <v>288</v>
      </c>
      <c r="G49" s="934">
        <v>480</v>
      </c>
    </row>
    <row r="50" spans="1:7" ht="14.25" customHeight="1" thickBot="1">
      <c r="A50" s="1778"/>
      <c r="B50" s="903" t="s">
        <v>602</v>
      </c>
      <c r="C50" s="935">
        <v>120</v>
      </c>
      <c r="D50" s="935">
        <v>168</v>
      </c>
      <c r="E50" s="935">
        <v>192</v>
      </c>
      <c r="F50" s="935">
        <v>288</v>
      </c>
      <c r="G50" s="936">
        <v>480</v>
      </c>
    </row>
    <row r="51" spans="1:7" ht="6" customHeight="1" thickBot="1">
      <c r="A51" s="997"/>
      <c r="B51" s="589"/>
      <c r="C51" s="937"/>
      <c r="D51" s="937"/>
      <c r="E51" s="937"/>
      <c r="F51" s="937"/>
      <c r="G51" s="1000"/>
    </row>
    <row r="52" spans="1:7" ht="12" customHeight="1">
      <c r="A52" s="1776">
        <v>43326</v>
      </c>
      <c r="B52" s="901" t="s">
        <v>611</v>
      </c>
      <c r="C52" s="931">
        <v>120</v>
      </c>
      <c r="D52" s="931">
        <v>168</v>
      </c>
      <c r="E52" s="931" t="s">
        <v>126</v>
      </c>
      <c r="F52" s="931" t="s">
        <v>126</v>
      </c>
      <c r="G52" s="932">
        <v>480</v>
      </c>
    </row>
    <row r="53" spans="1:7" ht="12" customHeight="1">
      <c r="A53" s="1777"/>
      <c r="B53" s="902" t="s">
        <v>612</v>
      </c>
      <c r="C53" s="933">
        <v>120</v>
      </c>
      <c r="D53" s="933">
        <v>168</v>
      </c>
      <c r="E53" s="933">
        <v>192</v>
      </c>
      <c r="F53" s="933">
        <v>288</v>
      </c>
      <c r="G53" s="934">
        <v>480</v>
      </c>
    </row>
    <row r="54" spans="1:7" ht="14.25" customHeight="1" thickBot="1">
      <c r="A54" s="1778"/>
      <c r="B54" s="903" t="s">
        <v>602</v>
      </c>
      <c r="C54" s="935">
        <v>120</v>
      </c>
      <c r="D54" s="935">
        <v>168</v>
      </c>
      <c r="E54" s="935">
        <v>192</v>
      </c>
      <c r="F54" s="935">
        <v>288</v>
      </c>
      <c r="G54" s="936">
        <v>480</v>
      </c>
    </row>
    <row r="55" spans="1:7" ht="6.75" customHeight="1" thickBot="1">
      <c r="A55" s="997"/>
      <c r="B55" s="589"/>
      <c r="C55" s="937"/>
      <c r="D55" s="937"/>
      <c r="E55" s="937"/>
      <c r="F55" s="937"/>
      <c r="G55" s="1000"/>
    </row>
    <row r="56" spans="1:7" ht="12" customHeight="1">
      <c r="A56" s="1776">
        <v>43333</v>
      </c>
      <c r="B56" s="901" t="s">
        <v>611</v>
      </c>
      <c r="C56" s="931">
        <v>120</v>
      </c>
      <c r="D56" s="931">
        <v>168</v>
      </c>
      <c r="E56" s="931" t="s">
        <v>126</v>
      </c>
      <c r="F56" s="931" t="s">
        <v>126</v>
      </c>
      <c r="G56" s="932">
        <v>480</v>
      </c>
    </row>
    <row r="57" spans="1:7" ht="12" customHeight="1">
      <c r="A57" s="1777"/>
      <c r="B57" s="902" t="s">
        <v>612</v>
      </c>
      <c r="C57" s="933">
        <v>120</v>
      </c>
      <c r="D57" s="933">
        <v>168</v>
      </c>
      <c r="E57" s="933">
        <v>192</v>
      </c>
      <c r="F57" s="933">
        <v>288</v>
      </c>
      <c r="G57" s="934">
        <v>480</v>
      </c>
    </row>
    <row r="58" spans="1:7" ht="14.25" customHeight="1" thickBot="1">
      <c r="A58" s="1778"/>
      <c r="B58" s="903" t="s">
        <v>602</v>
      </c>
      <c r="C58" s="935">
        <v>120</v>
      </c>
      <c r="D58" s="935">
        <v>168</v>
      </c>
      <c r="E58" s="935">
        <v>192</v>
      </c>
      <c r="F58" s="935">
        <v>288</v>
      </c>
      <c r="G58" s="936">
        <v>480</v>
      </c>
    </row>
    <row r="59" spans="1:7" ht="4.5" customHeight="1" thickBot="1">
      <c r="A59" s="997"/>
      <c r="B59" s="589"/>
      <c r="C59" s="937"/>
      <c r="D59" s="937"/>
      <c r="E59" s="937"/>
      <c r="F59" s="937"/>
      <c r="G59" s="1000"/>
    </row>
    <row r="60" spans="1:7" ht="12" customHeight="1">
      <c r="A60" s="1776">
        <v>43339</v>
      </c>
      <c r="B60" s="901" t="s">
        <v>611</v>
      </c>
      <c r="C60" s="931">
        <v>120</v>
      </c>
      <c r="D60" s="931">
        <v>168</v>
      </c>
      <c r="E60" s="931" t="s">
        <v>126</v>
      </c>
      <c r="F60" s="931" t="s">
        <v>126</v>
      </c>
      <c r="G60" s="932">
        <v>480</v>
      </c>
    </row>
    <row r="61" spans="1:7" ht="12" customHeight="1">
      <c r="A61" s="1777"/>
      <c r="B61" s="902" t="s">
        <v>612</v>
      </c>
      <c r="C61" s="933">
        <v>120</v>
      </c>
      <c r="D61" s="933">
        <v>168</v>
      </c>
      <c r="E61" s="933">
        <v>192</v>
      </c>
      <c r="F61" s="933">
        <v>288</v>
      </c>
      <c r="G61" s="934">
        <v>480</v>
      </c>
    </row>
    <row r="62" spans="1:7" ht="14.25" customHeight="1" thickBot="1">
      <c r="A62" s="1778"/>
      <c r="B62" s="903" t="s">
        <v>602</v>
      </c>
      <c r="C62" s="935">
        <v>120</v>
      </c>
      <c r="D62" s="935">
        <v>168</v>
      </c>
      <c r="E62" s="935">
        <v>192</v>
      </c>
      <c r="F62" s="935">
        <v>288</v>
      </c>
      <c r="G62" s="936">
        <v>480</v>
      </c>
    </row>
    <row r="63" spans="1:7" ht="5.25" customHeight="1" thickBot="1">
      <c r="A63" s="997"/>
      <c r="B63" s="589"/>
      <c r="C63" s="937"/>
      <c r="D63" s="937"/>
      <c r="E63" s="937"/>
      <c r="F63" s="937"/>
      <c r="G63" s="1000"/>
    </row>
    <row r="64" spans="1:7" ht="14.25" customHeight="1">
      <c r="A64" s="1776">
        <v>43346</v>
      </c>
      <c r="B64" s="901" t="s">
        <v>611</v>
      </c>
      <c r="C64" s="931">
        <v>120</v>
      </c>
      <c r="D64" s="931">
        <v>168</v>
      </c>
      <c r="E64" s="931" t="s">
        <v>126</v>
      </c>
      <c r="F64" s="931" t="s">
        <v>126</v>
      </c>
      <c r="G64" s="932">
        <v>480</v>
      </c>
    </row>
    <row r="65" spans="1:13" ht="14.25" customHeight="1">
      <c r="A65" s="1777"/>
      <c r="B65" s="902" t="s">
        <v>612</v>
      </c>
      <c r="C65" s="933">
        <v>120</v>
      </c>
      <c r="D65" s="933">
        <v>168</v>
      </c>
      <c r="E65" s="933">
        <v>192</v>
      </c>
      <c r="F65" s="933">
        <v>288</v>
      </c>
      <c r="G65" s="934">
        <v>480</v>
      </c>
    </row>
    <row r="66" spans="1:13" ht="14.25" customHeight="1" thickBot="1">
      <c r="A66" s="1778"/>
      <c r="B66" s="903" t="s">
        <v>602</v>
      </c>
      <c r="C66" s="935">
        <v>120</v>
      </c>
      <c r="D66" s="935">
        <v>168</v>
      </c>
      <c r="E66" s="935">
        <v>192</v>
      </c>
      <c r="F66" s="935">
        <v>288</v>
      </c>
      <c r="G66" s="936">
        <v>480</v>
      </c>
    </row>
    <row r="67" spans="1:13" ht="7.5" customHeight="1" thickBot="1">
      <c r="A67" s="997"/>
      <c r="B67" s="589"/>
      <c r="C67" s="937"/>
      <c r="D67" s="937"/>
      <c r="E67" s="937"/>
      <c r="F67" s="937"/>
      <c r="G67" s="1000"/>
    </row>
    <row r="68" spans="1:13" ht="14.25" customHeight="1">
      <c r="A68" s="1776">
        <v>43354</v>
      </c>
      <c r="B68" s="901" t="s">
        <v>611</v>
      </c>
      <c r="C68" s="931">
        <v>120</v>
      </c>
      <c r="D68" s="931">
        <v>168</v>
      </c>
      <c r="E68" s="931" t="s">
        <v>126</v>
      </c>
      <c r="F68" s="931" t="s">
        <v>126</v>
      </c>
      <c r="G68" s="932">
        <v>480</v>
      </c>
    </row>
    <row r="69" spans="1:13" ht="14.25" customHeight="1">
      <c r="A69" s="1777"/>
      <c r="B69" s="902" t="s">
        <v>612</v>
      </c>
      <c r="C69" s="933">
        <v>120</v>
      </c>
      <c r="D69" s="933">
        <v>168</v>
      </c>
      <c r="E69" s="933">
        <v>192</v>
      </c>
      <c r="F69" s="933">
        <v>288</v>
      </c>
      <c r="G69" s="934">
        <v>480</v>
      </c>
    </row>
    <row r="70" spans="1:13" ht="14.25" customHeight="1" thickBot="1">
      <c r="A70" s="1778"/>
      <c r="B70" s="903" t="s">
        <v>602</v>
      </c>
      <c r="C70" s="935">
        <v>120</v>
      </c>
      <c r="D70" s="935">
        <v>168</v>
      </c>
      <c r="E70" s="935">
        <v>192</v>
      </c>
      <c r="F70" s="935">
        <v>288</v>
      </c>
      <c r="G70" s="936">
        <v>480</v>
      </c>
      <c r="H70" s="564"/>
      <c r="I70" s="564"/>
      <c r="J70" s="564"/>
      <c r="K70" s="564"/>
      <c r="L70" s="564"/>
      <c r="M70" s="564"/>
    </row>
    <row r="71" spans="1:13" ht="4.5" customHeight="1" thickBot="1">
      <c r="A71" s="997"/>
      <c r="B71" s="589"/>
      <c r="C71" s="937"/>
      <c r="D71" s="937"/>
      <c r="E71" s="937"/>
      <c r="F71" s="937"/>
      <c r="G71" s="1000"/>
      <c r="H71" s="564"/>
      <c r="I71" s="564"/>
      <c r="J71" s="564"/>
      <c r="K71" s="564"/>
      <c r="L71" s="564"/>
      <c r="M71" s="564"/>
    </row>
    <row r="72" spans="1:13" ht="14.25" customHeight="1">
      <c r="A72" s="1776">
        <v>43361</v>
      </c>
      <c r="B72" s="901" t="s">
        <v>611</v>
      </c>
      <c r="C72" s="931">
        <v>120</v>
      </c>
      <c r="D72" s="931">
        <v>168</v>
      </c>
      <c r="E72" s="931" t="s">
        <v>126</v>
      </c>
      <c r="F72" s="931" t="s">
        <v>126</v>
      </c>
      <c r="G72" s="932">
        <v>480</v>
      </c>
      <c r="H72" s="564"/>
      <c r="I72" s="564"/>
      <c r="J72" s="564"/>
      <c r="K72" s="564"/>
      <c r="L72" s="564"/>
      <c r="M72" s="564"/>
    </row>
    <row r="73" spans="1:13" ht="14.25" customHeight="1">
      <c r="A73" s="1777"/>
      <c r="B73" s="902" t="s">
        <v>612</v>
      </c>
      <c r="C73" s="933">
        <v>120</v>
      </c>
      <c r="D73" s="933">
        <v>168</v>
      </c>
      <c r="E73" s="933">
        <v>192</v>
      </c>
      <c r="F73" s="933">
        <v>288</v>
      </c>
      <c r="G73" s="934">
        <v>480</v>
      </c>
      <c r="H73" s="564"/>
      <c r="I73" s="564"/>
      <c r="J73" s="564"/>
      <c r="K73" s="564"/>
      <c r="L73" s="564"/>
      <c r="M73" s="564"/>
    </row>
    <row r="74" spans="1:13" ht="14.25" customHeight="1" thickBot="1">
      <c r="A74" s="1778"/>
      <c r="B74" s="903" t="s">
        <v>602</v>
      </c>
      <c r="C74" s="935">
        <v>120</v>
      </c>
      <c r="D74" s="935">
        <v>168</v>
      </c>
      <c r="E74" s="935">
        <v>192</v>
      </c>
      <c r="F74" s="935">
        <v>288</v>
      </c>
      <c r="G74" s="936">
        <v>480</v>
      </c>
      <c r="H74" s="564"/>
      <c r="I74" s="564"/>
      <c r="J74" s="564"/>
      <c r="K74" s="564"/>
      <c r="L74" s="564"/>
      <c r="M74" s="564"/>
    </row>
    <row r="75" spans="1:13" ht="8.25" customHeight="1" thickBot="1">
      <c r="A75" s="579"/>
      <c r="B75" s="589"/>
      <c r="C75" s="937"/>
      <c r="D75" s="937"/>
      <c r="E75" s="937"/>
      <c r="F75" s="937"/>
      <c r="G75" s="937"/>
      <c r="H75" s="564"/>
      <c r="I75" s="564"/>
      <c r="J75" s="564"/>
      <c r="K75" s="564"/>
      <c r="L75" s="564"/>
      <c r="M75" s="564"/>
    </row>
    <row r="76" spans="1:13" ht="14.25" customHeight="1">
      <c r="A76" s="1776">
        <v>43370</v>
      </c>
      <c r="B76" s="901" t="s">
        <v>611</v>
      </c>
      <c r="C76" s="931">
        <v>120</v>
      </c>
      <c r="D76" s="931">
        <v>168</v>
      </c>
      <c r="E76" s="931" t="s">
        <v>126</v>
      </c>
      <c r="F76" s="931" t="s">
        <v>126</v>
      </c>
      <c r="G76" s="932">
        <v>480</v>
      </c>
      <c r="H76" s="564"/>
      <c r="I76" s="564"/>
      <c r="J76" s="564"/>
      <c r="K76" s="564"/>
      <c r="L76" s="564"/>
      <c r="M76" s="564"/>
    </row>
    <row r="77" spans="1:13" ht="14.25" customHeight="1">
      <c r="A77" s="1777"/>
      <c r="B77" s="902" t="s">
        <v>612</v>
      </c>
      <c r="C77" s="933">
        <v>120</v>
      </c>
      <c r="D77" s="933">
        <v>168</v>
      </c>
      <c r="E77" s="933">
        <v>192</v>
      </c>
      <c r="F77" s="933">
        <v>288</v>
      </c>
      <c r="G77" s="934">
        <v>480</v>
      </c>
      <c r="H77" s="564"/>
      <c r="I77" s="564"/>
      <c r="J77" s="564"/>
      <c r="K77" s="564"/>
      <c r="L77" s="564"/>
      <c r="M77" s="564"/>
    </row>
    <row r="78" spans="1:13" ht="14.25" customHeight="1" thickBot="1">
      <c r="A78" s="1778"/>
      <c r="B78" s="903" t="s">
        <v>602</v>
      </c>
      <c r="C78" s="935">
        <v>120</v>
      </c>
      <c r="D78" s="935">
        <v>168</v>
      </c>
      <c r="E78" s="935">
        <v>192</v>
      </c>
      <c r="F78" s="935">
        <v>288</v>
      </c>
      <c r="G78" s="936">
        <v>480</v>
      </c>
      <c r="H78" s="564"/>
      <c r="I78" s="564"/>
      <c r="J78" s="564"/>
      <c r="K78" s="564"/>
      <c r="L78" s="564"/>
      <c r="M78" s="564"/>
    </row>
    <row r="79" spans="1:13" ht="6.75" customHeight="1" thickBot="1">
      <c r="A79" s="997"/>
      <c r="B79" s="589"/>
      <c r="C79" s="937"/>
      <c r="D79" s="937"/>
      <c r="E79" s="937"/>
      <c r="F79" s="937"/>
      <c r="G79" s="1000"/>
      <c r="H79" s="564"/>
      <c r="I79" s="564"/>
      <c r="J79" s="564"/>
      <c r="K79" s="564"/>
      <c r="L79" s="564"/>
      <c r="M79" s="564"/>
    </row>
    <row r="80" spans="1:13" ht="14.25" customHeight="1">
      <c r="A80" s="1776">
        <v>43376</v>
      </c>
      <c r="B80" s="901" t="s">
        <v>611</v>
      </c>
      <c r="C80" s="931">
        <v>128</v>
      </c>
      <c r="D80" s="931">
        <v>180</v>
      </c>
      <c r="E80" s="931" t="s">
        <v>126</v>
      </c>
      <c r="F80" s="931" t="s">
        <v>126</v>
      </c>
      <c r="G80" s="932">
        <v>512</v>
      </c>
      <c r="H80" s="564"/>
      <c r="I80" s="564"/>
      <c r="J80" s="564"/>
      <c r="K80" s="564"/>
      <c r="L80" s="564"/>
      <c r="M80" s="564"/>
    </row>
    <row r="81" spans="1:13" ht="14.25" customHeight="1">
      <c r="A81" s="1777"/>
      <c r="B81" s="902" t="s">
        <v>612</v>
      </c>
      <c r="C81" s="933">
        <v>128</v>
      </c>
      <c r="D81" s="933">
        <v>180</v>
      </c>
      <c r="E81" s="933">
        <v>205</v>
      </c>
      <c r="F81" s="933">
        <v>308</v>
      </c>
      <c r="G81" s="934">
        <v>512</v>
      </c>
      <c r="H81" s="564"/>
      <c r="I81" s="564"/>
      <c r="J81" s="564"/>
      <c r="K81" s="564"/>
      <c r="L81" s="564"/>
      <c r="M81" s="564"/>
    </row>
    <row r="82" spans="1:13" ht="14.25" customHeight="1" thickBot="1">
      <c r="A82" s="1778"/>
      <c r="B82" s="903" t="s">
        <v>602</v>
      </c>
      <c r="C82" s="935">
        <v>128</v>
      </c>
      <c r="D82" s="935">
        <v>180</v>
      </c>
      <c r="E82" s="935">
        <v>205</v>
      </c>
      <c r="F82" s="935">
        <v>308</v>
      </c>
      <c r="G82" s="936">
        <v>512</v>
      </c>
      <c r="H82" s="564"/>
      <c r="I82" s="564"/>
      <c r="J82" s="564"/>
      <c r="K82" s="564"/>
      <c r="L82" s="564"/>
      <c r="M82" s="564"/>
    </row>
    <row r="83" spans="1:13" ht="5.25" customHeight="1" thickBot="1">
      <c r="A83" s="997"/>
      <c r="B83" s="589"/>
      <c r="C83" s="937"/>
      <c r="D83" s="937"/>
      <c r="E83" s="937"/>
      <c r="F83" s="937"/>
      <c r="G83" s="1000"/>
      <c r="H83" s="564"/>
      <c r="I83" s="564"/>
      <c r="J83" s="564"/>
      <c r="K83" s="564"/>
      <c r="L83" s="564"/>
      <c r="M83" s="564"/>
    </row>
    <row r="84" spans="1:13" ht="14.25" customHeight="1">
      <c r="A84" s="1776">
        <v>43382</v>
      </c>
      <c r="B84" s="901" t="s">
        <v>611</v>
      </c>
      <c r="C84" s="931">
        <v>128</v>
      </c>
      <c r="D84" s="931">
        <v>180</v>
      </c>
      <c r="E84" s="931" t="s">
        <v>126</v>
      </c>
      <c r="F84" s="931" t="s">
        <v>126</v>
      </c>
      <c r="G84" s="932">
        <v>512</v>
      </c>
      <c r="H84" s="564"/>
      <c r="I84" s="564"/>
      <c r="J84" s="564"/>
      <c r="K84" s="564"/>
      <c r="L84" s="564"/>
      <c r="M84" s="564"/>
    </row>
    <row r="85" spans="1:13" ht="14.25" customHeight="1">
      <c r="A85" s="1777"/>
      <c r="B85" s="902" t="s">
        <v>612</v>
      </c>
      <c r="C85" s="933">
        <v>128</v>
      </c>
      <c r="D85" s="933">
        <v>180</v>
      </c>
      <c r="E85" s="933">
        <v>205</v>
      </c>
      <c r="F85" s="933">
        <v>308</v>
      </c>
      <c r="G85" s="934">
        <v>512</v>
      </c>
      <c r="H85" s="564"/>
      <c r="I85" s="564"/>
      <c r="J85" s="564"/>
      <c r="K85" s="564"/>
      <c r="L85" s="564"/>
      <c r="M85" s="564"/>
    </row>
    <row r="86" spans="1:13" ht="14.25" customHeight="1" thickBot="1">
      <c r="A86" s="1778"/>
      <c r="B86" s="903" t="s">
        <v>602</v>
      </c>
      <c r="C86" s="935">
        <v>128</v>
      </c>
      <c r="D86" s="935">
        <v>180</v>
      </c>
      <c r="E86" s="935">
        <v>205</v>
      </c>
      <c r="F86" s="935">
        <v>308</v>
      </c>
      <c r="G86" s="936">
        <v>512</v>
      </c>
      <c r="H86" s="564"/>
      <c r="I86" s="564"/>
      <c r="J86" s="564"/>
      <c r="K86" s="564"/>
      <c r="L86" s="564"/>
      <c r="M86" s="564"/>
    </row>
    <row r="87" spans="1:13" ht="5.25" customHeight="1" thickBot="1">
      <c r="A87" s="997"/>
      <c r="B87" s="589"/>
      <c r="C87" s="937"/>
      <c r="D87" s="937"/>
      <c r="E87" s="937"/>
      <c r="F87" s="937"/>
      <c r="G87" s="1000"/>
      <c r="H87" s="564"/>
      <c r="I87" s="564"/>
      <c r="J87" s="564"/>
      <c r="K87" s="564"/>
      <c r="L87" s="564"/>
      <c r="M87" s="564"/>
    </row>
    <row r="88" spans="1:13" ht="14.25" customHeight="1">
      <c r="A88" s="1776">
        <v>43389</v>
      </c>
      <c r="B88" s="901" t="s">
        <v>611</v>
      </c>
      <c r="C88" s="931">
        <v>128</v>
      </c>
      <c r="D88" s="931">
        <v>180</v>
      </c>
      <c r="E88" s="931" t="s">
        <v>126</v>
      </c>
      <c r="F88" s="931" t="s">
        <v>126</v>
      </c>
      <c r="G88" s="932">
        <v>512</v>
      </c>
      <c r="H88" s="564"/>
      <c r="I88" s="564"/>
      <c r="J88" s="564"/>
      <c r="K88" s="564"/>
      <c r="L88" s="564"/>
      <c r="M88" s="564"/>
    </row>
    <row r="89" spans="1:13" ht="14.25" customHeight="1">
      <c r="A89" s="1777"/>
      <c r="B89" s="902" t="s">
        <v>612</v>
      </c>
      <c r="C89" s="933">
        <v>128</v>
      </c>
      <c r="D89" s="933">
        <v>180</v>
      </c>
      <c r="E89" s="933">
        <v>205</v>
      </c>
      <c r="F89" s="933">
        <v>308</v>
      </c>
      <c r="G89" s="934">
        <v>512</v>
      </c>
      <c r="H89" s="564"/>
      <c r="I89" s="564"/>
      <c r="J89" s="564"/>
      <c r="K89" s="564"/>
      <c r="L89" s="564"/>
      <c r="M89" s="564"/>
    </row>
    <row r="90" spans="1:13" ht="14.25" customHeight="1" thickBot="1">
      <c r="A90" s="1778"/>
      <c r="B90" s="903" t="s">
        <v>602</v>
      </c>
      <c r="C90" s="935">
        <v>128</v>
      </c>
      <c r="D90" s="935">
        <v>180</v>
      </c>
      <c r="E90" s="935">
        <v>205</v>
      </c>
      <c r="F90" s="935">
        <v>308</v>
      </c>
      <c r="G90" s="936">
        <v>512</v>
      </c>
      <c r="H90" s="564"/>
      <c r="I90" s="564"/>
      <c r="J90" s="564"/>
      <c r="K90" s="564"/>
      <c r="L90" s="564"/>
      <c r="M90" s="564"/>
    </row>
    <row r="91" spans="1:13" ht="6" customHeight="1" thickBot="1">
      <c r="A91" s="997"/>
      <c r="B91" s="589"/>
      <c r="C91" s="937"/>
      <c r="D91" s="937"/>
      <c r="E91" s="937"/>
      <c r="F91" s="937"/>
      <c r="G91" s="1000"/>
      <c r="H91" s="564"/>
      <c r="I91" s="564"/>
      <c r="J91" s="564"/>
      <c r="K91" s="564"/>
      <c r="L91" s="564"/>
      <c r="M91" s="564"/>
    </row>
    <row r="92" spans="1:13" ht="14.25" customHeight="1">
      <c r="A92" s="1776">
        <v>43397</v>
      </c>
      <c r="B92" s="901" t="s">
        <v>611</v>
      </c>
      <c r="C92" s="931">
        <v>128</v>
      </c>
      <c r="D92" s="931">
        <v>180</v>
      </c>
      <c r="E92" s="931" t="s">
        <v>126</v>
      </c>
      <c r="F92" s="931" t="s">
        <v>126</v>
      </c>
      <c r="G92" s="932">
        <v>512</v>
      </c>
      <c r="H92" s="564"/>
      <c r="I92" s="564"/>
      <c r="J92" s="564"/>
      <c r="K92" s="564"/>
      <c r="L92" s="564"/>
      <c r="M92" s="564"/>
    </row>
    <row r="93" spans="1:13" ht="14.25" customHeight="1">
      <c r="A93" s="1777"/>
      <c r="B93" s="902" t="s">
        <v>612</v>
      </c>
      <c r="C93" s="933">
        <v>128</v>
      </c>
      <c r="D93" s="933">
        <v>180</v>
      </c>
      <c r="E93" s="933">
        <v>205</v>
      </c>
      <c r="F93" s="933">
        <v>308</v>
      </c>
      <c r="G93" s="934">
        <v>512</v>
      </c>
      <c r="H93" s="564"/>
      <c r="I93" s="564"/>
      <c r="J93" s="564"/>
      <c r="K93" s="564"/>
      <c r="L93" s="564"/>
      <c r="M93" s="564"/>
    </row>
    <row r="94" spans="1:13" ht="14.25" customHeight="1" thickBot="1">
      <c r="A94" s="1778"/>
      <c r="B94" s="903" t="s">
        <v>602</v>
      </c>
      <c r="C94" s="935">
        <v>128</v>
      </c>
      <c r="D94" s="935">
        <v>180</v>
      </c>
      <c r="E94" s="935">
        <v>205</v>
      </c>
      <c r="F94" s="935">
        <v>308</v>
      </c>
      <c r="G94" s="936">
        <v>512</v>
      </c>
      <c r="H94" s="564"/>
      <c r="I94" s="564"/>
      <c r="J94" s="564"/>
      <c r="K94" s="564"/>
      <c r="L94" s="564"/>
      <c r="M94" s="564"/>
    </row>
    <row r="95" spans="1:13" ht="5.25" customHeight="1" thickBot="1">
      <c r="A95" s="997"/>
      <c r="B95" s="589"/>
      <c r="C95" s="937"/>
      <c r="D95" s="937"/>
      <c r="E95" s="937"/>
      <c r="F95" s="937"/>
      <c r="G95" s="1000"/>
      <c r="H95" s="564"/>
      <c r="I95" s="564"/>
      <c r="J95" s="564"/>
      <c r="K95" s="564"/>
      <c r="L95" s="564"/>
      <c r="M95" s="564"/>
    </row>
    <row r="96" spans="1:13" ht="14.25" customHeight="1">
      <c r="A96" s="1776">
        <v>43409</v>
      </c>
      <c r="B96" s="901" t="s">
        <v>611</v>
      </c>
      <c r="C96" s="931">
        <v>128</v>
      </c>
      <c r="D96" s="931">
        <v>180</v>
      </c>
      <c r="E96" s="931" t="s">
        <v>126</v>
      </c>
      <c r="F96" s="931" t="s">
        <v>126</v>
      </c>
      <c r="G96" s="932">
        <v>512</v>
      </c>
      <c r="H96" s="564"/>
      <c r="I96" s="564"/>
      <c r="J96" s="564"/>
      <c r="K96" s="564"/>
      <c r="L96" s="564"/>
      <c r="M96" s="564"/>
    </row>
    <row r="97" spans="1:13" ht="14.25" customHeight="1">
      <c r="A97" s="1777"/>
      <c r="B97" s="902" t="s">
        <v>612</v>
      </c>
      <c r="C97" s="933">
        <v>128</v>
      </c>
      <c r="D97" s="933">
        <v>180</v>
      </c>
      <c r="E97" s="933">
        <v>205</v>
      </c>
      <c r="F97" s="933">
        <v>308</v>
      </c>
      <c r="G97" s="934">
        <v>512</v>
      </c>
      <c r="H97" s="564"/>
      <c r="I97" s="564"/>
      <c r="J97" s="564"/>
      <c r="K97" s="564"/>
      <c r="L97" s="564"/>
      <c r="M97" s="564"/>
    </row>
    <row r="98" spans="1:13" ht="14.25" customHeight="1" thickBot="1">
      <c r="A98" s="1778"/>
      <c r="B98" s="903" t="s">
        <v>602</v>
      </c>
      <c r="C98" s="935">
        <v>128</v>
      </c>
      <c r="D98" s="935">
        <v>180</v>
      </c>
      <c r="E98" s="935">
        <v>205</v>
      </c>
      <c r="F98" s="935">
        <v>308</v>
      </c>
      <c r="G98" s="936">
        <v>512</v>
      </c>
      <c r="H98" s="564"/>
      <c r="I98" s="564"/>
      <c r="J98" s="564"/>
      <c r="K98" s="564"/>
      <c r="L98" s="564"/>
      <c r="M98" s="564"/>
    </row>
    <row r="99" spans="1:13" ht="6" customHeight="1" thickBot="1">
      <c r="A99" s="997"/>
      <c r="B99" s="589"/>
      <c r="C99" s="937"/>
      <c r="D99" s="937"/>
      <c r="E99" s="937"/>
      <c r="F99" s="937"/>
      <c r="G99" s="1000"/>
      <c r="H99" s="564"/>
      <c r="I99" s="564"/>
      <c r="J99" s="564"/>
      <c r="K99" s="564"/>
      <c r="L99" s="564"/>
      <c r="M99" s="564"/>
    </row>
    <row r="100" spans="1:13" ht="13.5" customHeight="1">
      <c r="A100" s="1776">
        <v>43417</v>
      </c>
      <c r="B100" s="901" t="s">
        <v>611</v>
      </c>
      <c r="C100" s="931">
        <v>128</v>
      </c>
      <c r="D100" s="931">
        <v>180</v>
      </c>
      <c r="E100" s="931" t="s">
        <v>126</v>
      </c>
      <c r="F100" s="931" t="s">
        <v>126</v>
      </c>
      <c r="G100" s="932">
        <v>512</v>
      </c>
      <c r="H100" s="564"/>
      <c r="I100" s="564"/>
      <c r="J100" s="564"/>
      <c r="K100" s="564"/>
      <c r="L100" s="564"/>
      <c r="M100" s="564"/>
    </row>
    <row r="101" spans="1:13" ht="9.75" customHeight="1">
      <c r="A101" s="1777"/>
      <c r="B101" s="902" t="s">
        <v>612</v>
      </c>
      <c r="C101" s="933">
        <v>128</v>
      </c>
      <c r="D101" s="933">
        <v>180</v>
      </c>
      <c r="E101" s="933">
        <v>205</v>
      </c>
      <c r="F101" s="933">
        <v>308</v>
      </c>
      <c r="G101" s="934">
        <v>512</v>
      </c>
      <c r="H101" s="564"/>
      <c r="I101" s="564"/>
      <c r="J101" s="564"/>
      <c r="K101" s="564"/>
      <c r="L101" s="564"/>
      <c r="M101" s="564"/>
    </row>
    <row r="102" spans="1:13" ht="14.25" customHeight="1" thickBot="1">
      <c r="A102" s="1778"/>
      <c r="B102" s="903" t="s">
        <v>602</v>
      </c>
      <c r="C102" s="935">
        <v>128</v>
      </c>
      <c r="D102" s="935">
        <v>180</v>
      </c>
      <c r="E102" s="935">
        <v>205</v>
      </c>
      <c r="F102" s="935">
        <v>308</v>
      </c>
      <c r="G102" s="936">
        <v>512</v>
      </c>
      <c r="H102" s="564"/>
      <c r="I102" s="564"/>
      <c r="J102" s="564"/>
      <c r="K102" s="564"/>
      <c r="L102" s="564"/>
      <c r="M102" s="564"/>
    </row>
    <row r="103" spans="1:13" ht="6" customHeight="1" thickBot="1">
      <c r="A103" s="997"/>
      <c r="B103" s="589"/>
      <c r="C103" s="937"/>
      <c r="D103" s="937"/>
      <c r="E103" s="937"/>
      <c r="F103" s="937"/>
      <c r="G103" s="1000"/>
      <c r="H103" s="564"/>
      <c r="I103" s="564"/>
      <c r="J103" s="564"/>
      <c r="K103" s="564"/>
      <c r="L103" s="564"/>
      <c r="M103" s="564"/>
    </row>
    <row r="104" spans="1:13" ht="12" customHeight="1">
      <c r="A104" s="1776">
        <v>43424</v>
      </c>
      <c r="B104" s="901" t="s">
        <v>611</v>
      </c>
      <c r="C104" s="931">
        <v>128</v>
      </c>
      <c r="D104" s="931">
        <v>180</v>
      </c>
      <c r="E104" s="931" t="s">
        <v>126</v>
      </c>
      <c r="F104" s="931" t="s">
        <v>126</v>
      </c>
      <c r="G104" s="932">
        <v>512</v>
      </c>
      <c r="H104" s="564"/>
      <c r="I104" s="564"/>
      <c r="J104" s="564"/>
      <c r="K104" s="564"/>
      <c r="L104" s="564"/>
      <c r="M104" s="564"/>
    </row>
    <row r="105" spans="1:13" ht="12" customHeight="1">
      <c r="A105" s="1777"/>
      <c r="B105" s="902" t="s">
        <v>612</v>
      </c>
      <c r="C105" s="933">
        <v>128</v>
      </c>
      <c r="D105" s="933">
        <v>180</v>
      </c>
      <c r="E105" s="933">
        <v>205</v>
      </c>
      <c r="F105" s="933">
        <v>308</v>
      </c>
      <c r="G105" s="934">
        <v>512</v>
      </c>
      <c r="H105" s="564"/>
      <c r="I105" s="564"/>
      <c r="J105" s="564"/>
      <c r="K105" s="564"/>
      <c r="L105" s="564"/>
      <c r="M105" s="564"/>
    </row>
    <row r="106" spans="1:13" ht="12.75" customHeight="1" thickBot="1">
      <c r="A106" s="1778"/>
      <c r="B106" s="903" t="s">
        <v>602</v>
      </c>
      <c r="C106" s="935">
        <v>128</v>
      </c>
      <c r="D106" s="935">
        <v>180</v>
      </c>
      <c r="E106" s="935">
        <v>205</v>
      </c>
      <c r="F106" s="935">
        <v>308</v>
      </c>
      <c r="G106" s="936">
        <v>512</v>
      </c>
      <c r="H106" s="564"/>
      <c r="I106" s="564"/>
      <c r="J106" s="564"/>
      <c r="K106" s="564"/>
      <c r="L106" s="564"/>
      <c r="M106" s="564"/>
    </row>
    <row r="107" spans="1:13" ht="5.25" customHeight="1" thickBot="1">
      <c r="A107" s="997"/>
      <c r="B107" s="589"/>
      <c r="C107" s="937"/>
      <c r="D107" s="937"/>
      <c r="E107" s="937"/>
      <c r="F107" s="937"/>
      <c r="G107" s="1000"/>
      <c r="H107" s="564"/>
      <c r="I107" s="564"/>
      <c r="J107" s="564"/>
      <c r="K107" s="564"/>
      <c r="L107" s="564"/>
      <c r="M107" s="564"/>
    </row>
    <row r="108" spans="1:13" ht="14.25" customHeight="1">
      <c r="A108" s="1776">
        <v>43431</v>
      </c>
      <c r="B108" s="901" t="s">
        <v>611</v>
      </c>
      <c r="C108" s="931">
        <v>123</v>
      </c>
      <c r="D108" s="931">
        <v>173</v>
      </c>
      <c r="E108" s="931" t="s">
        <v>126</v>
      </c>
      <c r="F108" s="931" t="s">
        <v>126</v>
      </c>
      <c r="G108" s="932">
        <v>492</v>
      </c>
      <c r="H108" s="564"/>
      <c r="I108" s="564"/>
      <c r="J108" s="564"/>
      <c r="K108" s="564"/>
      <c r="L108" s="564"/>
      <c r="M108" s="564"/>
    </row>
    <row r="109" spans="1:13" ht="12.75" customHeight="1">
      <c r="A109" s="1777"/>
      <c r="B109" s="902" t="s">
        <v>612</v>
      </c>
      <c r="C109" s="933">
        <v>123</v>
      </c>
      <c r="D109" s="933">
        <v>173</v>
      </c>
      <c r="E109" s="933">
        <v>197</v>
      </c>
      <c r="F109" s="933">
        <v>295</v>
      </c>
      <c r="G109" s="934">
        <v>492</v>
      </c>
      <c r="H109" s="564"/>
      <c r="I109" s="564"/>
      <c r="J109" s="564"/>
      <c r="K109" s="564"/>
      <c r="L109" s="564"/>
      <c r="M109" s="564"/>
    </row>
    <row r="110" spans="1:13" ht="12" customHeight="1" thickBot="1">
      <c r="A110" s="1778"/>
      <c r="B110" s="903" t="s">
        <v>602</v>
      </c>
      <c r="C110" s="935">
        <v>123</v>
      </c>
      <c r="D110" s="935">
        <v>173</v>
      </c>
      <c r="E110" s="935">
        <v>197</v>
      </c>
      <c r="F110" s="935">
        <v>295</v>
      </c>
      <c r="G110" s="936">
        <v>492</v>
      </c>
      <c r="H110" s="564"/>
      <c r="I110" s="564"/>
      <c r="J110" s="564"/>
      <c r="K110" s="564"/>
      <c r="L110" s="564"/>
      <c r="M110" s="564"/>
    </row>
    <row r="111" spans="1:13" ht="6" customHeight="1" thickBot="1">
      <c r="A111" s="997"/>
      <c r="B111" s="589"/>
      <c r="C111" s="937"/>
      <c r="D111" s="937"/>
      <c r="E111" s="937"/>
      <c r="F111" s="937"/>
      <c r="G111" s="1000"/>
      <c r="H111" s="564"/>
      <c r="I111" s="564"/>
      <c r="J111" s="564"/>
      <c r="K111" s="564"/>
      <c r="L111" s="564"/>
      <c r="M111" s="564"/>
    </row>
    <row r="112" spans="1:13" ht="12" customHeight="1">
      <c r="A112" s="1776">
        <v>43438</v>
      </c>
      <c r="B112" s="901" t="s">
        <v>611</v>
      </c>
      <c r="C112" s="931">
        <v>123</v>
      </c>
      <c r="D112" s="931">
        <v>173</v>
      </c>
      <c r="E112" s="931" t="s">
        <v>126</v>
      </c>
      <c r="F112" s="931" t="s">
        <v>126</v>
      </c>
      <c r="G112" s="932">
        <v>492</v>
      </c>
      <c r="H112" s="564"/>
      <c r="I112" s="564"/>
      <c r="J112" s="564"/>
      <c r="K112" s="564"/>
      <c r="L112" s="564"/>
      <c r="M112" s="564"/>
    </row>
    <row r="113" spans="1:13" ht="12" customHeight="1">
      <c r="A113" s="1777"/>
      <c r="B113" s="902" t="s">
        <v>612</v>
      </c>
      <c r="C113" s="933">
        <v>123</v>
      </c>
      <c r="D113" s="933">
        <v>173</v>
      </c>
      <c r="E113" s="933">
        <v>197</v>
      </c>
      <c r="F113" s="933">
        <v>295</v>
      </c>
      <c r="G113" s="934">
        <v>492</v>
      </c>
      <c r="H113" s="564"/>
      <c r="I113" s="564"/>
      <c r="J113" s="564"/>
      <c r="K113" s="564"/>
      <c r="L113" s="564"/>
      <c r="M113" s="564"/>
    </row>
    <row r="114" spans="1:13" ht="12" customHeight="1" thickBot="1">
      <c r="A114" s="1778"/>
      <c r="B114" s="903" t="s">
        <v>602</v>
      </c>
      <c r="C114" s="935">
        <v>123</v>
      </c>
      <c r="D114" s="935">
        <v>173</v>
      </c>
      <c r="E114" s="935">
        <v>197</v>
      </c>
      <c r="F114" s="935">
        <v>295</v>
      </c>
      <c r="G114" s="936">
        <v>492</v>
      </c>
      <c r="H114" s="564"/>
      <c r="I114" s="564"/>
      <c r="J114" s="564"/>
      <c r="K114" s="564"/>
      <c r="L114" s="564"/>
      <c r="M114" s="564"/>
    </row>
    <row r="115" spans="1:13" ht="4.5" customHeight="1" thickBot="1">
      <c r="A115" s="997"/>
      <c r="B115" s="589"/>
      <c r="C115" s="937"/>
      <c r="D115" s="937"/>
      <c r="E115" s="937"/>
      <c r="F115" s="937"/>
      <c r="G115" s="1000"/>
      <c r="H115" s="564"/>
      <c r="I115" s="564"/>
      <c r="J115" s="564"/>
      <c r="K115" s="564"/>
      <c r="L115" s="564"/>
      <c r="M115" s="564"/>
    </row>
    <row r="116" spans="1:13" ht="12" customHeight="1">
      <c r="A116" s="1776">
        <v>43445</v>
      </c>
      <c r="B116" s="901" t="s">
        <v>611</v>
      </c>
      <c r="C116" s="931">
        <v>123</v>
      </c>
      <c r="D116" s="931">
        <v>173</v>
      </c>
      <c r="E116" s="931" t="s">
        <v>126</v>
      </c>
      <c r="F116" s="931" t="s">
        <v>126</v>
      </c>
      <c r="G116" s="932">
        <v>492</v>
      </c>
      <c r="H116" s="564"/>
      <c r="I116" s="564"/>
      <c r="J116" s="564"/>
      <c r="K116" s="564"/>
      <c r="L116" s="564"/>
      <c r="M116" s="564"/>
    </row>
    <row r="117" spans="1:13" ht="12" customHeight="1">
      <c r="A117" s="1777"/>
      <c r="B117" s="902" t="s">
        <v>612</v>
      </c>
      <c r="C117" s="933">
        <v>123</v>
      </c>
      <c r="D117" s="933">
        <v>173</v>
      </c>
      <c r="E117" s="933">
        <v>197</v>
      </c>
      <c r="F117" s="933">
        <v>295</v>
      </c>
      <c r="G117" s="934">
        <v>492</v>
      </c>
      <c r="H117" s="564"/>
      <c r="I117" s="564"/>
      <c r="J117" s="564"/>
      <c r="K117" s="564"/>
      <c r="L117" s="564"/>
      <c r="M117" s="564"/>
    </row>
    <row r="118" spans="1:13" ht="12" customHeight="1" thickBot="1">
      <c r="A118" s="1778"/>
      <c r="B118" s="903" t="s">
        <v>602</v>
      </c>
      <c r="C118" s="935">
        <v>123</v>
      </c>
      <c r="D118" s="935">
        <v>173</v>
      </c>
      <c r="E118" s="935">
        <v>197</v>
      </c>
      <c r="F118" s="935">
        <v>295</v>
      </c>
      <c r="G118" s="936">
        <v>492</v>
      </c>
      <c r="H118" s="564"/>
      <c r="I118" s="564"/>
      <c r="J118" s="564"/>
      <c r="K118" s="564"/>
      <c r="L118" s="564"/>
      <c r="M118" s="564"/>
    </row>
    <row r="119" spans="1:13" ht="5.25" customHeight="1" thickBot="1">
      <c r="A119" s="997"/>
      <c r="B119" s="589"/>
      <c r="C119" s="937"/>
      <c r="D119" s="937"/>
      <c r="E119" s="937"/>
      <c r="F119" s="937"/>
      <c r="G119" s="1000"/>
      <c r="H119" s="564"/>
      <c r="I119" s="564"/>
      <c r="J119" s="564"/>
      <c r="K119" s="564"/>
      <c r="L119" s="564"/>
      <c r="M119" s="564"/>
    </row>
    <row r="120" spans="1:13" ht="11.25" customHeight="1">
      <c r="A120" s="1776">
        <v>43452</v>
      </c>
      <c r="B120" s="901" t="s">
        <v>611</v>
      </c>
      <c r="C120" s="931">
        <v>123</v>
      </c>
      <c r="D120" s="931">
        <v>173</v>
      </c>
      <c r="E120" s="931" t="s">
        <v>126</v>
      </c>
      <c r="F120" s="931" t="s">
        <v>126</v>
      </c>
      <c r="G120" s="932">
        <v>492</v>
      </c>
      <c r="H120" s="564"/>
      <c r="I120" s="564"/>
      <c r="J120" s="564"/>
      <c r="K120" s="564"/>
      <c r="L120" s="564"/>
      <c r="M120" s="564"/>
    </row>
    <row r="121" spans="1:13" ht="11.25" customHeight="1">
      <c r="A121" s="1777"/>
      <c r="B121" s="902" t="s">
        <v>612</v>
      </c>
      <c r="C121" s="933">
        <v>123</v>
      </c>
      <c r="D121" s="933">
        <v>173</v>
      </c>
      <c r="E121" s="933">
        <v>197</v>
      </c>
      <c r="F121" s="933">
        <v>295</v>
      </c>
      <c r="G121" s="934">
        <v>492</v>
      </c>
      <c r="H121" s="564"/>
      <c r="I121" s="564"/>
      <c r="J121" s="564"/>
      <c r="K121" s="564"/>
      <c r="L121" s="564"/>
      <c r="M121" s="564"/>
    </row>
    <row r="122" spans="1:13" ht="11.25" customHeight="1" thickBot="1">
      <c r="A122" s="1778"/>
      <c r="B122" s="903" t="s">
        <v>602</v>
      </c>
      <c r="C122" s="935">
        <v>123</v>
      </c>
      <c r="D122" s="935">
        <v>173</v>
      </c>
      <c r="E122" s="935">
        <v>197</v>
      </c>
      <c r="F122" s="935">
        <v>295</v>
      </c>
      <c r="G122" s="936">
        <v>492</v>
      </c>
      <c r="H122" s="564"/>
      <c r="I122" s="564"/>
      <c r="J122" s="564"/>
      <c r="K122" s="564"/>
      <c r="L122" s="564"/>
      <c r="M122" s="564"/>
    </row>
    <row r="123" spans="1:13" ht="6" customHeight="1" thickBot="1">
      <c r="A123" s="997"/>
      <c r="B123" s="589"/>
      <c r="C123" s="937"/>
      <c r="D123" s="937"/>
      <c r="E123" s="937"/>
      <c r="F123" s="937"/>
      <c r="G123" s="1000"/>
      <c r="H123" s="564"/>
      <c r="I123" s="564"/>
      <c r="J123" s="564"/>
      <c r="K123" s="564"/>
      <c r="L123" s="564"/>
      <c r="M123" s="564"/>
    </row>
    <row r="124" spans="1:13" ht="12" customHeight="1">
      <c r="A124" s="1776">
        <v>43460</v>
      </c>
      <c r="B124" s="901" t="s">
        <v>611</v>
      </c>
      <c r="C124" s="931">
        <v>123</v>
      </c>
      <c r="D124" s="931">
        <v>173</v>
      </c>
      <c r="E124" s="931" t="s">
        <v>126</v>
      </c>
      <c r="F124" s="931" t="s">
        <v>126</v>
      </c>
      <c r="G124" s="932">
        <v>492</v>
      </c>
      <c r="H124" s="564"/>
      <c r="I124" s="564"/>
      <c r="J124" s="564"/>
      <c r="K124" s="564"/>
      <c r="L124" s="564"/>
      <c r="M124" s="564"/>
    </row>
    <row r="125" spans="1:13" ht="12" customHeight="1">
      <c r="A125" s="1777"/>
      <c r="B125" s="902" t="s">
        <v>612</v>
      </c>
      <c r="C125" s="933">
        <v>123</v>
      </c>
      <c r="D125" s="933">
        <v>173</v>
      </c>
      <c r="E125" s="933">
        <v>197</v>
      </c>
      <c r="F125" s="933">
        <v>295</v>
      </c>
      <c r="G125" s="934">
        <v>492</v>
      </c>
      <c r="H125" s="564"/>
      <c r="I125" s="564"/>
      <c r="J125" s="564"/>
      <c r="K125" s="564"/>
      <c r="L125" s="564"/>
      <c r="M125" s="564"/>
    </row>
    <row r="126" spans="1:13" ht="12" customHeight="1" thickBot="1">
      <c r="A126" s="1778"/>
      <c r="B126" s="903" t="s">
        <v>602</v>
      </c>
      <c r="C126" s="935">
        <v>123</v>
      </c>
      <c r="D126" s="935">
        <v>173</v>
      </c>
      <c r="E126" s="935">
        <v>197</v>
      </c>
      <c r="F126" s="935">
        <v>295</v>
      </c>
      <c r="G126" s="936">
        <v>492</v>
      </c>
      <c r="H126" s="564"/>
      <c r="I126" s="564"/>
    </row>
    <row r="127" spans="1:13" ht="6" customHeight="1" thickBot="1">
      <c r="A127" s="1025"/>
      <c r="B127" s="581"/>
      <c r="C127" s="1012"/>
      <c r="D127" s="1012"/>
      <c r="E127" s="1012"/>
      <c r="F127" s="1012"/>
      <c r="G127" s="1012"/>
      <c r="H127" s="564"/>
      <c r="I127" s="564"/>
    </row>
    <row r="128" spans="1:13" ht="12" customHeight="1">
      <c r="A128" s="1776">
        <v>43467</v>
      </c>
      <c r="B128" s="901" t="s">
        <v>611</v>
      </c>
      <c r="C128" s="931">
        <v>123</v>
      </c>
      <c r="D128" s="931">
        <v>173</v>
      </c>
      <c r="E128" s="931" t="s">
        <v>126</v>
      </c>
      <c r="F128" s="931" t="s">
        <v>126</v>
      </c>
      <c r="G128" s="932">
        <v>492</v>
      </c>
      <c r="H128" s="564"/>
      <c r="I128" s="564"/>
    </row>
    <row r="129" spans="1:9" ht="12" customHeight="1">
      <c r="A129" s="1777"/>
      <c r="B129" s="902" t="s">
        <v>612</v>
      </c>
      <c r="C129" s="933">
        <v>123</v>
      </c>
      <c r="D129" s="933">
        <v>173</v>
      </c>
      <c r="E129" s="933">
        <v>197</v>
      </c>
      <c r="F129" s="933">
        <v>295</v>
      </c>
      <c r="G129" s="934">
        <v>492</v>
      </c>
      <c r="H129" s="564"/>
      <c r="I129" s="564"/>
    </row>
    <row r="130" spans="1:9" ht="12" customHeight="1" thickBot="1">
      <c r="A130" s="1778"/>
      <c r="B130" s="903" t="s">
        <v>602</v>
      </c>
      <c r="C130" s="935">
        <v>123</v>
      </c>
      <c r="D130" s="935">
        <v>173</v>
      </c>
      <c r="E130" s="935">
        <v>197</v>
      </c>
      <c r="F130" s="935">
        <v>295</v>
      </c>
      <c r="G130" s="936">
        <v>492</v>
      </c>
      <c r="H130" s="564"/>
      <c r="I130" s="564"/>
    </row>
    <row r="131" spans="1:9" ht="6" customHeight="1" thickBot="1">
      <c r="A131" s="1025"/>
      <c r="B131" s="581"/>
      <c r="C131" s="1012"/>
      <c r="D131" s="1012"/>
      <c r="E131" s="1012"/>
      <c r="F131" s="1012"/>
      <c r="G131" s="1012"/>
      <c r="H131" s="564"/>
      <c r="I131" s="564"/>
    </row>
    <row r="132" spans="1:9" ht="12" customHeight="1">
      <c r="A132" s="1776">
        <v>43472</v>
      </c>
      <c r="B132" s="901" t="s">
        <v>611</v>
      </c>
      <c r="C132" s="931">
        <v>123</v>
      </c>
      <c r="D132" s="931">
        <v>173</v>
      </c>
      <c r="E132" s="931" t="s">
        <v>126</v>
      </c>
      <c r="F132" s="931" t="s">
        <v>126</v>
      </c>
      <c r="G132" s="932">
        <v>492</v>
      </c>
      <c r="H132" s="564"/>
      <c r="I132" s="564"/>
    </row>
    <row r="133" spans="1:9" ht="12" customHeight="1">
      <c r="A133" s="1777"/>
      <c r="B133" s="902" t="s">
        <v>612</v>
      </c>
      <c r="C133" s="933">
        <v>123</v>
      </c>
      <c r="D133" s="933">
        <v>173</v>
      </c>
      <c r="E133" s="933">
        <v>197</v>
      </c>
      <c r="F133" s="933">
        <v>295</v>
      </c>
      <c r="G133" s="934">
        <v>492</v>
      </c>
      <c r="H133" s="564"/>
      <c r="I133" s="564"/>
    </row>
    <row r="134" spans="1:9" ht="12" customHeight="1" thickBot="1">
      <c r="A134" s="1778"/>
      <c r="B134" s="903" t="s">
        <v>602</v>
      </c>
      <c r="C134" s="935">
        <v>123</v>
      </c>
      <c r="D134" s="935">
        <v>173</v>
      </c>
      <c r="E134" s="935">
        <v>197</v>
      </c>
      <c r="F134" s="935">
        <v>295</v>
      </c>
      <c r="G134" s="936">
        <v>492</v>
      </c>
      <c r="H134" s="564"/>
      <c r="I134" s="564"/>
    </row>
    <row r="135" spans="1:9" ht="3.75" customHeight="1" thickBot="1">
      <c r="A135" s="1025"/>
      <c r="B135" s="1025"/>
      <c r="C135" s="1025"/>
      <c r="D135" s="1025"/>
      <c r="E135" s="1025"/>
      <c r="F135" s="1025"/>
      <c r="G135" s="1025"/>
      <c r="H135" s="564"/>
      <c r="I135" s="564"/>
    </row>
    <row r="136" spans="1:9" ht="12" customHeight="1">
      <c r="A136" s="1776">
        <v>43480</v>
      </c>
      <c r="B136" s="901" t="s">
        <v>611</v>
      </c>
      <c r="C136" s="931">
        <v>115</v>
      </c>
      <c r="D136" s="931">
        <v>161</v>
      </c>
      <c r="E136" s="931" t="s">
        <v>126</v>
      </c>
      <c r="F136" s="931" t="s">
        <v>126</v>
      </c>
      <c r="G136" s="932">
        <v>460</v>
      </c>
      <c r="H136" s="564"/>
      <c r="I136" s="564"/>
    </row>
    <row r="137" spans="1:9" ht="12" customHeight="1">
      <c r="A137" s="1777"/>
      <c r="B137" s="902" t="s">
        <v>612</v>
      </c>
      <c r="C137" s="933">
        <v>115</v>
      </c>
      <c r="D137" s="933">
        <v>161</v>
      </c>
      <c r="E137" s="933">
        <v>184</v>
      </c>
      <c r="F137" s="933">
        <v>276</v>
      </c>
      <c r="G137" s="934">
        <v>460</v>
      </c>
      <c r="H137" s="564"/>
      <c r="I137" s="564"/>
    </row>
    <row r="138" spans="1:9" ht="12" customHeight="1" thickBot="1">
      <c r="A138" s="1778"/>
      <c r="B138" s="903" t="s">
        <v>602</v>
      </c>
      <c r="C138" s="935">
        <v>115</v>
      </c>
      <c r="D138" s="935">
        <v>161</v>
      </c>
      <c r="E138" s="935">
        <v>184</v>
      </c>
      <c r="F138" s="935">
        <v>276</v>
      </c>
      <c r="G138" s="936">
        <v>460</v>
      </c>
      <c r="H138" s="564"/>
      <c r="I138" s="564"/>
    </row>
    <row r="139" spans="1:9" ht="5.25" customHeight="1" thickBot="1">
      <c r="A139" s="1025"/>
      <c r="B139" s="581"/>
      <c r="C139" s="1012"/>
      <c r="D139" s="1012"/>
      <c r="E139" s="1012"/>
      <c r="F139" s="1012"/>
      <c r="G139" s="1012"/>
      <c r="H139" s="564"/>
      <c r="I139" s="564"/>
    </row>
    <row r="140" spans="1:9" ht="12" customHeight="1">
      <c r="A140" s="1776">
        <v>43487</v>
      </c>
      <c r="B140" s="901" t="s">
        <v>611</v>
      </c>
      <c r="C140" s="931">
        <v>115</v>
      </c>
      <c r="D140" s="931">
        <v>161</v>
      </c>
      <c r="E140" s="931" t="s">
        <v>126</v>
      </c>
      <c r="F140" s="931" t="s">
        <v>126</v>
      </c>
      <c r="G140" s="932">
        <v>460</v>
      </c>
      <c r="H140" s="564"/>
      <c r="I140" s="564"/>
    </row>
    <row r="141" spans="1:9" ht="12" customHeight="1">
      <c r="A141" s="1777"/>
      <c r="B141" s="902" t="s">
        <v>612</v>
      </c>
      <c r="C141" s="933">
        <v>115</v>
      </c>
      <c r="D141" s="933">
        <v>161</v>
      </c>
      <c r="E141" s="933">
        <v>184</v>
      </c>
      <c r="F141" s="933">
        <v>276</v>
      </c>
      <c r="G141" s="934">
        <v>460</v>
      </c>
      <c r="H141" s="564"/>
      <c r="I141" s="564"/>
    </row>
    <row r="142" spans="1:9" ht="12" customHeight="1" thickBot="1">
      <c r="A142" s="1778"/>
      <c r="B142" s="903" t="s">
        <v>602</v>
      </c>
      <c r="C142" s="935">
        <v>115</v>
      </c>
      <c r="D142" s="935">
        <v>161</v>
      </c>
      <c r="E142" s="935">
        <v>184</v>
      </c>
      <c r="F142" s="935">
        <v>276</v>
      </c>
      <c r="G142" s="936">
        <v>460</v>
      </c>
      <c r="H142" s="564"/>
      <c r="I142" s="564"/>
    </row>
    <row r="143" spans="1:9" ht="12" customHeight="1">
      <c r="A143" s="1061"/>
      <c r="B143" s="1062"/>
      <c r="C143" s="1021"/>
      <c r="D143" s="1021"/>
      <c r="E143" s="1021"/>
      <c r="F143" s="1021"/>
      <c r="G143" s="1021"/>
      <c r="H143" s="564"/>
      <c r="I143" s="564"/>
    </row>
    <row r="144" spans="1:9" ht="12" customHeight="1">
      <c r="A144" s="1061"/>
      <c r="B144" s="1062"/>
      <c r="C144" s="1021"/>
      <c r="D144" s="1021"/>
      <c r="E144" s="1021"/>
      <c r="F144" s="1021"/>
      <c r="G144" s="1021"/>
      <c r="H144" s="564"/>
      <c r="I144" s="564"/>
    </row>
    <row r="145" spans="1:9" ht="12" customHeight="1">
      <c r="A145" s="1061"/>
      <c r="B145" s="1062"/>
      <c r="C145" s="1021"/>
      <c r="D145" s="1021"/>
      <c r="E145" s="1021"/>
      <c r="F145" s="1021"/>
      <c r="G145" s="1021"/>
      <c r="H145" s="564"/>
      <c r="I145" s="564"/>
    </row>
    <row r="146" spans="1:9" ht="12" customHeight="1">
      <c r="A146" s="1061"/>
      <c r="B146" s="1062"/>
      <c r="C146" s="1021"/>
      <c r="D146" s="1021"/>
      <c r="E146" s="1021"/>
      <c r="F146" s="1021"/>
      <c r="G146" s="1021"/>
      <c r="H146" s="564"/>
      <c r="I146" s="564"/>
    </row>
    <row r="147" spans="1:9" ht="12" customHeight="1">
      <c r="A147" s="1061"/>
      <c r="B147" s="1062"/>
      <c r="C147" s="1021"/>
      <c r="D147" s="1021"/>
      <c r="E147" s="1021"/>
      <c r="F147" s="1021"/>
      <c r="G147" s="1021"/>
      <c r="H147" s="564"/>
      <c r="I147" s="564"/>
    </row>
    <row r="148" spans="1:9" ht="12" customHeight="1">
      <c r="A148" s="1061"/>
      <c r="B148" s="1062"/>
      <c r="C148" s="1021"/>
      <c r="D148" s="1021"/>
      <c r="E148" s="1021"/>
      <c r="F148" s="1021"/>
      <c r="G148" s="1021"/>
      <c r="H148" s="564"/>
      <c r="I148" s="564"/>
    </row>
    <row r="149" spans="1:9" ht="12" customHeight="1">
      <c r="A149" s="1061"/>
      <c r="B149" s="1062"/>
      <c r="C149" s="1021"/>
      <c r="D149" s="1021"/>
      <c r="E149" s="1021"/>
      <c r="F149" s="1021"/>
      <c r="G149" s="1021"/>
      <c r="H149" s="564"/>
      <c r="I149" s="564"/>
    </row>
    <row r="150" spans="1:9" ht="12" customHeight="1">
      <c r="A150" s="1061"/>
      <c r="B150" s="1062"/>
      <c r="C150" s="1021"/>
      <c r="D150" s="1021"/>
      <c r="E150" s="1021"/>
      <c r="F150" s="1021"/>
      <c r="G150" s="1021"/>
      <c r="H150" s="564"/>
      <c r="I150" s="564"/>
    </row>
    <row r="151" spans="1:9" ht="12" customHeight="1">
      <c r="A151" s="1061"/>
      <c r="B151" s="1062"/>
      <c r="C151" s="1021"/>
      <c r="D151" s="1021"/>
      <c r="E151" s="1021"/>
      <c r="F151" s="1021"/>
      <c r="G151" s="1021"/>
      <c r="H151" s="564"/>
      <c r="I151" s="564"/>
    </row>
    <row r="152" spans="1:9" ht="12" customHeight="1">
      <c r="A152" s="1061"/>
      <c r="B152" s="1062"/>
      <c r="C152" s="1021"/>
      <c r="D152" s="1021"/>
      <c r="E152" s="1021"/>
      <c r="F152" s="1021"/>
      <c r="G152" s="1021"/>
      <c r="H152" s="564"/>
      <c r="I152" s="564"/>
    </row>
    <row r="153" spans="1:9" ht="12" customHeight="1">
      <c r="A153" s="1061"/>
      <c r="B153" s="1062"/>
      <c r="C153" s="1021"/>
      <c r="D153" s="1021"/>
      <c r="E153" s="1021"/>
      <c r="F153" s="1021"/>
      <c r="G153" s="1021"/>
      <c r="H153" s="564"/>
      <c r="I153" s="564"/>
    </row>
    <row r="154" spans="1:9" ht="12" customHeight="1">
      <c r="A154" s="1061"/>
      <c r="B154" s="1062"/>
      <c r="C154" s="1021"/>
      <c r="D154" s="1021"/>
      <c r="E154" s="1021"/>
      <c r="F154" s="1021"/>
      <c r="G154" s="1021"/>
      <c r="H154" s="564"/>
      <c r="I154" s="564"/>
    </row>
    <row r="155" spans="1:9" ht="12" customHeight="1">
      <c r="A155" s="1061"/>
      <c r="B155" s="1062"/>
      <c r="C155" s="1021"/>
      <c r="D155" s="1021"/>
      <c r="E155" s="1021"/>
      <c r="F155" s="1021"/>
      <c r="G155" s="1021"/>
      <c r="H155" s="564"/>
      <c r="I155" s="564"/>
    </row>
    <row r="156" spans="1:9" ht="6" customHeight="1">
      <c r="A156" s="1025"/>
      <c r="B156" s="581"/>
      <c r="C156" s="1012"/>
      <c r="D156" s="1012"/>
      <c r="E156" s="1012"/>
      <c r="F156" s="1012"/>
      <c r="G156" s="1012"/>
      <c r="H156" s="564"/>
      <c r="I156" s="564"/>
    </row>
    <row r="157" spans="1:9" ht="6" customHeight="1">
      <c r="A157" s="1025"/>
      <c r="B157" s="581"/>
      <c r="C157" s="1012"/>
      <c r="D157" s="1012"/>
      <c r="E157" s="1012"/>
      <c r="F157" s="1012"/>
      <c r="G157" s="1012"/>
      <c r="H157" s="564"/>
      <c r="I157" s="564"/>
    </row>
    <row r="158" spans="1:9" ht="6" customHeight="1">
      <c r="A158" s="1025"/>
      <c r="B158" s="581"/>
      <c r="C158" s="1012"/>
      <c r="D158" s="1012"/>
      <c r="E158" s="1012"/>
      <c r="F158" s="1012"/>
      <c r="G158" s="1012"/>
      <c r="H158" s="564"/>
      <c r="I158" s="564"/>
    </row>
    <row r="159" spans="1:9" ht="6" customHeight="1" thickBot="1">
      <c r="A159" s="1025"/>
      <c r="B159" s="581"/>
      <c r="C159" s="1012"/>
      <c r="D159" s="1012"/>
      <c r="E159" s="1012"/>
      <c r="F159" s="1012"/>
      <c r="G159" s="1012"/>
      <c r="H159" s="564"/>
      <c r="I159" s="564"/>
    </row>
    <row r="160" spans="1:9" ht="14.25" customHeight="1">
      <c r="A160" s="1776">
        <v>43494</v>
      </c>
      <c r="B160" s="901" t="s">
        <v>611</v>
      </c>
      <c r="C160" s="931">
        <v>115</v>
      </c>
      <c r="D160" s="931">
        <v>161</v>
      </c>
      <c r="E160" s="931" t="s">
        <v>126</v>
      </c>
      <c r="F160" s="931" t="s">
        <v>126</v>
      </c>
      <c r="G160" s="932">
        <v>460</v>
      </c>
      <c r="H160" s="564"/>
      <c r="I160" s="564"/>
    </row>
    <row r="161" spans="1:12" ht="11.25" customHeight="1">
      <c r="A161" s="1777"/>
      <c r="B161" s="902" t="s">
        <v>612</v>
      </c>
      <c r="C161" s="933">
        <v>115</v>
      </c>
      <c r="D161" s="933">
        <v>161</v>
      </c>
      <c r="E161" s="933">
        <v>184</v>
      </c>
      <c r="F161" s="933">
        <v>276</v>
      </c>
      <c r="G161" s="934">
        <v>460</v>
      </c>
      <c r="H161" s="564"/>
      <c r="I161" s="564"/>
    </row>
    <row r="162" spans="1:12" ht="14.25" customHeight="1" thickBot="1">
      <c r="A162" s="1778"/>
      <c r="B162" s="903" t="s">
        <v>602</v>
      </c>
      <c r="C162" s="935">
        <v>115</v>
      </c>
      <c r="D162" s="935">
        <v>161</v>
      </c>
      <c r="E162" s="935">
        <v>184</v>
      </c>
      <c r="F162" s="935">
        <v>276</v>
      </c>
      <c r="G162" s="936">
        <v>460</v>
      </c>
      <c r="H162" s="564"/>
      <c r="I162" s="1026">
        <v>128</v>
      </c>
      <c r="J162" s="1021">
        <v>25</v>
      </c>
      <c r="K162">
        <f>(I162/25)</f>
        <v>5.12</v>
      </c>
    </row>
    <row r="163" spans="1:12" ht="21.75" customHeight="1" thickBot="1">
      <c r="A163" s="559"/>
      <c r="B163" s="559"/>
      <c r="C163" s="941" t="s">
        <v>118</v>
      </c>
      <c r="D163" s="942" t="s">
        <v>119</v>
      </c>
      <c r="E163" s="941" t="s">
        <v>120</v>
      </c>
      <c r="F163" s="942" t="s">
        <v>121</v>
      </c>
      <c r="G163" s="941" t="s">
        <v>122</v>
      </c>
      <c r="H163" s="564"/>
      <c r="I163" s="564"/>
    </row>
    <row r="164" spans="1:12" ht="6" customHeight="1">
      <c r="A164" s="559"/>
      <c r="B164" s="559"/>
      <c r="C164" s="559"/>
      <c r="D164" s="559"/>
      <c r="E164" s="559"/>
      <c r="F164" s="559"/>
      <c r="G164" s="559"/>
      <c r="H164" s="564"/>
      <c r="I164" s="564"/>
    </row>
    <row r="165" spans="1:12">
      <c r="A165" s="564"/>
      <c r="B165" s="564"/>
      <c r="C165" s="564"/>
      <c r="D165" s="564"/>
      <c r="E165" s="564"/>
      <c r="F165" s="564"/>
      <c r="G165" s="564"/>
      <c r="H165" s="564"/>
      <c r="I165" s="564"/>
    </row>
    <row r="166" spans="1:12">
      <c r="A166" s="564"/>
      <c r="B166" s="564"/>
      <c r="C166" s="727"/>
      <c r="D166" s="1779"/>
      <c r="E166" s="1779"/>
      <c r="F166" s="1779"/>
      <c r="G166" s="727"/>
      <c r="H166" s="564">
        <v>115</v>
      </c>
      <c r="I166" s="564"/>
      <c r="L166">
        <f>(K164*K163)</f>
        <v>0</v>
      </c>
    </row>
    <row r="167" spans="1:12">
      <c r="A167" s="564" t="s">
        <v>148</v>
      </c>
      <c r="B167" s="564"/>
      <c r="C167" s="727"/>
      <c r="D167" s="1779"/>
      <c r="E167" s="1779"/>
      <c r="F167" s="1779"/>
      <c r="G167" s="727"/>
      <c r="H167">
        <v>25</v>
      </c>
    </row>
    <row r="168" spans="1:12">
      <c r="A168" s="564"/>
      <c r="B168" s="564"/>
      <c r="C168" s="727"/>
      <c r="D168" s="1779"/>
      <c r="E168" s="1779"/>
      <c r="F168" s="1779"/>
      <c r="G168" s="727"/>
      <c r="H168">
        <f>(H166/H167)</f>
        <v>4.5999999999999996</v>
      </c>
      <c r="I168">
        <v>35</v>
      </c>
      <c r="J168">
        <f>(I168*H168)</f>
        <v>161</v>
      </c>
    </row>
    <row r="169" spans="1:12">
      <c r="A169" s="564"/>
      <c r="B169" s="564"/>
      <c r="C169" s="727"/>
      <c r="D169" s="1779"/>
      <c r="E169" s="1779"/>
      <c r="F169" s="1779"/>
      <c r="G169" s="727"/>
      <c r="I169">
        <v>40</v>
      </c>
      <c r="J169">
        <f>(I169*H168)</f>
        <v>184</v>
      </c>
    </row>
    <row r="170" spans="1:12">
      <c r="A170" s="564"/>
      <c r="B170" s="564"/>
      <c r="C170" s="727"/>
      <c r="D170" s="1779"/>
      <c r="E170" s="1779"/>
      <c r="F170" s="1779"/>
      <c r="G170" s="727"/>
      <c r="I170">
        <v>60</v>
      </c>
      <c r="J170">
        <f>(I170*H168)</f>
        <v>276</v>
      </c>
    </row>
    <row r="171" spans="1:12">
      <c r="A171" s="564"/>
      <c r="B171" s="753"/>
      <c r="C171" s="564"/>
      <c r="D171" s="548"/>
      <c r="E171" s="548"/>
      <c r="F171" s="548"/>
      <c r="G171" s="564"/>
      <c r="I171">
        <v>100</v>
      </c>
      <c r="J171">
        <f>(I171*H168)</f>
        <v>459.99999999999994</v>
      </c>
    </row>
    <row r="172" spans="1:12">
      <c r="A172" s="564"/>
      <c r="B172" s="564"/>
      <c r="C172" s="564"/>
      <c r="D172" s="564"/>
      <c r="E172" s="564"/>
      <c r="F172" s="564"/>
      <c r="G172" s="564"/>
    </row>
    <row r="173" spans="1:12">
      <c r="A173" s="564"/>
      <c r="B173" s="564"/>
      <c r="C173" s="564"/>
      <c r="D173" s="564"/>
      <c r="E173" s="564"/>
      <c r="F173" s="564"/>
      <c r="G173" s="564"/>
      <c r="H173">
        <v>35</v>
      </c>
      <c r="I173">
        <f>(H173*D177)</f>
        <v>168</v>
      </c>
    </row>
    <row r="174" spans="1:12">
      <c r="A174" s="564"/>
      <c r="B174" s="564"/>
      <c r="C174" s="564"/>
      <c r="D174" s="564"/>
      <c r="E174" s="564"/>
      <c r="F174" s="564"/>
      <c r="G174" s="564"/>
      <c r="H174">
        <v>40</v>
      </c>
      <c r="I174">
        <f>(H174*D177)</f>
        <v>192</v>
      </c>
    </row>
    <row r="175" spans="1:12">
      <c r="A175" s="564"/>
      <c r="B175" s="564"/>
      <c r="C175" s="564"/>
      <c r="D175" s="564"/>
      <c r="E175" s="564"/>
      <c r="F175" s="564"/>
      <c r="G175" s="564"/>
      <c r="H175">
        <v>60</v>
      </c>
      <c r="I175">
        <f>(H175*D177)</f>
        <v>288</v>
      </c>
    </row>
    <row r="176" spans="1:12">
      <c r="A176" s="564"/>
      <c r="B176" s="564"/>
      <c r="C176" s="564"/>
      <c r="D176" s="564"/>
      <c r="E176" s="564"/>
      <c r="F176" s="564"/>
      <c r="G176" s="564"/>
      <c r="H176">
        <v>100</v>
      </c>
      <c r="I176">
        <f>(H176*D177)</f>
        <v>480</v>
      </c>
    </row>
    <row r="177" spans="1:7">
      <c r="A177" s="564"/>
      <c r="B177" s="564">
        <v>120</v>
      </c>
      <c r="C177" s="564">
        <v>25</v>
      </c>
      <c r="D177" s="564">
        <f>(B177/C177)</f>
        <v>4.8</v>
      </c>
      <c r="E177" s="564"/>
      <c r="F177" s="564"/>
      <c r="G177" s="564"/>
    </row>
  </sheetData>
  <mergeCells count="40">
    <mergeCell ref="A32:A34"/>
    <mergeCell ref="A4:G4"/>
    <mergeCell ref="A5:G5"/>
    <mergeCell ref="A6:G6"/>
    <mergeCell ref="A8:G8"/>
    <mergeCell ref="A10:G10"/>
    <mergeCell ref="A12:A14"/>
    <mergeCell ref="A16:A18"/>
    <mergeCell ref="A20:A22"/>
    <mergeCell ref="A24:A26"/>
    <mergeCell ref="A28:A30"/>
    <mergeCell ref="A80:A82"/>
    <mergeCell ref="A36:A38"/>
    <mergeCell ref="A40:A42"/>
    <mergeCell ref="A44:A46"/>
    <mergeCell ref="A48:A50"/>
    <mergeCell ref="A52:A54"/>
    <mergeCell ref="A56:A58"/>
    <mergeCell ref="A60:A62"/>
    <mergeCell ref="A64:A66"/>
    <mergeCell ref="A68:A70"/>
    <mergeCell ref="A72:A74"/>
    <mergeCell ref="A76:A78"/>
    <mergeCell ref="A128:A130"/>
    <mergeCell ref="A84:A86"/>
    <mergeCell ref="A88:A90"/>
    <mergeCell ref="A92:A94"/>
    <mergeCell ref="A96:A98"/>
    <mergeCell ref="A100:A102"/>
    <mergeCell ref="A104:A106"/>
    <mergeCell ref="A108:A110"/>
    <mergeCell ref="A112:A114"/>
    <mergeCell ref="A116:A118"/>
    <mergeCell ref="A120:A122"/>
    <mergeCell ref="A124:A126"/>
    <mergeCell ref="A132:A134"/>
    <mergeCell ref="A136:A138"/>
    <mergeCell ref="A140:A142"/>
    <mergeCell ref="A160:A162"/>
    <mergeCell ref="D166:F170"/>
  </mergeCells>
  <printOptions horizontalCentered="1" gridLines="1"/>
  <pageMargins left="1.1811023622047245" right="0.98425196850393704" top="1.1023622047244095" bottom="0.39370078740157483" header="0" footer="0"/>
  <pageSetup scale="105" fitToHeight="2" orientation="landscape" r:id="rId1"/>
  <headerFooter alignWithMargins="0"/>
  <rowBreaks count="7" manualBreakCount="7">
    <brk id="27" max="16383" man="1"/>
    <brk id="46" max="16383" man="1"/>
    <brk id="62" max="6" man="1"/>
    <brk id="78" max="16383" man="1"/>
    <brk id="95" max="6" man="1"/>
    <brk id="111" max="16383" man="1"/>
    <brk id="126" max="6" man="1"/>
  </rowBreaks>
  <colBreaks count="1" manualBreakCount="1">
    <brk id="7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O71"/>
  <sheetViews>
    <sheetView view="pageBreakPreview" zoomScale="130" zoomScaleSheetLayoutView="130" workbookViewId="0">
      <selection activeCell="D11" sqref="D11"/>
    </sheetView>
  </sheetViews>
  <sheetFormatPr baseColWidth="10" defaultColWidth="11.42578125" defaultRowHeight="12.75"/>
  <cols>
    <col min="1" max="1" width="16.28515625" customWidth="1"/>
    <col min="2" max="7" width="12.140625" customWidth="1"/>
    <col min="12" max="12" width="13.7109375" customWidth="1"/>
    <col min="13" max="13" width="12.5703125" customWidth="1"/>
    <col min="15" max="15" width="13.5703125" customWidth="1"/>
  </cols>
  <sheetData>
    <row r="1" spans="1:15" ht="18">
      <c r="A1" s="1518" t="s">
        <v>667</v>
      </c>
      <c r="B1" s="1518"/>
      <c r="C1" s="1518"/>
      <c r="D1" s="1518"/>
      <c r="E1" s="1518"/>
      <c r="F1" s="1518"/>
      <c r="G1" s="1518"/>
    </row>
    <row r="2" spans="1:15">
      <c r="A2" s="1527" t="s">
        <v>36</v>
      </c>
      <c r="B2" s="1527"/>
      <c r="C2" s="1527"/>
      <c r="D2" s="1527"/>
      <c r="E2" s="1527"/>
      <c r="F2" s="1527"/>
      <c r="G2" s="1527"/>
    </row>
    <row r="3" spans="1:15">
      <c r="A3" s="1528" t="s">
        <v>668</v>
      </c>
      <c r="B3" s="1528"/>
      <c r="C3" s="1528"/>
      <c r="D3" s="1528"/>
      <c r="E3" s="1528"/>
      <c r="F3" s="1528"/>
      <c r="G3" s="1528"/>
    </row>
    <row r="4" spans="1:15">
      <c r="A4" s="1528" t="s">
        <v>669</v>
      </c>
      <c r="B4" s="1528"/>
      <c r="C4" s="1528"/>
      <c r="D4" s="1528"/>
      <c r="E4" s="1528"/>
      <c r="F4" s="1528"/>
      <c r="G4" s="1528"/>
    </row>
    <row r="5" spans="1:15" ht="13.5" thickBot="1">
      <c r="A5" s="1529" t="s">
        <v>670</v>
      </c>
      <c r="B5" s="1529"/>
      <c r="C5" s="1529"/>
      <c r="D5" s="1529"/>
      <c r="E5" s="1529"/>
      <c r="F5" s="1529"/>
      <c r="G5" s="1529"/>
    </row>
    <row r="6" spans="1:15" ht="22.5" customHeight="1" thickBot="1">
      <c r="A6" s="1218" t="s">
        <v>1</v>
      </c>
      <c r="B6" s="1519" t="s">
        <v>2</v>
      </c>
      <c r="C6" s="1520"/>
      <c r="D6" s="1521"/>
      <c r="E6" s="1522" t="s">
        <v>3</v>
      </c>
      <c r="F6" s="1523"/>
      <c r="G6" s="1524"/>
      <c r="H6" s="1536" t="s">
        <v>24</v>
      </c>
      <c r="I6" s="1537"/>
      <c r="J6" s="1538"/>
    </row>
    <row r="7" spans="1:15" ht="25.5" customHeight="1" thickBot="1">
      <c r="A7" s="1200" t="s">
        <v>21</v>
      </c>
      <c r="B7" s="1219" t="s">
        <v>4</v>
      </c>
      <c r="C7" s="1219" t="s">
        <v>5</v>
      </c>
      <c r="D7" s="1220" t="s">
        <v>6</v>
      </c>
      <c r="E7" s="1221" t="s">
        <v>4</v>
      </c>
      <c r="F7" s="1222" t="s">
        <v>5</v>
      </c>
      <c r="G7" s="1222" t="s">
        <v>6</v>
      </c>
      <c r="H7" s="95" t="s">
        <v>4</v>
      </c>
      <c r="I7" s="8" t="s">
        <v>5</v>
      </c>
      <c r="J7" s="9" t="s">
        <v>6</v>
      </c>
    </row>
    <row r="8" spans="1:15">
      <c r="A8" s="10">
        <v>39818</v>
      </c>
      <c r="B8" s="1114">
        <v>21.52</v>
      </c>
      <c r="C8" s="1108">
        <v>20.64</v>
      </c>
      <c r="D8" s="1108">
        <v>19.760000000000002</v>
      </c>
      <c r="E8" s="65">
        <v>21.08</v>
      </c>
      <c r="F8" s="1224">
        <v>20.100000000000001</v>
      </c>
      <c r="G8" s="1113">
        <v>19.309999999999999</v>
      </c>
      <c r="H8" s="29">
        <f>(B8-E8)</f>
        <v>0.44000000000000128</v>
      </c>
      <c r="I8" s="29">
        <f>(C8-F8)</f>
        <v>0.53999999999999915</v>
      </c>
      <c r="J8" s="30">
        <f>(D8-G8)</f>
        <v>0.45000000000000284</v>
      </c>
      <c r="K8" s="75"/>
    </row>
    <row r="9" spans="1:15">
      <c r="A9" s="1207">
        <v>39825</v>
      </c>
      <c r="B9" s="1208">
        <v>21.65</v>
      </c>
      <c r="C9" s="1209">
        <v>20.74</v>
      </c>
      <c r="D9" s="1209">
        <v>19.670000000000002</v>
      </c>
      <c r="E9" s="1225">
        <v>21.32</v>
      </c>
      <c r="F9" s="1211">
        <v>20.36</v>
      </c>
      <c r="G9" s="1210">
        <v>19.32</v>
      </c>
      <c r="H9" s="39">
        <f t="shared" ref="H9:H27" si="0">(B9-E9)</f>
        <v>0.32999999999999829</v>
      </c>
      <c r="I9" s="39">
        <f t="shared" ref="I9:J48" si="1">(C9-F9)</f>
        <v>0.37999999999999901</v>
      </c>
      <c r="J9" s="40">
        <f t="shared" si="1"/>
        <v>0.35000000000000142</v>
      </c>
      <c r="K9" s="75"/>
    </row>
    <row r="10" spans="1:15">
      <c r="A10" s="10">
        <v>39832</v>
      </c>
      <c r="B10" s="1114">
        <v>21.67</v>
      </c>
      <c r="C10" s="1108">
        <v>20.77</v>
      </c>
      <c r="D10" s="1108">
        <v>19.600000000000001</v>
      </c>
      <c r="E10" s="61">
        <v>21.26</v>
      </c>
      <c r="F10" s="1107">
        <v>20.3</v>
      </c>
      <c r="G10" s="1109">
        <v>19.25</v>
      </c>
      <c r="H10" s="39">
        <f t="shared" si="0"/>
        <v>0.41000000000000014</v>
      </c>
      <c r="I10" s="39">
        <f t="shared" si="1"/>
        <v>0.46999999999999886</v>
      </c>
      <c r="J10" s="40">
        <f t="shared" si="1"/>
        <v>0.35000000000000142</v>
      </c>
      <c r="K10" s="75"/>
    </row>
    <row r="11" spans="1:15" ht="13.5" thickBot="1">
      <c r="A11" s="1207">
        <v>39839</v>
      </c>
      <c r="B11" s="1208">
        <v>21.46</v>
      </c>
      <c r="C11" s="1209">
        <v>20.55</v>
      </c>
      <c r="D11" s="1209">
        <v>19.010000000000002</v>
      </c>
      <c r="E11" s="1225">
        <v>21.01</v>
      </c>
      <c r="F11" s="1211">
        <v>20.04</v>
      </c>
      <c r="G11" s="1210">
        <v>18.63</v>
      </c>
      <c r="H11" s="39">
        <f t="shared" si="0"/>
        <v>0.44999999999999929</v>
      </c>
      <c r="I11" s="39">
        <f t="shared" si="1"/>
        <v>0.51000000000000156</v>
      </c>
      <c r="J11" s="40">
        <f t="shared" si="1"/>
        <v>0.38000000000000256</v>
      </c>
      <c r="K11" s="75"/>
    </row>
    <row r="12" spans="1:15" ht="15" thickBot="1">
      <c r="A12" s="1226" t="s">
        <v>7</v>
      </c>
      <c r="B12" s="1227">
        <f t="shared" ref="B12:G12" si="2">AVERAGE(B8:B11)</f>
        <v>21.575000000000003</v>
      </c>
      <c r="C12" s="1228">
        <f t="shared" si="2"/>
        <v>20.674999999999997</v>
      </c>
      <c r="D12" s="1228">
        <f t="shared" si="2"/>
        <v>19.510000000000002</v>
      </c>
      <c r="E12" s="1227">
        <f t="shared" si="2"/>
        <v>21.1675</v>
      </c>
      <c r="F12" s="1228">
        <f t="shared" si="2"/>
        <v>20.200000000000003</v>
      </c>
      <c r="G12" s="1229">
        <f t="shared" si="2"/>
        <v>19.127499999999998</v>
      </c>
      <c r="H12" s="96">
        <f t="shared" si="0"/>
        <v>0.40750000000000242</v>
      </c>
      <c r="I12" s="19">
        <f>(C12-F12)</f>
        <v>0.47499999999999432</v>
      </c>
      <c r="J12" s="20">
        <f>(D12-G12)</f>
        <v>0.38250000000000384</v>
      </c>
      <c r="K12" s="75"/>
    </row>
    <row r="13" spans="1:15">
      <c r="A13" s="10">
        <v>39846</v>
      </c>
      <c r="B13" s="1114">
        <v>21.38</v>
      </c>
      <c r="C13" s="1108">
        <v>20.49</v>
      </c>
      <c r="D13" s="1108">
        <v>18.48</v>
      </c>
      <c r="E13" s="65">
        <v>20.94</v>
      </c>
      <c r="F13" s="1224">
        <v>19.97</v>
      </c>
      <c r="G13" s="1113">
        <v>18.100000000000001</v>
      </c>
      <c r="H13" s="39">
        <f t="shared" si="0"/>
        <v>0.43999999999999773</v>
      </c>
      <c r="I13" s="39">
        <f t="shared" si="1"/>
        <v>0.51999999999999957</v>
      </c>
      <c r="J13" s="40">
        <f t="shared" si="1"/>
        <v>0.37999999999999901</v>
      </c>
      <c r="K13" s="75"/>
      <c r="L13" s="1530" t="s">
        <v>31</v>
      </c>
      <c r="M13" s="1531"/>
      <c r="N13" s="1531"/>
      <c r="O13" s="1532"/>
    </row>
    <row r="14" spans="1:15">
      <c r="A14" s="1207">
        <v>39853</v>
      </c>
      <c r="B14" s="1208">
        <v>21.35</v>
      </c>
      <c r="C14" s="1209">
        <v>20.47</v>
      </c>
      <c r="D14" s="1209">
        <v>18.38</v>
      </c>
      <c r="E14" s="1225">
        <v>20.87</v>
      </c>
      <c r="F14" s="1211">
        <v>19.91</v>
      </c>
      <c r="G14" s="1210">
        <v>17.95</v>
      </c>
      <c r="H14" s="39">
        <f t="shared" si="0"/>
        <v>0.48000000000000043</v>
      </c>
      <c r="I14" s="39">
        <f t="shared" si="1"/>
        <v>0.55999999999999872</v>
      </c>
      <c r="J14" s="40">
        <f t="shared" si="1"/>
        <v>0.42999999999999972</v>
      </c>
      <c r="K14" s="75"/>
      <c r="L14" s="1533" t="s">
        <v>30</v>
      </c>
      <c r="M14" s="1534"/>
      <c r="N14" s="1534"/>
      <c r="O14" s="1535"/>
    </row>
    <row r="15" spans="1:15">
      <c r="A15" s="10">
        <v>39860</v>
      </c>
      <c r="B15" s="1114">
        <v>21.33</v>
      </c>
      <c r="C15" s="1108">
        <v>20.440000000000001</v>
      </c>
      <c r="D15" s="1108">
        <v>18.329999999999998</v>
      </c>
      <c r="E15" s="61">
        <v>20.89</v>
      </c>
      <c r="F15" s="1107">
        <v>19.920000000000002</v>
      </c>
      <c r="G15" s="1109">
        <v>17.940000000000001</v>
      </c>
      <c r="H15" s="39">
        <f t="shared" si="0"/>
        <v>0.43999999999999773</v>
      </c>
      <c r="I15" s="39">
        <f t="shared" si="1"/>
        <v>0.51999999999999957</v>
      </c>
      <c r="J15" s="40">
        <f t="shared" si="1"/>
        <v>0.38999999999999702</v>
      </c>
      <c r="K15" s="75"/>
      <c r="L15" s="25" t="s">
        <v>25</v>
      </c>
      <c r="M15" s="26" t="s">
        <v>26</v>
      </c>
      <c r="N15" s="27" t="s">
        <v>27</v>
      </c>
      <c r="O15" s="28" t="s">
        <v>28</v>
      </c>
    </row>
    <row r="16" spans="1:15" ht="13.5" thickBot="1">
      <c r="A16" s="1207">
        <v>39867</v>
      </c>
      <c r="B16" s="1208">
        <v>21.35</v>
      </c>
      <c r="C16" s="1209">
        <v>20.45</v>
      </c>
      <c r="D16" s="1209">
        <v>18.21</v>
      </c>
      <c r="E16" s="1225">
        <v>20.88</v>
      </c>
      <c r="F16" s="1211">
        <v>19.91</v>
      </c>
      <c r="G16" s="1210">
        <v>17.899999999999999</v>
      </c>
      <c r="H16" s="39">
        <f t="shared" si="0"/>
        <v>0.47000000000000242</v>
      </c>
      <c r="I16" s="39">
        <f t="shared" si="1"/>
        <v>0.53999999999999915</v>
      </c>
      <c r="J16" s="40">
        <f t="shared" si="1"/>
        <v>0.31000000000000227</v>
      </c>
      <c r="K16" s="75"/>
      <c r="L16" s="22"/>
      <c r="M16" s="23" t="s">
        <v>29</v>
      </c>
      <c r="N16" s="23" t="s">
        <v>29</v>
      </c>
      <c r="O16" s="24" t="s">
        <v>29</v>
      </c>
    </row>
    <row r="17" spans="1:15" ht="15" thickBot="1">
      <c r="A17" s="1226" t="s">
        <v>7</v>
      </c>
      <c r="B17" s="1227">
        <f t="shared" ref="B17:G17" si="3">AVERAGE(B13:B16)</f>
        <v>21.352499999999999</v>
      </c>
      <c r="C17" s="1228">
        <f t="shared" si="3"/>
        <v>20.462499999999999</v>
      </c>
      <c r="D17" s="1228">
        <f t="shared" si="3"/>
        <v>18.350000000000001</v>
      </c>
      <c r="E17" s="1230">
        <f t="shared" si="3"/>
        <v>20.895</v>
      </c>
      <c r="F17" s="1231">
        <f t="shared" si="3"/>
        <v>19.927499999999998</v>
      </c>
      <c r="G17" s="1232">
        <f t="shared" si="3"/>
        <v>17.972499999999997</v>
      </c>
      <c r="H17" s="96">
        <f t="shared" si="0"/>
        <v>0.45749999999999957</v>
      </c>
      <c r="I17" s="19">
        <f>(C17-F17)</f>
        <v>0.53500000000000014</v>
      </c>
      <c r="J17" s="20">
        <f t="shared" si="1"/>
        <v>0.37750000000000483</v>
      </c>
      <c r="K17" s="75"/>
      <c r="L17" s="25" t="s">
        <v>8</v>
      </c>
      <c r="M17" s="31">
        <v>21.1675</v>
      </c>
      <c r="N17" s="32">
        <v>20.2</v>
      </c>
      <c r="O17" s="33">
        <v>19.127500000000001</v>
      </c>
    </row>
    <row r="18" spans="1:15">
      <c r="A18" s="10">
        <v>39874</v>
      </c>
      <c r="B18" s="1114">
        <v>21.32</v>
      </c>
      <c r="C18" s="1108">
        <v>20.420000000000002</v>
      </c>
      <c r="D18" s="1108">
        <v>17.72</v>
      </c>
      <c r="E18" s="65">
        <v>20.81</v>
      </c>
      <c r="F18" s="1224">
        <v>19.88</v>
      </c>
      <c r="G18" s="1113">
        <v>17.309999999999999</v>
      </c>
      <c r="H18" s="39">
        <f t="shared" si="0"/>
        <v>0.51000000000000156</v>
      </c>
      <c r="I18" s="39">
        <f t="shared" si="1"/>
        <v>0.5400000000000027</v>
      </c>
      <c r="J18" s="40">
        <f t="shared" si="1"/>
        <v>0.41000000000000014</v>
      </c>
      <c r="K18" s="75"/>
      <c r="L18" s="25" t="s">
        <v>9</v>
      </c>
      <c r="M18" s="31">
        <v>20.895</v>
      </c>
      <c r="N18" s="32">
        <v>19.927499999999998</v>
      </c>
      <c r="O18" s="33">
        <v>17.9725</v>
      </c>
    </row>
    <row r="19" spans="1:15">
      <c r="A19" s="1207">
        <v>39881</v>
      </c>
      <c r="B19" s="1208">
        <v>21.16</v>
      </c>
      <c r="C19" s="1209">
        <v>20.29</v>
      </c>
      <c r="D19" s="1209">
        <v>17.350000000000001</v>
      </c>
      <c r="E19" s="1225">
        <v>20.59</v>
      </c>
      <c r="F19" s="1211">
        <v>19.690000000000001</v>
      </c>
      <c r="G19" s="1210">
        <v>16.91</v>
      </c>
      <c r="H19" s="39">
        <f t="shared" si="0"/>
        <v>0.57000000000000028</v>
      </c>
      <c r="I19" s="39">
        <f t="shared" si="1"/>
        <v>0.59999999999999787</v>
      </c>
      <c r="J19" s="40">
        <f t="shared" si="1"/>
        <v>0.44000000000000128</v>
      </c>
      <c r="K19" s="75"/>
      <c r="L19" s="25" t="s">
        <v>10</v>
      </c>
      <c r="M19" s="31">
        <v>20.52</v>
      </c>
      <c r="N19" s="32">
        <v>19.645999999999997</v>
      </c>
      <c r="O19" s="33">
        <v>16.73</v>
      </c>
    </row>
    <row r="20" spans="1:15">
      <c r="A20" s="10">
        <v>39888</v>
      </c>
      <c r="B20" s="1114">
        <v>21.03</v>
      </c>
      <c r="C20" s="1108">
        <v>20.16</v>
      </c>
      <c r="D20" s="1108">
        <v>17.190000000000001</v>
      </c>
      <c r="E20" s="61">
        <v>20.5</v>
      </c>
      <c r="F20" s="1107">
        <v>19.62</v>
      </c>
      <c r="G20" s="1109">
        <v>16.73</v>
      </c>
      <c r="H20" s="39">
        <f t="shared" si="0"/>
        <v>0.53000000000000114</v>
      </c>
      <c r="I20" s="39">
        <f t="shared" si="1"/>
        <v>0.53999999999999915</v>
      </c>
      <c r="J20" s="40">
        <f t="shared" si="1"/>
        <v>0.46000000000000085</v>
      </c>
      <c r="K20" s="75"/>
      <c r="L20" s="25" t="s">
        <v>11</v>
      </c>
      <c r="M20" s="26">
        <v>21.16</v>
      </c>
      <c r="N20" s="38">
        <v>20.237500000000001</v>
      </c>
      <c r="O20" s="33">
        <v>16.594999999999999</v>
      </c>
    </row>
    <row r="21" spans="1:15">
      <c r="A21" s="1207">
        <v>39895</v>
      </c>
      <c r="B21" s="1208">
        <v>20.91</v>
      </c>
      <c r="C21" s="1209">
        <v>20.04</v>
      </c>
      <c r="D21" s="1209">
        <v>16.88</v>
      </c>
      <c r="E21" s="1225">
        <v>20.39</v>
      </c>
      <c r="F21" s="1211">
        <v>19.55</v>
      </c>
      <c r="G21" s="1210">
        <v>16.47</v>
      </c>
      <c r="H21" s="39">
        <f t="shared" si="0"/>
        <v>0.51999999999999957</v>
      </c>
      <c r="I21" s="39">
        <f t="shared" si="1"/>
        <v>0.48999999999999844</v>
      </c>
      <c r="J21" s="40">
        <f t="shared" si="1"/>
        <v>0.41000000000000014</v>
      </c>
      <c r="K21" s="75"/>
      <c r="L21" s="25" t="s">
        <v>12</v>
      </c>
      <c r="M21" s="31">
        <v>22.442499999999999</v>
      </c>
      <c r="N21" s="32">
        <v>21.47</v>
      </c>
      <c r="O21" s="33">
        <v>17.329999999999998</v>
      </c>
    </row>
    <row r="22" spans="1:15" ht="13.5" thickBot="1">
      <c r="A22" s="10">
        <v>39902</v>
      </c>
      <c r="B22" s="1114">
        <v>20.84</v>
      </c>
      <c r="C22" s="1108">
        <v>19.98</v>
      </c>
      <c r="D22" s="1108">
        <v>16.739999999999998</v>
      </c>
      <c r="E22" s="68">
        <v>20.309999999999999</v>
      </c>
      <c r="F22" s="1116">
        <v>19.489999999999998</v>
      </c>
      <c r="G22" s="1118">
        <v>16.23</v>
      </c>
      <c r="H22" s="39">
        <f t="shared" si="0"/>
        <v>0.53000000000000114</v>
      </c>
      <c r="I22" s="39">
        <f t="shared" si="1"/>
        <v>0.49000000000000199</v>
      </c>
      <c r="J22" s="40">
        <f t="shared" si="1"/>
        <v>0.50999999999999801</v>
      </c>
      <c r="K22" s="75"/>
      <c r="L22" s="25" t="s">
        <v>13</v>
      </c>
      <c r="M22" s="31">
        <v>25.172499999999999</v>
      </c>
      <c r="N22" s="32">
        <v>24.197500000000002</v>
      </c>
      <c r="O22" s="33">
        <v>19.512499999999999</v>
      </c>
    </row>
    <row r="23" spans="1:15" ht="15" thickBot="1">
      <c r="A23" s="1226" t="s">
        <v>7</v>
      </c>
      <c r="B23" s="1227">
        <f t="shared" ref="B23:G23" si="4">AVERAGE(B18:B22)</f>
        <v>21.052</v>
      </c>
      <c r="C23" s="1228">
        <f t="shared" si="4"/>
        <v>20.178000000000001</v>
      </c>
      <c r="D23" s="1228">
        <f t="shared" si="4"/>
        <v>17.175999999999998</v>
      </c>
      <c r="E23" s="1227">
        <f t="shared" si="4"/>
        <v>20.52</v>
      </c>
      <c r="F23" s="1228">
        <f t="shared" si="4"/>
        <v>19.645999999999997</v>
      </c>
      <c r="G23" s="1229">
        <f t="shared" si="4"/>
        <v>16.73</v>
      </c>
      <c r="H23" s="96">
        <f t="shared" si="0"/>
        <v>0.53200000000000003</v>
      </c>
      <c r="I23" s="19">
        <f>(C23-F23)</f>
        <v>0.53200000000000358</v>
      </c>
      <c r="J23" s="20">
        <f>(D23-G23)</f>
        <v>0.44599999999999795</v>
      </c>
      <c r="K23" s="75"/>
      <c r="L23" s="25" t="s">
        <v>14</v>
      </c>
      <c r="M23" s="31">
        <v>26.056000000000001</v>
      </c>
      <c r="N23" s="32">
        <v>25.071999999999999</v>
      </c>
      <c r="O23" s="33">
        <v>20.256</v>
      </c>
    </row>
    <row r="24" spans="1:15">
      <c r="A24" s="10">
        <v>39909</v>
      </c>
      <c r="B24" s="1114">
        <v>20.79</v>
      </c>
      <c r="C24" s="1108">
        <v>19.93</v>
      </c>
      <c r="D24" s="1108">
        <v>16.670000000000002</v>
      </c>
      <c r="E24" s="65">
        <v>20.29</v>
      </c>
      <c r="F24" s="1224">
        <v>19.45</v>
      </c>
      <c r="G24" s="1113">
        <v>16.2</v>
      </c>
      <c r="H24" s="39">
        <f t="shared" si="0"/>
        <v>0.5</v>
      </c>
      <c r="I24" s="39">
        <f t="shared" si="1"/>
        <v>0.48000000000000043</v>
      </c>
      <c r="J24" s="40">
        <f t="shared" si="1"/>
        <v>0.47000000000000242</v>
      </c>
      <c r="K24" s="75"/>
      <c r="L24" s="25" t="s">
        <v>15</v>
      </c>
      <c r="M24" s="31">
        <v>26.154000000000003</v>
      </c>
      <c r="N24" s="32">
        <v>25.167999999999999</v>
      </c>
      <c r="O24" s="33">
        <v>21.41</v>
      </c>
    </row>
    <row r="25" spans="1:15">
      <c r="A25" s="1207">
        <v>39917</v>
      </c>
      <c r="B25" s="1208">
        <v>21.69</v>
      </c>
      <c r="C25" s="1209">
        <v>20.76</v>
      </c>
      <c r="D25" s="1209">
        <v>17.13</v>
      </c>
      <c r="E25" s="1225">
        <v>20.62</v>
      </c>
      <c r="F25" s="1211">
        <v>19.7</v>
      </c>
      <c r="G25" s="1210">
        <v>16.489999999999998</v>
      </c>
      <c r="H25" s="39">
        <f t="shared" si="0"/>
        <v>1.0700000000000003</v>
      </c>
      <c r="I25" s="39">
        <f t="shared" si="1"/>
        <v>1.0600000000000023</v>
      </c>
      <c r="J25" s="40">
        <f t="shared" si="1"/>
        <v>0.64000000000000057</v>
      </c>
      <c r="K25" s="75"/>
      <c r="L25" s="25" t="s">
        <v>16</v>
      </c>
      <c r="M25" s="31">
        <v>26.28</v>
      </c>
      <c r="N25" s="32">
        <v>25.297499999999999</v>
      </c>
      <c r="O25" s="33">
        <v>21.4575</v>
      </c>
    </row>
    <row r="26" spans="1:15">
      <c r="A26" s="10">
        <v>39923</v>
      </c>
      <c r="B26" s="1114">
        <v>22.22</v>
      </c>
      <c r="C26" s="1108">
        <v>21.28</v>
      </c>
      <c r="D26" s="1108">
        <v>17.239999999999998</v>
      </c>
      <c r="E26" s="61">
        <v>21.88</v>
      </c>
      <c r="F26" s="1107">
        <v>20.9</v>
      </c>
      <c r="G26" s="1109">
        <v>16.87</v>
      </c>
      <c r="H26" s="39">
        <f t="shared" si="0"/>
        <v>0.33999999999999986</v>
      </c>
      <c r="I26" s="39">
        <f t="shared" si="1"/>
        <v>0.38000000000000256</v>
      </c>
      <c r="J26" s="40">
        <f t="shared" si="1"/>
        <v>0.36999999999999744</v>
      </c>
      <c r="K26" s="75"/>
      <c r="L26" s="25" t="s">
        <v>17</v>
      </c>
      <c r="M26" s="31">
        <v>25.572500000000002</v>
      </c>
      <c r="N26" s="32">
        <v>24.6175</v>
      </c>
      <c r="O26" s="33">
        <v>20.967500000000001</v>
      </c>
    </row>
    <row r="27" spans="1:15" ht="13.5" thickBot="1">
      <c r="A27" s="1207">
        <v>39930</v>
      </c>
      <c r="B27" s="1208">
        <v>22.2</v>
      </c>
      <c r="C27" s="1209">
        <v>21.29</v>
      </c>
      <c r="D27" s="1209">
        <v>17.260000000000002</v>
      </c>
      <c r="E27" s="1225">
        <v>21.85</v>
      </c>
      <c r="F27" s="1211">
        <v>20.9</v>
      </c>
      <c r="G27" s="1210">
        <v>16.82</v>
      </c>
      <c r="H27" s="39">
        <f t="shared" si="0"/>
        <v>0.34999999999999787</v>
      </c>
      <c r="I27" s="39">
        <f t="shared" si="1"/>
        <v>0.39000000000000057</v>
      </c>
      <c r="J27" s="40">
        <f t="shared" si="1"/>
        <v>0.44000000000000128</v>
      </c>
      <c r="K27" s="75"/>
      <c r="L27" s="25" t="s">
        <v>18</v>
      </c>
      <c r="M27" s="31">
        <v>27.41</v>
      </c>
      <c r="N27" s="32">
        <v>26.42</v>
      </c>
      <c r="O27" s="33">
        <v>23.137499999999999</v>
      </c>
    </row>
    <row r="28" spans="1:15" ht="15" thickBot="1">
      <c r="A28" s="1226" t="s">
        <v>7</v>
      </c>
      <c r="B28" s="1227">
        <f t="shared" ref="B28:G28" si="5">AVERAGE(B24:B27)</f>
        <v>21.725000000000001</v>
      </c>
      <c r="C28" s="1228">
        <f t="shared" si="5"/>
        <v>20.814999999999998</v>
      </c>
      <c r="D28" s="1228">
        <f t="shared" si="5"/>
        <v>17.074999999999999</v>
      </c>
      <c r="E28" s="1230">
        <f t="shared" si="5"/>
        <v>21.159999999999997</v>
      </c>
      <c r="F28" s="1231">
        <f t="shared" si="5"/>
        <v>20.237499999999997</v>
      </c>
      <c r="G28" s="1232">
        <f t="shared" si="5"/>
        <v>16.594999999999999</v>
      </c>
      <c r="H28" s="96">
        <f>(B28-E28)</f>
        <v>0.56500000000000483</v>
      </c>
      <c r="I28" s="19">
        <f>(C28-F28)</f>
        <v>0.57750000000000057</v>
      </c>
      <c r="J28" s="20">
        <f>(D28-G28)</f>
        <v>0.48000000000000043</v>
      </c>
      <c r="K28" s="75"/>
      <c r="L28" s="34" t="s">
        <v>19</v>
      </c>
      <c r="M28" s="35">
        <v>26.927499999999998</v>
      </c>
      <c r="N28" s="36">
        <v>25.934999999999999</v>
      </c>
      <c r="O28" s="37">
        <v>23.045000000000002</v>
      </c>
    </row>
    <row r="29" spans="1:15">
      <c r="A29" s="10">
        <v>39937</v>
      </c>
      <c r="B29" s="1114">
        <v>22.18</v>
      </c>
      <c r="C29" s="1108">
        <v>21.29</v>
      </c>
      <c r="D29" s="1108">
        <v>17.21</v>
      </c>
      <c r="E29" s="65">
        <v>21.85</v>
      </c>
      <c r="F29" s="1224">
        <v>20.89</v>
      </c>
      <c r="G29" s="1113">
        <v>16.829999999999998</v>
      </c>
      <c r="H29" s="39">
        <f t="shared" ref="H29:H66" si="6">(B29-E29)</f>
        <v>0.32999999999999829</v>
      </c>
      <c r="I29" s="39">
        <f t="shared" si="1"/>
        <v>0.39999999999999858</v>
      </c>
      <c r="J29" s="40">
        <f t="shared" si="1"/>
        <v>0.38000000000000256</v>
      </c>
      <c r="K29" s="75"/>
    </row>
    <row r="30" spans="1:15">
      <c r="A30" s="1207">
        <v>39944</v>
      </c>
      <c r="B30" s="1208">
        <v>22.17</v>
      </c>
      <c r="C30" s="1209">
        <v>21.3</v>
      </c>
      <c r="D30" s="1209">
        <v>17.2</v>
      </c>
      <c r="E30" s="1225">
        <v>21.83</v>
      </c>
      <c r="F30" s="1211">
        <v>20.86</v>
      </c>
      <c r="G30" s="1210">
        <v>16.899999999999999</v>
      </c>
      <c r="H30" s="39">
        <f t="shared" si="6"/>
        <v>0.34000000000000341</v>
      </c>
      <c r="I30" s="39">
        <f t="shared" si="1"/>
        <v>0.44000000000000128</v>
      </c>
      <c r="J30" s="40">
        <f t="shared" si="1"/>
        <v>0.30000000000000071</v>
      </c>
      <c r="K30" s="75"/>
    </row>
    <row r="31" spans="1:15">
      <c r="A31" s="10">
        <v>39951</v>
      </c>
      <c r="B31" s="1114">
        <v>23.05</v>
      </c>
      <c r="C31" s="1108">
        <v>22.1</v>
      </c>
      <c r="D31" s="1108">
        <v>17.97</v>
      </c>
      <c r="E31" s="61">
        <v>22.66</v>
      </c>
      <c r="F31" s="1107">
        <v>21.67</v>
      </c>
      <c r="G31" s="1109">
        <v>17.66</v>
      </c>
      <c r="H31" s="39">
        <f t="shared" si="6"/>
        <v>0.39000000000000057</v>
      </c>
      <c r="I31" s="39">
        <f t="shared" si="1"/>
        <v>0.42999999999999972</v>
      </c>
      <c r="J31" s="40">
        <f t="shared" si="1"/>
        <v>0.30999999999999872</v>
      </c>
      <c r="K31" s="75"/>
    </row>
    <row r="32" spans="1:15" ht="13.5" thickBot="1">
      <c r="A32" s="1207">
        <v>39958</v>
      </c>
      <c r="B32" s="1208">
        <v>23.85</v>
      </c>
      <c r="C32" s="1209">
        <v>22.87</v>
      </c>
      <c r="D32" s="1209">
        <v>18.32</v>
      </c>
      <c r="E32" s="1225">
        <v>23.43</v>
      </c>
      <c r="F32" s="1211">
        <v>22.46</v>
      </c>
      <c r="G32" s="1210">
        <v>17.93</v>
      </c>
      <c r="H32" s="39">
        <f t="shared" si="6"/>
        <v>0.42000000000000171</v>
      </c>
      <c r="I32" s="39">
        <f t="shared" si="1"/>
        <v>0.41000000000000014</v>
      </c>
      <c r="J32" s="40">
        <f t="shared" si="1"/>
        <v>0.39000000000000057</v>
      </c>
      <c r="K32" s="75"/>
    </row>
    <row r="33" spans="1:11" ht="15" thickBot="1">
      <c r="A33" s="1226" t="s">
        <v>7</v>
      </c>
      <c r="B33" s="1227">
        <f t="shared" ref="B33:G33" si="7">AVERAGE(B29:B32)</f>
        <v>22.8125</v>
      </c>
      <c r="C33" s="1228">
        <f t="shared" si="7"/>
        <v>21.89</v>
      </c>
      <c r="D33" s="1228">
        <f t="shared" si="7"/>
        <v>17.674999999999997</v>
      </c>
      <c r="E33" s="1230">
        <f t="shared" si="7"/>
        <v>22.442500000000003</v>
      </c>
      <c r="F33" s="1231">
        <f t="shared" si="7"/>
        <v>21.47</v>
      </c>
      <c r="G33" s="1232">
        <f t="shared" si="7"/>
        <v>17.329999999999998</v>
      </c>
      <c r="H33" s="96">
        <f t="shared" si="6"/>
        <v>0.36999999999999744</v>
      </c>
      <c r="I33" s="19">
        <f>(C33-F33)</f>
        <v>0.42000000000000171</v>
      </c>
      <c r="J33" s="20">
        <f>(D33-G33)</f>
        <v>0.34499999999999886</v>
      </c>
      <c r="K33" s="75"/>
    </row>
    <row r="34" spans="1:11">
      <c r="A34" s="10">
        <v>39965</v>
      </c>
      <c r="B34" s="1114">
        <v>23.91</v>
      </c>
      <c r="C34" s="1108">
        <v>22.94</v>
      </c>
      <c r="D34" s="1108">
        <v>18.350000000000001</v>
      </c>
      <c r="E34" s="65">
        <v>23.42</v>
      </c>
      <c r="F34" s="1224">
        <v>22.46</v>
      </c>
      <c r="G34" s="1113">
        <v>17.940000000000001</v>
      </c>
      <c r="H34" s="39">
        <f t="shared" si="6"/>
        <v>0.48999999999999844</v>
      </c>
      <c r="I34" s="39">
        <f t="shared" si="1"/>
        <v>0.48000000000000043</v>
      </c>
      <c r="J34" s="40">
        <f t="shared" si="1"/>
        <v>0.41000000000000014</v>
      </c>
      <c r="K34" s="75"/>
    </row>
    <row r="35" spans="1:11">
      <c r="A35" s="1207">
        <v>39972</v>
      </c>
      <c r="B35" s="1208">
        <v>25.15</v>
      </c>
      <c r="C35" s="1209">
        <v>24.26</v>
      </c>
      <c r="D35" s="1209">
        <v>19.579999999999998</v>
      </c>
      <c r="E35" s="1225">
        <v>24.91</v>
      </c>
      <c r="F35" s="1211">
        <v>23.94</v>
      </c>
      <c r="G35" s="1210">
        <v>19.38</v>
      </c>
      <c r="H35" s="39">
        <f t="shared" si="6"/>
        <v>0.23999999999999844</v>
      </c>
      <c r="I35" s="39">
        <f t="shared" si="1"/>
        <v>0.32000000000000028</v>
      </c>
      <c r="J35" s="40">
        <f t="shared" si="1"/>
        <v>0.19999999999999929</v>
      </c>
      <c r="K35" s="75"/>
    </row>
    <row r="36" spans="1:11">
      <c r="A36" s="10">
        <v>39979</v>
      </c>
      <c r="B36" s="1114">
        <v>26.2</v>
      </c>
      <c r="C36" s="1108">
        <v>25.24</v>
      </c>
      <c r="D36" s="1108">
        <v>20.46</v>
      </c>
      <c r="E36" s="61">
        <v>25.92</v>
      </c>
      <c r="F36" s="1107">
        <v>24.94</v>
      </c>
      <c r="G36" s="1109">
        <v>20.18</v>
      </c>
      <c r="H36" s="39">
        <f t="shared" si="6"/>
        <v>0.27999999999999758</v>
      </c>
      <c r="I36" s="39">
        <f t="shared" si="1"/>
        <v>0.29999999999999716</v>
      </c>
      <c r="J36" s="40">
        <f t="shared" si="1"/>
        <v>0.28000000000000114</v>
      </c>
      <c r="K36" s="75"/>
    </row>
    <row r="37" spans="1:11" ht="13.5" thickBot="1">
      <c r="A37" s="1207">
        <v>39986</v>
      </c>
      <c r="B37" s="1208">
        <v>26.71</v>
      </c>
      <c r="C37" s="1209">
        <v>25.73</v>
      </c>
      <c r="D37" s="1209">
        <v>20.86</v>
      </c>
      <c r="E37" s="1225">
        <v>26.44</v>
      </c>
      <c r="F37" s="1211">
        <v>25.45</v>
      </c>
      <c r="G37" s="1210">
        <v>20.55</v>
      </c>
      <c r="H37" s="39">
        <f t="shared" si="6"/>
        <v>0.26999999999999957</v>
      </c>
      <c r="I37" s="39">
        <f t="shared" si="1"/>
        <v>0.28000000000000114</v>
      </c>
      <c r="J37" s="40">
        <f t="shared" si="1"/>
        <v>0.30999999999999872</v>
      </c>
      <c r="K37" s="75"/>
    </row>
    <row r="38" spans="1:11" ht="15" thickBot="1">
      <c r="A38" s="1226" t="s">
        <v>7</v>
      </c>
      <c r="B38" s="1227">
        <f t="shared" ref="B38:G38" si="8">AVERAGE(B34:B37)</f>
        <v>25.4925</v>
      </c>
      <c r="C38" s="1228">
        <f t="shared" si="8"/>
        <v>24.5425</v>
      </c>
      <c r="D38" s="1228">
        <f t="shared" si="8"/>
        <v>19.8125</v>
      </c>
      <c r="E38" s="1230">
        <f t="shared" si="8"/>
        <v>25.172499999999999</v>
      </c>
      <c r="F38" s="1231">
        <f t="shared" si="8"/>
        <v>24.197500000000002</v>
      </c>
      <c r="G38" s="1232">
        <f t="shared" si="8"/>
        <v>19.512499999999999</v>
      </c>
      <c r="H38" s="96">
        <f t="shared" si="6"/>
        <v>0.32000000000000028</v>
      </c>
      <c r="I38" s="19">
        <f>(C38-F38)</f>
        <v>0.34499999999999886</v>
      </c>
      <c r="J38" s="20">
        <f>(D38-G38)</f>
        <v>0.30000000000000071</v>
      </c>
      <c r="K38" s="75"/>
    </row>
    <row r="39" spans="1:11">
      <c r="A39" s="10">
        <v>39995</v>
      </c>
      <c r="B39" s="1114">
        <v>27.52</v>
      </c>
      <c r="C39" s="1108">
        <v>26.55</v>
      </c>
      <c r="D39" s="1108">
        <v>21.21</v>
      </c>
      <c r="E39" s="65">
        <v>27.14</v>
      </c>
      <c r="F39" s="1224">
        <v>26.16</v>
      </c>
      <c r="G39" s="1113">
        <v>20.82</v>
      </c>
      <c r="H39" s="39">
        <f t="shared" si="6"/>
        <v>0.37999999999999901</v>
      </c>
      <c r="I39" s="39">
        <f t="shared" si="1"/>
        <v>0.39000000000000057</v>
      </c>
      <c r="J39" s="40">
        <f t="shared" si="1"/>
        <v>0.39000000000000057</v>
      </c>
      <c r="K39" s="75"/>
    </row>
    <row r="40" spans="1:11">
      <c r="A40" s="1207">
        <v>40000</v>
      </c>
      <c r="B40" s="1208">
        <v>27.48</v>
      </c>
      <c r="C40" s="1209">
        <v>26.47</v>
      </c>
      <c r="D40" s="1209">
        <v>21.17</v>
      </c>
      <c r="E40" s="1225">
        <v>27.08</v>
      </c>
      <c r="F40" s="1211">
        <v>26.09</v>
      </c>
      <c r="G40" s="1210">
        <v>20.74</v>
      </c>
      <c r="H40" s="39">
        <f t="shared" si="6"/>
        <v>0.40000000000000213</v>
      </c>
      <c r="I40" s="39">
        <f t="shared" si="1"/>
        <v>0.37999999999999901</v>
      </c>
      <c r="J40" s="40">
        <f t="shared" si="1"/>
        <v>0.43000000000000327</v>
      </c>
      <c r="K40" s="75"/>
    </row>
    <row r="41" spans="1:11">
      <c r="A41" s="10">
        <v>40007</v>
      </c>
      <c r="B41" s="1114">
        <v>26.54</v>
      </c>
      <c r="C41" s="1108">
        <v>25.57</v>
      </c>
      <c r="D41" s="1108">
        <v>20.66</v>
      </c>
      <c r="E41" s="61">
        <v>26.1</v>
      </c>
      <c r="F41" s="1107">
        <v>25.13</v>
      </c>
      <c r="G41" s="1109">
        <v>20.190000000000001</v>
      </c>
      <c r="H41" s="39">
        <f t="shared" si="6"/>
        <v>0.43999999999999773</v>
      </c>
      <c r="I41" s="39">
        <f t="shared" si="1"/>
        <v>0.44000000000000128</v>
      </c>
      <c r="J41" s="40">
        <f t="shared" si="1"/>
        <v>0.46999999999999886</v>
      </c>
      <c r="K41" s="75"/>
    </row>
    <row r="42" spans="1:11">
      <c r="A42" s="1207">
        <v>40014</v>
      </c>
      <c r="B42" s="1208">
        <v>25.92</v>
      </c>
      <c r="C42" s="1209">
        <v>24.92</v>
      </c>
      <c r="D42" s="1209">
        <v>20.21</v>
      </c>
      <c r="E42" s="1225">
        <v>25.41</v>
      </c>
      <c r="F42" s="1211">
        <v>24.42</v>
      </c>
      <c r="G42" s="1210">
        <v>19.8</v>
      </c>
      <c r="H42" s="39">
        <f t="shared" si="6"/>
        <v>0.51000000000000156</v>
      </c>
      <c r="I42" s="39">
        <f t="shared" si="1"/>
        <v>0.5</v>
      </c>
      <c r="J42" s="40">
        <f t="shared" si="1"/>
        <v>0.41000000000000014</v>
      </c>
      <c r="K42" s="75"/>
    </row>
    <row r="43" spans="1:11" ht="13.5" thickBot="1">
      <c r="A43" s="10">
        <v>40021</v>
      </c>
      <c r="B43" s="1114">
        <v>25.05</v>
      </c>
      <c r="C43" s="1108">
        <v>24.09</v>
      </c>
      <c r="D43" s="1108">
        <v>20.09</v>
      </c>
      <c r="E43" s="68">
        <v>24.55</v>
      </c>
      <c r="F43" s="1116">
        <v>23.56</v>
      </c>
      <c r="G43" s="1118">
        <v>19.73</v>
      </c>
      <c r="H43" s="39">
        <f t="shared" si="6"/>
        <v>0.5</v>
      </c>
      <c r="I43" s="39">
        <f t="shared" si="1"/>
        <v>0.53000000000000114</v>
      </c>
      <c r="J43" s="40">
        <f t="shared" si="1"/>
        <v>0.35999999999999943</v>
      </c>
      <c r="K43" s="75"/>
    </row>
    <row r="44" spans="1:11" ht="15" thickBot="1">
      <c r="A44" s="1226" t="s">
        <v>7</v>
      </c>
      <c r="B44" s="1227">
        <f t="shared" ref="B44:G44" si="9">AVERAGE(B39:B43)</f>
        <v>26.501999999999999</v>
      </c>
      <c r="C44" s="1228">
        <f t="shared" si="9"/>
        <v>25.520000000000003</v>
      </c>
      <c r="D44" s="1228">
        <f t="shared" si="9"/>
        <v>20.667999999999999</v>
      </c>
      <c r="E44" s="1227">
        <f t="shared" si="9"/>
        <v>26.056000000000001</v>
      </c>
      <c r="F44" s="1228">
        <f t="shared" si="9"/>
        <v>25.071999999999999</v>
      </c>
      <c r="G44" s="1229">
        <f t="shared" si="9"/>
        <v>20.256</v>
      </c>
      <c r="H44" s="96">
        <f t="shared" si="6"/>
        <v>0.44599999999999795</v>
      </c>
      <c r="I44" s="19">
        <f>(C44-F44)</f>
        <v>0.44800000000000395</v>
      </c>
      <c r="J44" s="20">
        <f>(D44-G44)</f>
        <v>0.41199999999999903</v>
      </c>
      <c r="K44" s="75"/>
    </row>
    <row r="45" spans="1:11">
      <c r="A45" s="10">
        <v>40028</v>
      </c>
      <c r="B45" s="1114">
        <v>24.93</v>
      </c>
      <c r="C45" s="1108">
        <v>23.97</v>
      </c>
      <c r="D45" s="1108">
        <v>20.059999999999999</v>
      </c>
      <c r="E45" s="65">
        <v>24.44</v>
      </c>
      <c r="F45" s="1224">
        <v>23.47</v>
      </c>
      <c r="G45" s="1113">
        <v>19.72</v>
      </c>
      <c r="H45" s="39">
        <f t="shared" si="6"/>
        <v>0.48999999999999844</v>
      </c>
      <c r="I45" s="39">
        <f t="shared" si="1"/>
        <v>0.5</v>
      </c>
      <c r="J45" s="40">
        <f t="shared" si="1"/>
        <v>0.33999999999999986</v>
      </c>
      <c r="K45" s="75"/>
    </row>
    <row r="46" spans="1:11">
      <c r="A46" s="1207">
        <v>40035</v>
      </c>
      <c r="B46" s="1208">
        <v>25.93</v>
      </c>
      <c r="C46" s="1209">
        <v>24.96</v>
      </c>
      <c r="D46" s="1209">
        <v>21.17</v>
      </c>
      <c r="E46" s="1225">
        <v>25.54</v>
      </c>
      <c r="F46" s="1211">
        <v>24.55</v>
      </c>
      <c r="G46" s="1210">
        <v>20.85</v>
      </c>
      <c r="H46" s="39">
        <f t="shared" si="6"/>
        <v>0.39000000000000057</v>
      </c>
      <c r="I46" s="39">
        <f t="shared" si="1"/>
        <v>0.41000000000000014</v>
      </c>
      <c r="J46" s="40">
        <f t="shared" si="1"/>
        <v>0.32000000000000028</v>
      </c>
      <c r="K46" s="75"/>
    </row>
    <row r="47" spans="1:11">
      <c r="A47" s="10">
        <v>40042</v>
      </c>
      <c r="B47" s="1114">
        <v>26.76</v>
      </c>
      <c r="C47" s="1108">
        <v>25.82</v>
      </c>
      <c r="D47" s="1108">
        <v>21.73</v>
      </c>
      <c r="E47" s="61">
        <v>26.32</v>
      </c>
      <c r="F47" s="1107">
        <v>25.34</v>
      </c>
      <c r="G47" s="1109">
        <v>21.35</v>
      </c>
      <c r="H47" s="39">
        <f t="shared" si="6"/>
        <v>0.44000000000000128</v>
      </c>
      <c r="I47" s="39">
        <f t="shared" si="1"/>
        <v>0.48000000000000043</v>
      </c>
      <c r="J47" s="40">
        <f t="shared" si="1"/>
        <v>0.37999999999999901</v>
      </c>
      <c r="K47" s="75"/>
    </row>
    <row r="48" spans="1:11">
      <c r="A48" s="1207">
        <v>40049</v>
      </c>
      <c r="B48" s="1208">
        <v>27.74</v>
      </c>
      <c r="C48" s="1209">
        <v>26.78</v>
      </c>
      <c r="D48" s="1209">
        <v>22.95</v>
      </c>
      <c r="E48" s="1225">
        <v>27.34</v>
      </c>
      <c r="F48" s="1211">
        <v>26.33</v>
      </c>
      <c r="G48" s="1210">
        <v>22.64</v>
      </c>
      <c r="H48" s="39">
        <f t="shared" si="6"/>
        <v>0.39999999999999858</v>
      </c>
      <c r="I48" s="39">
        <f t="shared" si="1"/>
        <v>0.45000000000000284</v>
      </c>
      <c r="J48" s="40">
        <f t="shared" si="1"/>
        <v>0.30999999999999872</v>
      </c>
      <c r="K48" s="75"/>
    </row>
    <row r="49" spans="1:11" ht="13.5" thickBot="1">
      <c r="A49" s="10">
        <v>40056</v>
      </c>
      <c r="B49" s="1114">
        <v>27.55</v>
      </c>
      <c r="C49" s="1108">
        <v>26.58</v>
      </c>
      <c r="D49" s="1108">
        <v>22.83</v>
      </c>
      <c r="E49" s="68">
        <v>27.13</v>
      </c>
      <c r="F49" s="1116">
        <v>26.15</v>
      </c>
      <c r="G49" s="1118">
        <v>22.49</v>
      </c>
      <c r="H49" s="41">
        <f t="shared" si="6"/>
        <v>0.42000000000000171</v>
      </c>
      <c r="I49" s="41">
        <f t="shared" ref="I49:I66" si="10">(C49-F49)</f>
        <v>0.42999999999999972</v>
      </c>
      <c r="J49" s="42">
        <f t="shared" ref="J49:J66" si="11">(D49-G49)</f>
        <v>0.33999999999999986</v>
      </c>
      <c r="K49" s="75"/>
    </row>
    <row r="50" spans="1:11" ht="15" thickBot="1">
      <c r="A50" s="1226" t="s">
        <v>7</v>
      </c>
      <c r="B50" s="1227">
        <f t="shared" ref="B50:G50" si="12">AVERAGE(B45:B49)</f>
        <v>26.582000000000001</v>
      </c>
      <c r="C50" s="1228">
        <f t="shared" si="12"/>
        <v>25.622000000000003</v>
      </c>
      <c r="D50" s="1228">
        <f t="shared" si="12"/>
        <v>21.748000000000001</v>
      </c>
      <c r="E50" s="1227">
        <f t="shared" si="12"/>
        <v>26.154000000000003</v>
      </c>
      <c r="F50" s="1228">
        <f t="shared" si="12"/>
        <v>25.167999999999999</v>
      </c>
      <c r="G50" s="1229">
        <f t="shared" si="12"/>
        <v>21.41</v>
      </c>
      <c r="H50" s="96">
        <f t="shared" si="6"/>
        <v>0.42799999999999727</v>
      </c>
      <c r="I50" s="19">
        <f t="shared" si="10"/>
        <v>0.45400000000000418</v>
      </c>
      <c r="J50" s="20">
        <f t="shared" si="11"/>
        <v>0.33800000000000097</v>
      </c>
      <c r="K50" s="75"/>
    </row>
    <row r="51" spans="1:11">
      <c r="A51" s="10">
        <v>40063</v>
      </c>
      <c r="B51" s="1114">
        <v>26.99</v>
      </c>
      <c r="C51" s="1108">
        <v>26.05</v>
      </c>
      <c r="D51" s="1108">
        <v>22.26</v>
      </c>
      <c r="E51" s="65">
        <v>26.55</v>
      </c>
      <c r="F51" s="1224">
        <v>25.56</v>
      </c>
      <c r="G51" s="1113">
        <v>21.85</v>
      </c>
      <c r="H51" s="29">
        <f t="shared" si="6"/>
        <v>0.43999999999999773</v>
      </c>
      <c r="I51" s="29">
        <f t="shared" si="10"/>
        <v>0.49000000000000199</v>
      </c>
      <c r="J51" s="30">
        <f t="shared" si="11"/>
        <v>0.41000000000000014</v>
      </c>
    </row>
    <row r="52" spans="1:11">
      <c r="A52" s="1207">
        <v>40070</v>
      </c>
      <c r="B52" s="1208">
        <v>26.83</v>
      </c>
      <c r="C52" s="1209">
        <v>25.88</v>
      </c>
      <c r="D52" s="1209">
        <v>21.95</v>
      </c>
      <c r="E52" s="1225">
        <v>26.44</v>
      </c>
      <c r="F52" s="1211">
        <v>25.46</v>
      </c>
      <c r="G52" s="1210">
        <v>21.59</v>
      </c>
      <c r="H52" s="39">
        <f t="shared" si="6"/>
        <v>0.38999999999999702</v>
      </c>
      <c r="I52" s="39">
        <f t="shared" si="10"/>
        <v>0.41999999999999815</v>
      </c>
      <c r="J52" s="40">
        <f t="shared" si="11"/>
        <v>0.35999999999999943</v>
      </c>
    </row>
    <row r="53" spans="1:11">
      <c r="A53" s="10">
        <v>40077</v>
      </c>
      <c r="B53" s="1114">
        <v>26.76</v>
      </c>
      <c r="C53" s="1108">
        <v>25.81</v>
      </c>
      <c r="D53" s="1108">
        <v>21.82</v>
      </c>
      <c r="E53" s="61">
        <v>26.33</v>
      </c>
      <c r="F53" s="1107">
        <v>25.36</v>
      </c>
      <c r="G53" s="1109">
        <v>21.43</v>
      </c>
      <c r="H53" s="39">
        <f t="shared" si="6"/>
        <v>0.43000000000000327</v>
      </c>
      <c r="I53" s="39">
        <f t="shared" si="10"/>
        <v>0.44999999999999929</v>
      </c>
      <c r="J53" s="40">
        <f t="shared" si="11"/>
        <v>0.39000000000000057</v>
      </c>
    </row>
    <row r="54" spans="1:11" ht="13.5" thickBot="1">
      <c r="A54" s="1207">
        <v>40084</v>
      </c>
      <c r="B54" s="1208">
        <v>26.25</v>
      </c>
      <c r="C54" s="1209">
        <v>25.3</v>
      </c>
      <c r="D54" s="1209">
        <v>21.39</v>
      </c>
      <c r="E54" s="1225">
        <v>25.8</v>
      </c>
      <c r="F54" s="1211">
        <v>24.81</v>
      </c>
      <c r="G54" s="1210">
        <v>20.96</v>
      </c>
      <c r="H54" s="41">
        <f t="shared" si="6"/>
        <v>0.44999999999999929</v>
      </c>
      <c r="I54" s="41">
        <f t="shared" si="10"/>
        <v>0.49000000000000199</v>
      </c>
      <c r="J54" s="42">
        <f t="shared" si="11"/>
        <v>0.42999999999999972</v>
      </c>
    </row>
    <row r="55" spans="1:11" ht="15" thickBot="1">
      <c r="A55" s="1226" t="s">
        <v>7</v>
      </c>
      <c r="B55" s="1227">
        <f t="shared" ref="B55:G55" si="13">AVERAGE(B51:B54)</f>
        <v>26.7075</v>
      </c>
      <c r="C55" s="1228">
        <f t="shared" si="13"/>
        <v>25.759999999999998</v>
      </c>
      <c r="D55" s="1228">
        <f t="shared" si="13"/>
        <v>21.855</v>
      </c>
      <c r="E55" s="1230">
        <f t="shared" si="13"/>
        <v>26.279999999999998</v>
      </c>
      <c r="F55" s="1231">
        <f t="shared" si="13"/>
        <v>25.297499999999999</v>
      </c>
      <c r="G55" s="1232">
        <f t="shared" si="13"/>
        <v>21.457500000000003</v>
      </c>
      <c r="H55" s="96">
        <f t="shared" si="6"/>
        <v>0.42750000000000199</v>
      </c>
      <c r="I55" s="19">
        <f t="shared" si="10"/>
        <v>0.46249999999999858</v>
      </c>
      <c r="J55" s="20">
        <f t="shared" si="11"/>
        <v>0.3974999999999973</v>
      </c>
    </row>
    <row r="56" spans="1:11">
      <c r="A56" s="10">
        <v>40091</v>
      </c>
      <c r="B56" s="1114">
        <v>25.98</v>
      </c>
      <c r="C56" s="1108">
        <v>25.07</v>
      </c>
      <c r="D56" s="1108">
        <v>21.2</v>
      </c>
      <c r="E56" s="65">
        <v>25.52</v>
      </c>
      <c r="F56" s="1224">
        <v>24.59</v>
      </c>
      <c r="G56" s="1113">
        <v>20.77</v>
      </c>
      <c r="H56" s="29">
        <f t="shared" si="6"/>
        <v>0.46000000000000085</v>
      </c>
      <c r="I56" s="29">
        <f t="shared" si="10"/>
        <v>0.48000000000000043</v>
      </c>
      <c r="J56" s="30">
        <f t="shared" si="11"/>
        <v>0.42999999999999972</v>
      </c>
    </row>
    <row r="57" spans="1:11">
      <c r="A57" s="1207">
        <v>40099</v>
      </c>
      <c r="B57" s="1208">
        <v>25.88</v>
      </c>
      <c r="C57" s="1209">
        <v>24.97</v>
      </c>
      <c r="D57" s="1209">
        <v>21.13</v>
      </c>
      <c r="E57" s="1225">
        <v>25.43</v>
      </c>
      <c r="F57" s="1211">
        <v>24.48</v>
      </c>
      <c r="G57" s="1210">
        <v>20.69</v>
      </c>
      <c r="H57" s="39">
        <f t="shared" si="6"/>
        <v>0.44999999999999929</v>
      </c>
      <c r="I57" s="39">
        <f t="shared" si="10"/>
        <v>0.48999999999999844</v>
      </c>
      <c r="J57" s="40">
        <f t="shared" si="11"/>
        <v>0.43999999999999773</v>
      </c>
    </row>
    <row r="58" spans="1:11">
      <c r="A58" s="10">
        <v>40105</v>
      </c>
      <c r="B58" s="1114">
        <v>25.82</v>
      </c>
      <c r="C58" s="1108">
        <v>24.91</v>
      </c>
      <c r="D58" s="1108">
        <v>21.07</v>
      </c>
      <c r="E58" s="61">
        <v>25.42</v>
      </c>
      <c r="F58" s="1107">
        <v>24.46</v>
      </c>
      <c r="G58" s="1109">
        <v>20.68</v>
      </c>
      <c r="H58" s="39">
        <f t="shared" si="6"/>
        <v>0.39999999999999858</v>
      </c>
      <c r="I58" s="39">
        <f t="shared" si="10"/>
        <v>0.44999999999999929</v>
      </c>
      <c r="J58" s="40">
        <f t="shared" si="11"/>
        <v>0.39000000000000057</v>
      </c>
    </row>
    <row r="59" spans="1:11" ht="13.5" thickBot="1">
      <c r="A59" s="1207">
        <v>40112</v>
      </c>
      <c r="B59" s="1208">
        <v>26.4</v>
      </c>
      <c r="C59" s="1209">
        <v>25.4</v>
      </c>
      <c r="D59" s="1209">
        <v>22.13</v>
      </c>
      <c r="E59" s="1225">
        <v>25.92</v>
      </c>
      <c r="F59" s="1211">
        <v>24.94</v>
      </c>
      <c r="G59" s="1210">
        <v>21.73</v>
      </c>
      <c r="H59" s="41">
        <f t="shared" si="6"/>
        <v>0.47999999999999687</v>
      </c>
      <c r="I59" s="41">
        <f t="shared" si="10"/>
        <v>0.4599999999999973</v>
      </c>
      <c r="J59" s="42">
        <f t="shared" si="11"/>
        <v>0.39999999999999858</v>
      </c>
    </row>
    <row r="60" spans="1:11" ht="15" thickBot="1">
      <c r="A60" s="1226" t="s">
        <v>7</v>
      </c>
      <c r="B60" s="1227">
        <f t="shared" ref="B60:G60" si="14">AVERAGE(B56:B59)</f>
        <v>26.020000000000003</v>
      </c>
      <c r="C60" s="1228">
        <f t="shared" si="14"/>
        <v>25.087499999999999</v>
      </c>
      <c r="D60" s="1228">
        <f t="shared" si="14"/>
        <v>21.3825</v>
      </c>
      <c r="E60" s="1230">
        <f t="shared" si="14"/>
        <v>25.572500000000002</v>
      </c>
      <c r="F60" s="1231">
        <f t="shared" si="14"/>
        <v>24.6175</v>
      </c>
      <c r="G60" s="1232">
        <f t="shared" si="14"/>
        <v>20.967500000000001</v>
      </c>
      <c r="H60" s="97">
        <f t="shared" si="6"/>
        <v>0.44750000000000156</v>
      </c>
      <c r="I60" s="43">
        <f t="shared" si="10"/>
        <v>0.46999999999999886</v>
      </c>
      <c r="J60" s="44">
        <f t="shared" si="11"/>
        <v>0.41499999999999915</v>
      </c>
    </row>
    <row r="61" spans="1:11">
      <c r="A61" s="10">
        <v>40120</v>
      </c>
      <c r="B61" s="1114">
        <v>27.24</v>
      </c>
      <c r="C61" s="1108">
        <v>26.24</v>
      </c>
      <c r="D61" s="1108">
        <v>23.44</v>
      </c>
      <c r="E61" s="65">
        <v>26.85</v>
      </c>
      <c r="F61" s="1224">
        <v>25.87</v>
      </c>
      <c r="G61" s="1113">
        <v>23.15</v>
      </c>
      <c r="H61" s="29">
        <f t="shared" si="6"/>
        <v>0.38999999999999702</v>
      </c>
      <c r="I61" s="29">
        <f t="shared" si="10"/>
        <v>0.36999999999999744</v>
      </c>
      <c r="J61" s="30">
        <f t="shared" si="11"/>
        <v>0.2900000000000027</v>
      </c>
    </row>
    <row r="62" spans="1:11">
      <c r="A62" s="1207">
        <v>40126</v>
      </c>
      <c r="B62" s="1208">
        <v>27.67</v>
      </c>
      <c r="C62" s="1209">
        <v>26.71</v>
      </c>
      <c r="D62" s="1209">
        <v>23.5</v>
      </c>
      <c r="E62" s="1225">
        <v>27.3</v>
      </c>
      <c r="F62" s="1211">
        <v>26.31</v>
      </c>
      <c r="G62" s="1210">
        <v>23.16</v>
      </c>
      <c r="H62" s="39">
        <f t="shared" si="6"/>
        <v>0.37000000000000099</v>
      </c>
      <c r="I62" s="39">
        <f t="shared" si="10"/>
        <v>0.40000000000000213</v>
      </c>
      <c r="J62" s="40">
        <f t="shared" si="11"/>
        <v>0.33999999999999986</v>
      </c>
    </row>
    <row r="63" spans="1:11">
      <c r="A63" s="10">
        <v>40133</v>
      </c>
      <c r="B63" s="1114">
        <v>28.15</v>
      </c>
      <c r="C63" s="1108">
        <v>27.18</v>
      </c>
      <c r="D63" s="1108">
        <v>23.54</v>
      </c>
      <c r="E63" s="61">
        <v>27.79</v>
      </c>
      <c r="F63" s="1107">
        <v>26.8</v>
      </c>
      <c r="G63" s="1109">
        <v>23.12</v>
      </c>
      <c r="H63" s="39">
        <f t="shared" si="6"/>
        <v>0.35999999999999943</v>
      </c>
      <c r="I63" s="39">
        <f t="shared" si="10"/>
        <v>0.37999999999999901</v>
      </c>
      <c r="J63" s="40">
        <f t="shared" si="11"/>
        <v>0.41999999999999815</v>
      </c>
    </row>
    <row r="64" spans="1:11">
      <c r="A64" s="1207">
        <v>40140</v>
      </c>
      <c r="B64" s="1208">
        <v>28.06</v>
      </c>
      <c r="C64" s="1209">
        <v>27.09</v>
      </c>
      <c r="D64" s="1209">
        <v>23.52</v>
      </c>
      <c r="E64" s="1225">
        <v>27.7</v>
      </c>
      <c r="F64" s="1211">
        <v>26.7</v>
      </c>
      <c r="G64" s="1210">
        <v>23.12</v>
      </c>
      <c r="H64" s="39">
        <f t="shared" si="6"/>
        <v>0.35999999999999943</v>
      </c>
      <c r="I64" s="39">
        <f t="shared" si="10"/>
        <v>0.39000000000000057</v>
      </c>
      <c r="J64" s="40">
        <f t="shared" si="11"/>
        <v>0.39999999999999858</v>
      </c>
    </row>
    <row r="65" spans="1:10" ht="13.5" thickBot="1">
      <c r="A65" s="10">
        <v>40147</v>
      </c>
      <c r="B65" s="1114">
        <v>27.54</v>
      </c>
      <c r="C65" s="1108">
        <v>26.57</v>
      </c>
      <c r="D65" s="1108">
        <v>23.5</v>
      </c>
      <c r="E65" s="68">
        <v>27.02</v>
      </c>
      <c r="F65" s="1116">
        <v>26.03</v>
      </c>
      <c r="G65" s="1118">
        <v>23.09</v>
      </c>
      <c r="H65" s="41">
        <f>(B65-E65)</f>
        <v>0.51999999999999957</v>
      </c>
      <c r="I65" s="41">
        <f>(C65-F65)</f>
        <v>0.53999999999999915</v>
      </c>
      <c r="J65" s="42">
        <f>(D65-G65)</f>
        <v>0.41000000000000014</v>
      </c>
    </row>
    <row r="66" spans="1:10" ht="15" thickBot="1">
      <c r="A66" s="1226" t="s">
        <v>7</v>
      </c>
      <c r="B66" s="1227">
        <f t="shared" ref="B66:G66" si="15">AVERAGE(B61:B65)</f>
        <v>27.731999999999999</v>
      </c>
      <c r="C66" s="1228">
        <f t="shared" si="15"/>
        <v>26.757999999999999</v>
      </c>
      <c r="D66" s="1228">
        <f t="shared" si="15"/>
        <v>23.499999999999996</v>
      </c>
      <c r="E66" s="1227">
        <f t="shared" si="15"/>
        <v>27.332000000000001</v>
      </c>
      <c r="F66" s="1228">
        <f t="shared" si="15"/>
        <v>26.342000000000002</v>
      </c>
      <c r="G66" s="1229">
        <f t="shared" si="15"/>
        <v>23.128000000000004</v>
      </c>
      <c r="H66" s="98">
        <f t="shared" si="6"/>
        <v>0.39999999999999858</v>
      </c>
      <c r="I66" s="45">
        <f t="shared" si="10"/>
        <v>0.41599999999999682</v>
      </c>
      <c r="J66" s="46">
        <f t="shared" si="11"/>
        <v>0.37199999999999278</v>
      </c>
    </row>
    <row r="67" spans="1:10">
      <c r="A67" s="10">
        <v>40154</v>
      </c>
      <c r="B67" s="1114">
        <v>27.46</v>
      </c>
      <c r="C67" s="1108">
        <v>26.5</v>
      </c>
      <c r="D67" s="1108">
        <v>23.52</v>
      </c>
      <c r="E67" s="65">
        <v>26.95</v>
      </c>
      <c r="F67" s="1224">
        <v>25.96</v>
      </c>
      <c r="G67" s="1113">
        <v>23.09</v>
      </c>
      <c r="H67" s="29">
        <f t="shared" ref="H67:J71" si="16">(B67-E67)</f>
        <v>0.51000000000000156</v>
      </c>
      <c r="I67" s="29">
        <f t="shared" si="16"/>
        <v>0.53999999999999915</v>
      </c>
      <c r="J67" s="30">
        <f t="shared" si="16"/>
        <v>0.42999999999999972</v>
      </c>
    </row>
    <row r="68" spans="1:10">
      <c r="A68" s="1207">
        <v>40161</v>
      </c>
      <c r="B68" s="1208">
        <v>27.42</v>
      </c>
      <c r="C68" s="1209">
        <v>26.46</v>
      </c>
      <c r="D68" s="1209">
        <v>23.47</v>
      </c>
      <c r="E68" s="1225">
        <v>26.93</v>
      </c>
      <c r="F68" s="1211">
        <v>25.94</v>
      </c>
      <c r="G68" s="1210">
        <v>23.04</v>
      </c>
      <c r="H68" s="39">
        <f t="shared" si="16"/>
        <v>0.49000000000000199</v>
      </c>
      <c r="I68" s="39">
        <f t="shared" si="16"/>
        <v>0.51999999999999957</v>
      </c>
      <c r="J68" s="40">
        <f t="shared" si="16"/>
        <v>0.42999999999999972</v>
      </c>
    </row>
    <row r="69" spans="1:10">
      <c r="A69" s="10">
        <v>40168</v>
      </c>
      <c r="B69" s="1114">
        <v>27.39</v>
      </c>
      <c r="C69" s="1108">
        <v>26.42</v>
      </c>
      <c r="D69" s="1108">
        <v>23.43</v>
      </c>
      <c r="E69" s="61">
        <v>26.91</v>
      </c>
      <c r="F69" s="1107">
        <v>25.92</v>
      </c>
      <c r="G69" s="1109">
        <v>23.03</v>
      </c>
      <c r="H69" s="39">
        <f t="shared" si="16"/>
        <v>0.48000000000000043</v>
      </c>
      <c r="I69" s="39">
        <f t="shared" si="16"/>
        <v>0.5</v>
      </c>
      <c r="J69" s="40">
        <f t="shared" si="16"/>
        <v>0.39999999999999858</v>
      </c>
    </row>
    <row r="70" spans="1:10" ht="13.5" thickBot="1">
      <c r="A70" s="1207">
        <v>40175</v>
      </c>
      <c r="B70" s="1208">
        <v>27.4</v>
      </c>
      <c r="C70" s="1209">
        <v>26.43</v>
      </c>
      <c r="D70" s="1209">
        <v>23.44</v>
      </c>
      <c r="E70" s="1225">
        <v>26.92</v>
      </c>
      <c r="F70" s="1211">
        <v>25.92</v>
      </c>
      <c r="G70" s="1210">
        <v>23.02</v>
      </c>
      <c r="H70" s="39">
        <f t="shared" si="16"/>
        <v>0.47999999999999687</v>
      </c>
      <c r="I70" s="39">
        <f t="shared" si="16"/>
        <v>0.50999999999999801</v>
      </c>
      <c r="J70" s="40">
        <f t="shared" si="16"/>
        <v>0.42000000000000171</v>
      </c>
    </row>
    <row r="71" spans="1:10" ht="15" thickBot="1">
      <c r="A71" s="1226" t="s">
        <v>7</v>
      </c>
      <c r="B71" s="1227">
        <f t="shared" ref="B71:G71" si="17">AVERAGE(B67:B70)</f>
        <v>27.417500000000004</v>
      </c>
      <c r="C71" s="1228">
        <f t="shared" si="17"/>
        <v>26.452500000000001</v>
      </c>
      <c r="D71" s="1228">
        <f t="shared" si="17"/>
        <v>23.464999999999996</v>
      </c>
      <c r="E71" s="1230">
        <f t="shared" si="17"/>
        <v>26.927499999999998</v>
      </c>
      <c r="F71" s="1231">
        <f t="shared" si="17"/>
        <v>25.935000000000002</v>
      </c>
      <c r="G71" s="1232">
        <f t="shared" si="17"/>
        <v>23.044999999999998</v>
      </c>
      <c r="H71" s="96">
        <f t="shared" si="16"/>
        <v>0.49000000000000554</v>
      </c>
      <c r="I71" s="19">
        <f t="shared" si="16"/>
        <v>0.51749999999999829</v>
      </c>
      <c r="J71" s="20">
        <f t="shared" si="16"/>
        <v>0.41999999999999815</v>
      </c>
    </row>
  </sheetData>
  <mergeCells count="10">
    <mergeCell ref="L13:O13"/>
    <mergeCell ref="L14:O14"/>
    <mergeCell ref="H6:J6"/>
    <mergeCell ref="B6:D6"/>
    <mergeCell ref="E6:G6"/>
    <mergeCell ref="A1:G1"/>
    <mergeCell ref="A2:G2"/>
    <mergeCell ref="A3:G3"/>
    <mergeCell ref="A4:G4"/>
    <mergeCell ref="A5:G5"/>
  </mergeCells>
  <phoneticPr fontId="5" type="noConversion"/>
  <pageMargins left="1.5354330708661419" right="0.23622047244094491" top="0.35433070866141736" bottom="0.51181102362204722" header="0" footer="0.51181102362204722"/>
  <pageSetup scale="75" orientation="portrait" horizontalDpi="4294967293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O75"/>
  <sheetViews>
    <sheetView view="pageBreakPreview" zoomScale="160" zoomScaleNormal="75" workbookViewId="0">
      <selection activeCell="A21" sqref="A21"/>
    </sheetView>
  </sheetViews>
  <sheetFormatPr baseColWidth="10" defaultColWidth="11.42578125" defaultRowHeight="12.75"/>
  <cols>
    <col min="1" max="1" width="16.28515625" customWidth="1"/>
    <col min="11" max="11" width="4" customWidth="1"/>
    <col min="12" max="12" width="13.7109375" customWidth="1"/>
    <col min="13" max="13" width="12.5703125" customWidth="1"/>
    <col min="15" max="15" width="13.5703125" customWidth="1"/>
  </cols>
  <sheetData>
    <row r="1" spans="1:15" ht="18">
      <c r="A1" s="1518" t="s">
        <v>667</v>
      </c>
      <c r="B1" s="1518"/>
      <c r="C1" s="1518"/>
      <c r="D1" s="1518"/>
      <c r="E1" s="1518"/>
      <c r="F1" s="1518"/>
      <c r="G1" s="1518"/>
    </row>
    <row r="2" spans="1:15">
      <c r="A2" s="1527" t="s">
        <v>36</v>
      </c>
      <c r="B2" s="1527"/>
      <c r="C2" s="1527"/>
      <c r="D2" s="1527"/>
      <c r="E2" s="1527"/>
      <c r="F2" s="1527"/>
      <c r="G2" s="1527"/>
    </row>
    <row r="3" spans="1:15">
      <c r="A3" s="1528" t="s">
        <v>668</v>
      </c>
      <c r="B3" s="1528"/>
      <c r="C3" s="1528"/>
      <c r="D3" s="1528"/>
      <c r="E3" s="1528"/>
      <c r="F3" s="1528"/>
      <c r="G3" s="1528"/>
      <c r="H3" s="1539"/>
      <c r="I3" s="1539"/>
      <c r="J3" s="1539"/>
    </row>
    <row r="4" spans="1:15">
      <c r="A4" s="1528" t="s">
        <v>669</v>
      </c>
      <c r="B4" s="1528"/>
      <c r="C4" s="1528"/>
      <c r="D4" s="1528"/>
      <c r="E4" s="1528"/>
      <c r="F4" s="1528"/>
      <c r="G4" s="1528"/>
      <c r="H4" s="1539"/>
      <c r="I4" s="1539"/>
      <c r="J4" s="1539"/>
    </row>
    <row r="5" spans="1:15">
      <c r="A5" s="1529" t="s">
        <v>670</v>
      </c>
      <c r="B5" s="1529"/>
      <c r="C5" s="1529"/>
      <c r="D5" s="1529"/>
      <c r="E5" s="1529"/>
      <c r="F5" s="1529"/>
      <c r="G5" s="1529"/>
      <c r="H5" s="1539"/>
      <c r="I5" s="1539"/>
      <c r="J5" s="1539"/>
    </row>
    <row r="6" spans="1:15" ht="5.25" customHeight="1" thickBot="1">
      <c r="A6" s="80"/>
      <c r="B6" s="100"/>
      <c r="C6" s="100"/>
      <c r="D6" s="100"/>
      <c r="E6" s="100"/>
      <c r="F6" s="100"/>
      <c r="G6" s="101"/>
    </row>
    <row r="7" spans="1:15" ht="17.25" customHeight="1" thickBot="1">
      <c r="A7" s="1218" t="s">
        <v>1</v>
      </c>
      <c r="B7" s="1519" t="s">
        <v>2</v>
      </c>
      <c r="C7" s="1520"/>
      <c r="D7" s="1521"/>
      <c r="E7" s="1522" t="s">
        <v>3</v>
      </c>
      <c r="F7" s="1523"/>
      <c r="G7" s="1524"/>
      <c r="H7" s="1536" t="s">
        <v>24</v>
      </c>
      <c r="I7" s="1537"/>
      <c r="J7" s="1538"/>
    </row>
    <row r="8" spans="1:15" ht="21.75" customHeight="1" thickBot="1">
      <c r="A8" s="1200" t="s">
        <v>21</v>
      </c>
      <c r="B8" s="1219" t="s">
        <v>4</v>
      </c>
      <c r="C8" s="1219" t="s">
        <v>5</v>
      </c>
      <c r="D8" s="1220" t="s">
        <v>6</v>
      </c>
      <c r="E8" s="1221" t="s">
        <v>4</v>
      </c>
      <c r="F8" s="1222" t="s">
        <v>5</v>
      </c>
      <c r="G8" s="1222" t="s">
        <v>6</v>
      </c>
      <c r="H8" s="95" t="s">
        <v>4</v>
      </c>
      <c r="I8" s="8" t="s">
        <v>5</v>
      </c>
      <c r="J8" s="9" t="s">
        <v>6</v>
      </c>
    </row>
    <row r="9" spans="1:15">
      <c r="A9" s="10">
        <v>40182</v>
      </c>
      <c r="B9" s="1114">
        <v>27.38</v>
      </c>
      <c r="C9" s="1108">
        <v>26.44</v>
      </c>
      <c r="D9" s="1108">
        <v>23.42</v>
      </c>
      <c r="E9" s="65">
        <v>26.92</v>
      </c>
      <c r="F9" s="1224">
        <v>25.92</v>
      </c>
      <c r="G9" s="1113">
        <v>23.04</v>
      </c>
      <c r="H9" s="21">
        <f t="shared" ref="H9:J17" si="0">(B9-E9)</f>
        <v>0.4599999999999973</v>
      </c>
      <c r="I9" s="21">
        <f t="shared" si="0"/>
        <v>0.51999999999999957</v>
      </c>
      <c r="J9" s="21">
        <f t="shared" si="0"/>
        <v>0.38000000000000256</v>
      </c>
      <c r="K9" s="22"/>
    </row>
    <row r="10" spans="1:15">
      <c r="A10" s="1207">
        <v>40189</v>
      </c>
      <c r="B10" s="1208">
        <v>28.16</v>
      </c>
      <c r="C10" s="1209">
        <v>27.23</v>
      </c>
      <c r="D10" s="1209">
        <v>24.15</v>
      </c>
      <c r="E10" s="1225">
        <v>27.81</v>
      </c>
      <c r="F10" s="1211">
        <v>26.88</v>
      </c>
      <c r="G10" s="1210">
        <v>23.88</v>
      </c>
      <c r="H10" s="21">
        <f t="shared" si="0"/>
        <v>0.35000000000000142</v>
      </c>
      <c r="I10" s="21">
        <f t="shared" si="0"/>
        <v>0.35000000000000142</v>
      </c>
      <c r="J10" s="21">
        <f t="shared" si="0"/>
        <v>0.26999999999999957</v>
      </c>
      <c r="K10" s="22"/>
    </row>
    <row r="11" spans="1:15">
      <c r="A11" s="10">
        <v>40196</v>
      </c>
      <c r="B11" s="1114">
        <v>28.96</v>
      </c>
      <c r="C11" s="1108">
        <v>28.05</v>
      </c>
      <c r="D11" s="1108">
        <v>25.35</v>
      </c>
      <c r="E11" s="61">
        <v>28.49</v>
      </c>
      <c r="F11" s="1107">
        <v>27.58</v>
      </c>
      <c r="G11" s="1109">
        <v>24.99</v>
      </c>
      <c r="H11" s="21">
        <f t="shared" si="0"/>
        <v>0.47000000000000242</v>
      </c>
      <c r="I11" s="21">
        <f t="shared" si="0"/>
        <v>0.47000000000000242</v>
      </c>
      <c r="J11" s="21">
        <f t="shared" si="0"/>
        <v>0.36000000000000298</v>
      </c>
      <c r="K11" s="22"/>
    </row>
    <row r="12" spans="1:15" ht="13.5" thickBot="1">
      <c r="A12" s="1207">
        <v>40203</v>
      </c>
      <c r="B12" s="1208">
        <v>28.92</v>
      </c>
      <c r="C12" s="1209">
        <v>27.98</v>
      </c>
      <c r="D12" s="1209">
        <v>25.04</v>
      </c>
      <c r="E12" s="1225">
        <v>28.46</v>
      </c>
      <c r="F12" s="1211">
        <v>27.55</v>
      </c>
      <c r="G12" s="1210">
        <v>24.62</v>
      </c>
      <c r="H12" s="21">
        <f t="shared" si="0"/>
        <v>0.46000000000000085</v>
      </c>
      <c r="I12" s="21">
        <f t="shared" si="0"/>
        <v>0.42999999999999972</v>
      </c>
      <c r="J12" s="21">
        <f t="shared" si="0"/>
        <v>0.41999999999999815</v>
      </c>
      <c r="K12" s="22"/>
    </row>
    <row r="13" spans="1:15" ht="15" thickBot="1">
      <c r="A13" s="1226" t="s">
        <v>7</v>
      </c>
      <c r="B13" s="1227">
        <f t="shared" ref="B13:G13" si="1">AVERAGE(B9:B12)</f>
        <v>28.355</v>
      </c>
      <c r="C13" s="1228">
        <f t="shared" si="1"/>
        <v>27.425000000000001</v>
      </c>
      <c r="D13" s="1228">
        <f t="shared" si="1"/>
        <v>24.490000000000002</v>
      </c>
      <c r="E13" s="1227">
        <f t="shared" si="1"/>
        <v>27.92</v>
      </c>
      <c r="F13" s="1228">
        <f t="shared" si="1"/>
        <v>26.982499999999998</v>
      </c>
      <c r="G13" s="1229">
        <f t="shared" si="1"/>
        <v>24.1325</v>
      </c>
      <c r="H13" s="96">
        <f t="shared" si="0"/>
        <v>0.43499999999999872</v>
      </c>
      <c r="I13" s="19">
        <f t="shared" si="0"/>
        <v>0.44250000000000256</v>
      </c>
      <c r="J13" s="20">
        <f t="shared" si="0"/>
        <v>0.35750000000000171</v>
      </c>
      <c r="K13" s="22"/>
    </row>
    <row r="14" spans="1:15">
      <c r="A14" s="10">
        <v>40210</v>
      </c>
      <c r="B14" s="1114">
        <v>28.57</v>
      </c>
      <c r="C14" s="1108">
        <v>27.71</v>
      </c>
      <c r="D14" s="1108">
        <v>24.7</v>
      </c>
      <c r="E14" s="65">
        <v>28.05</v>
      </c>
      <c r="F14" s="1224">
        <v>27.23</v>
      </c>
      <c r="G14" s="1113">
        <v>24.27</v>
      </c>
      <c r="H14" s="21">
        <f t="shared" si="0"/>
        <v>0.51999999999999957</v>
      </c>
      <c r="I14" s="21">
        <f t="shared" si="0"/>
        <v>0.48000000000000043</v>
      </c>
      <c r="J14" s="21">
        <f t="shared" si="0"/>
        <v>0.42999999999999972</v>
      </c>
      <c r="K14" s="22"/>
      <c r="L14" s="1530" t="s">
        <v>33</v>
      </c>
      <c r="M14" s="1531"/>
      <c r="N14" s="1531"/>
      <c r="O14" s="1532"/>
    </row>
    <row r="15" spans="1:15">
      <c r="A15" s="1207">
        <v>40217</v>
      </c>
      <c r="B15" s="1208">
        <v>28.17</v>
      </c>
      <c r="C15" s="1209">
        <v>27.33</v>
      </c>
      <c r="D15" s="1209">
        <v>24.3</v>
      </c>
      <c r="E15" s="1225">
        <v>27.61</v>
      </c>
      <c r="F15" s="1211">
        <v>26.79</v>
      </c>
      <c r="G15" s="1210">
        <v>23.83</v>
      </c>
      <c r="H15" s="21">
        <f t="shared" si="0"/>
        <v>0.56000000000000227</v>
      </c>
      <c r="I15" s="21">
        <f t="shared" si="0"/>
        <v>0.53999999999999915</v>
      </c>
      <c r="J15" s="21">
        <f t="shared" si="0"/>
        <v>0.47000000000000242</v>
      </c>
      <c r="K15" s="22"/>
      <c r="L15" s="1533" t="s">
        <v>30</v>
      </c>
      <c r="M15" s="1534"/>
      <c r="N15" s="1534"/>
      <c r="O15" s="1535"/>
    </row>
    <row r="16" spans="1:15">
      <c r="A16" s="10">
        <v>40224</v>
      </c>
      <c r="B16" s="1114">
        <v>27.72</v>
      </c>
      <c r="C16" s="1108">
        <v>26.88</v>
      </c>
      <c r="D16" s="1108">
        <v>23.73</v>
      </c>
      <c r="E16" s="61">
        <v>27.18</v>
      </c>
      <c r="F16" s="1107">
        <v>26.37</v>
      </c>
      <c r="G16" s="1109">
        <v>23.25</v>
      </c>
      <c r="H16" s="21">
        <f t="shared" si="0"/>
        <v>0.53999999999999915</v>
      </c>
      <c r="I16" s="21">
        <f t="shared" si="0"/>
        <v>0.50999999999999801</v>
      </c>
      <c r="J16" s="21">
        <f t="shared" si="0"/>
        <v>0.48000000000000043</v>
      </c>
      <c r="K16" s="22"/>
      <c r="L16" s="25" t="s">
        <v>25</v>
      </c>
      <c r="M16" s="26" t="s">
        <v>26</v>
      </c>
      <c r="N16" s="27" t="s">
        <v>27</v>
      </c>
      <c r="O16" s="28" t="s">
        <v>28</v>
      </c>
    </row>
    <row r="17" spans="1:15" ht="13.5" thickBot="1">
      <c r="A17" s="1207">
        <v>40231</v>
      </c>
      <c r="B17" s="1208">
        <v>27.5</v>
      </c>
      <c r="C17" s="1209">
        <v>26.65</v>
      </c>
      <c r="D17" s="1209">
        <v>23.4</v>
      </c>
      <c r="E17" s="1225">
        <v>26.98</v>
      </c>
      <c r="F17" s="1211">
        <v>26.15</v>
      </c>
      <c r="G17" s="1210">
        <v>23.02</v>
      </c>
      <c r="H17" s="21">
        <f t="shared" si="0"/>
        <v>0.51999999999999957</v>
      </c>
      <c r="I17" s="21">
        <f t="shared" si="0"/>
        <v>0.5</v>
      </c>
      <c r="J17" s="21">
        <f t="shared" si="0"/>
        <v>0.37999999999999901</v>
      </c>
      <c r="K17" s="22"/>
      <c r="L17" s="22"/>
      <c r="M17" s="23" t="s">
        <v>29</v>
      </c>
      <c r="N17" s="23" t="s">
        <v>29</v>
      </c>
      <c r="O17" s="24" t="s">
        <v>29</v>
      </c>
    </row>
    <row r="18" spans="1:15" ht="15" thickBot="1">
      <c r="A18" s="1226" t="s">
        <v>7</v>
      </c>
      <c r="B18" s="1227">
        <f t="shared" ref="B18:G18" si="2">AVERAGE(B14:B17)</f>
        <v>27.990000000000002</v>
      </c>
      <c r="C18" s="1228">
        <f t="shared" si="2"/>
        <v>27.142499999999998</v>
      </c>
      <c r="D18" s="1228">
        <f t="shared" si="2"/>
        <v>24.032499999999999</v>
      </c>
      <c r="E18" s="1227">
        <f t="shared" si="2"/>
        <v>27.455000000000002</v>
      </c>
      <c r="F18" s="1228">
        <f t="shared" si="2"/>
        <v>26.634999999999998</v>
      </c>
      <c r="G18" s="1229">
        <f t="shared" si="2"/>
        <v>23.592499999999998</v>
      </c>
      <c r="H18" s="96">
        <f t="shared" ref="H18:J23" si="3">(B18-E18)</f>
        <v>0.53500000000000014</v>
      </c>
      <c r="I18" s="19">
        <f t="shared" si="3"/>
        <v>0.50750000000000028</v>
      </c>
      <c r="J18" s="20">
        <f t="shared" si="3"/>
        <v>0.44000000000000128</v>
      </c>
      <c r="K18" s="22"/>
      <c r="L18" s="25" t="s">
        <v>8</v>
      </c>
      <c r="M18" s="31">
        <v>27.92</v>
      </c>
      <c r="N18" s="32">
        <v>26.982500000000002</v>
      </c>
      <c r="O18" s="33">
        <v>24.1325</v>
      </c>
    </row>
    <row r="19" spans="1:15">
      <c r="A19" s="10">
        <v>40238</v>
      </c>
      <c r="B19" s="11">
        <v>28.16</v>
      </c>
      <c r="C19" s="12">
        <v>27.31</v>
      </c>
      <c r="D19" s="13">
        <v>23.72</v>
      </c>
      <c r="E19" s="11">
        <v>27.71</v>
      </c>
      <c r="F19" s="56">
        <v>26.9</v>
      </c>
      <c r="G19" s="13">
        <v>23.36</v>
      </c>
      <c r="H19" s="21">
        <f t="shared" si="3"/>
        <v>0.44999999999999929</v>
      </c>
      <c r="I19" s="21">
        <f t="shared" si="3"/>
        <v>0.41000000000000014</v>
      </c>
      <c r="J19" s="21">
        <f t="shared" si="3"/>
        <v>0.35999999999999943</v>
      </c>
      <c r="K19" s="22"/>
      <c r="L19" s="25" t="s">
        <v>9</v>
      </c>
      <c r="M19" s="31">
        <v>27.454999999999998</v>
      </c>
      <c r="N19" s="32">
        <v>26.635000000000002</v>
      </c>
      <c r="O19" s="33">
        <v>23.592500000000001</v>
      </c>
    </row>
    <row r="20" spans="1:15">
      <c r="A20" s="1207">
        <v>40975</v>
      </c>
      <c r="B20" s="1225">
        <v>28.66</v>
      </c>
      <c r="C20" s="1209">
        <v>27.79</v>
      </c>
      <c r="D20" s="1210">
        <v>24.09</v>
      </c>
      <c r="E20" s="1225">
        <v>28.26</v>
      </c>
      <c r="F20" s="1209">
        <v>27.41</v>
      </c>
      <c r="G20" s="1210">
        <v>23.74</v>
      </c>
      <c r="H20" s="21">
        <f t="shared" si="3"/>
        <v>0.39999999999999858</v>
      </c>
      <c r="I20" s="21">
        <f t="shared" si="3"/>
        <v>0.37999999999999901</v>
      </c>
      <c r="J20" s="21">
        <f t="shared" si="3"/>
        <v>0.35000000000000142</v>
      </c>
      <c r="K20" s="22"/>
      <c r="L20" s="25" t="s">
        <v>10</v>
      </c>
      <c r="M20" s="31">
        <v>29.056000000000001</v>
      </c>
      <c r="N20" s="32">
        <v>27.956</v>
      </c>
      <c r="O20" s="33">
        <v>23.961999999999996</v>
      </c>
    </row>
    <row r="21" spans="1:15">
      <c r="A21" s="7">
        <v>40252</v>
      </c>
      <c r="B21" s="14">
        <v>29.55</v>
      </c>
      <c r="C21" s="15">
        <v>28.32</v>
      </c>
      <c r="D21" s="16">
        <v>24.31</v>
      </c>
      <c r="E21" s="14">
        <v>29.22</v>
      </c>
      <c r="F21" s="15">
        <v>27.95</v>
      </c>
      <c r="G21" s="16">
        <v>23.94</v>
      </c>
      <c r="H21" s="21">
        <f t="shared" si="3"/>
        <v>0.33000000000000185</v>
      </c>
      <c r="I21" s="21">
        <f t="shared" si="3"/>
        <v>0.37000000000000099</v>
      </c>
      <c r="J21" s="21">
        <f t="shared" si="3"/>
        <v>0.36999999999999744</v>
      </c>
      <c r="K21" s="22"/>
      <c r="L21" s="25" t="s">
        <v>11</v>
      </c>
      <c r="M21" s="26">
        <v>30.14</v>
      </c>
      <c r="N21" s="38">
        <v>28.91</v>
      </c>
      <c r="O21" s="33">
        <v>24.56</v>
      </c>
    </row>
    <row r="22" spans="1:15">
      <c r="A22" s="1207">
        <v>40259</v>
      </c>
      <c r="B22" s="1225">
        <v>30.09</v>
      </c>
      <c r="C22" s="1209">
        <v>28.81</v>
      </c>
      <c r="D22" s="1210">
        <v>24.57</v>
      </c>
      <c r="E22" s="1225">
        <v>29.91</v>
      </c>
      <c r="F22" s="1209">
        <v>28.63</v>
      </c>
      <c r="G22" s="1210">
        <v>24.32</v>
      </c>
      <c r="H22" s="21">
        <f t="shared" si="3"/>
        <v>0.17999999999999972</v>
      </c>
      <c r="I22" s="21">
        <f t="shared" si="3"/>
        <v>0.17999999999999972</v>
      </c>
      <c r="J22" s="21">
        <f t="shared" si="3"/>
        <v>0.25</v>
      </c>
      <c r="K22" s="22"/>
      <c r="L22" s="25" t="s">
        <v>12</v>
      </c>
      <c r="M22" s="31">
        <v>29.34</v>
      </c>
      <c r="N22" s="32">
        <v>28.31</v>
      </c>
      <c r="O22" s="33">
        <v>24.42</v>
      </c>
    </row>
    <row r="23" spans="1:15" ht="13.5" thickBot="1">
      <c r="A23" s="7">
        <v>40266</v>
      </c>
      <c r="B23" s="14">
        <v>30.49</v>
      </c>
      <c r="C23" s="15">
        <v>29.2</v>
      </c>
      <c r="D23" s="16">
        <v>24.75</v>
      </c>
      <c r="E23" s="14">
        <v>30.18</v>
      </c>
      <c r="F23" s="15">
        <v>28.89</v>
      </c>
      <c r="G23" s="16">
        <v>24.45</v>
      </c>
      <c r="H23" s="21">
        <f t="shared" si="3"/>
        <v>0.30999999999999872</v>
      </c>
      <c r="I23" s="21">
        <f t="shared" si="3"/>
        <v>0.30999999999999872</v>
      </c>
      <c r="J23" s="21">
        <f t="shared" si="3"/>
        <v>0.30000000000000071</v>
      </c>
      <c r="K23" s="22"/>
      <c r="L23" s="25" t="s">
        <v>13</v>
      </c>
      <c r="M23" s="31">
        <v>27.51</v>
      </c>
      <c r="N23" s="32">
        <v>26.52</v>
      </c>
      <c r="O23" s="33">
        <v>22.68</v>
      </c>
    </row>
    <row r="24" spans="1:15" ht="15" thickBot="1">
      <c r="A24" s="1226" t="s">
        <v>7</v>
      </c>
      <c r="B24" s="1227">
        <f t="shared" ref="B24:G24" si="4">AVERAGE(B19:B23)</f>
        <v>29.390000000000004</v>
      </c>
      <c r="C24" s="1228">
        <f t="shared" si="4"/>
        <v>28.285999999999994</v>
      </c>
      <c r="D24" s="1228">
        <f t="shared" si="4"/>
        <v>24.288</v>
      </c>
      <c r="E24" s="1227">
        <f t="shared" si="4"/>
        <v>29.056000000000001</v>
      </c>
      <c r="F24" s="1228">
        <f t="shared" si="4"/>
        <v>27.956</v>
      </c>
      <c r="G24" s="1228">
        <f t="shared" si="4"/>
        <v>23.961999999999996</v>
      </c>
      <c r="H24" s="96">
        <f t="shared" ref="H24:J26" si="5">(B24-E24)</f>
        <v>0.33400000000000318</v>
      </c>
      <c r="I24" s="19">
        <f t="shared" si="5"/>
        <v>0.32999999999999474</v>
      </c>
      <c r="J24" s="20">
        <f t="shared" si="5"/>
        <v>0.32600000000000406</v>
      </c>
      <c r="K24" s="22"/>
      <c r="L24" s="25" t="s">
        <v>14</v>
      </c>
      <c r="M24" s="31">
        <v>27.4</v>
      </c>
      <c r="N24" s="32">
        <v>26.38</v>
      </c>
      <c r="O24" s="33">
        <v>22.9</v>
      </c>
    </row>
    <row r="25" spans="1:15">
      <c r="A25" s="10">
        <v>40273</v>
      </c>
      <c r="B25" s="1114">
        <v>30.6</v>
      </c>
      <c r="C25" s="1108">
        <v>29.35</v>
      </c>
      <c r="D25" s="1108">
        <v>24.81</v>
      </c>
      <c r="E25" s="65">
        <v>30.21</v>
      </c>
      <c r="F25" s="1224">
        <v>28.94</v>
      </c>
      <c r="G25" s="1113">
        <v>24.45</v>
      </c>
      <c r="H25" s="21">
        <f t="shared" si="5"/>
        <v>0.39000000000000057</v>
      </c>
      <c r="I25" s="21">
        <f t="shared" si="5"/>
        <v>0.41000000000000014</v>
      </c>
      <c r="J25" s="21">
        <f t="shared" si="5"/>
        <v>0.35999999999999943</v>
      </c>
      <c r="K25" s="22"/>
      <c r="L25" s="25" t="s">
        <v>15</v>
      </c>
      <c r="M25" s="31">
        <v>27.69</v>
      </c>
      <c r="N25" s="32">
        <v>26.66</v>
      </c>
      <c r="O25" s="33">
        <v>23.17</v>
      </c>
    </row>
    <row r="26" spans="1:15">
      <c r="A26" s="1207">
        <v>40280</v>
      </c>
      <c r="B26" s="1208">
        <v>30.6</v>
      </c>
      <c r="C26" s="1209">
        <v>29.33</v>
      </c>
      <c r="D26" s="1209">
        <v>24.82</v>
      </c>
      <c r="E26" s="1225">
        <v>30.16</v>
      </c>
      <c r="F26" s="1211">
        <v>28.88</v>
      </c>
      <c r="G26" s="1210">
        <v>24.42</v>
      </c>
      <c r="H26" s="21">
        <f t="shared" si="5"/>
        <v>0.44000000000000128</v>
      </c>
      <c r="I26" s="21">
        <f t="shared" si="5"/>
        <v>0.44999999999999929</v>
      </c>
      <c r="J26" s="21">
        <f t="shared" si="5"/>
        <v>0.39999999999999858</v>
      </c>
      <c r="K26" s="22"/>
      <c r="L26" s="25" t="s">
        <v>16</v>
      </c>
      <c r="M26" s="31">
        <v>26.93</v>
      </c>
      <c r="N26" s="32">
        <v>25.91</v>
      </c>
      <c r="O26" s="33">
        <v>22.6</v>
      </c>
    </row>
    <row r="27" spans="1:15">
      <c r="A27" s="10">
        <v>40287</v>
      </c>
      <c r="B27" s="1114">
        <v>30.58</v>
      </c>
      <c r="C27" s="1108">
        <v>29.31</v>
      </c>
      <c r="D27" s="1108">
        <v>24.8</v>
      </c>
      <c r="E27" s="61">
        <v>30.16</v>
      </c>
      <c r="F27" s="1107">
        <v>28.89</v>
      </c>
      <c r="G27" s="1109">
        <v>24.41</v>
      </c>
      <c r="H27" s="21">
        <f t="shared" ref="H27:H40" si="6">(B27-E27)</f>
        <v>0.41999999999999815</v>
      </c>
      <c r="I27" s="21">
        <f t="shared" ref="I27:I40" si="7">(C27-F27)</f>
        <v>0.41999999999999815</v>
      </c>
      <c r="J27" s="21">
        <f t="shared" ref="J27:J40" si="8">(D27-G27)</f>
        <v>0.39000000000000057</v>
      </c>
      <c r="K27" s="22"/>
      <c r="L27" s="25" t="s">
        <v>17</v>
      </c>
      <c r="M27" s="31">
        <v>28.62</v>
      </c>
      <c r="N27" s="32">
        <v>27.62</v>
      </c>
      <c r="O27" s="33">
        <v>24.69</v>
      </c>
    </row>
    <row r="28" spans="1:15" ht="13.5" thickBot="1">
      <c r="A28" s="1207">
        <v>40294</v>
      </c>
      <c r="B28" s="1208">
        <v>30.45</v>
      </c>
      <c r="C28" s="1209">
        <v>29.33</v>
      </c>
      <c r="D28" s="1209">
        <v>25.3</v>
      </c>
      <c r="E28" s="1225">
        <v>30.04</v>
      </c>
      <c r="F28" s="1211">
        <v>28.92</v>
      </c>
      <c r="G28" s="1210">
        <v>24.96</v>
      </c>
      <c r="H28" s="21">
        <f t="shared" si="6"/>
        <v>0.41000000000000014</v>
      </c>
      <c r="I28" s="21">
        <f t="shared" si="7"/>
        <v>0.40999999999999659</v>
      </c>
      <c r="J28" s="21">
        <f t="shared" si="8"/>
        <v>0.33999999999999986</v>
      </c>
      <c r="K28" s="22"/>
      <c r="L28" s="25" t="s">
        <v>18</v>
      </c>
      <c r="M28" s="31">
        <v>28.47</v>
      </c>
      <c r="N28" s="32">
        <v>27.48</v>
      </c>
      <c r="O28" s="33">
        <v>25.17</v>
      </c>
    </row>
    <row r="29" spans="1:15" ht="15" thickBot="1">
      <c r="A29" s="1226" t="s">
        <v>7</v>
      </c>
      <c r="B29" s="1227">
        <f t="shared" ref="B29:G29" si="9">AVERAGE(B25:B28)</f>
        <v>30.557500000000001</v>
      </c>
      <c r="C29" s="1228">
        <f t="shared" si="9"/>
        <v>29.33</v>
      </c>
      <c r="D29" s="1228">
        <f t="shared" si="9"/>
        <v>24.932499999999997</v>
      </c>
      <c r="E29" s="1227">
        <f t="shared" si="9"/>
        <v>30.142499999999998</v>
      </c>
      <c r="F29" s="1228">
        <f t="shared" si="9"/>
        <v>28.907500000000002</v>
      </c>
      <c r="G29" s="1229">
        <f t="shared" si="9"/>
        <v>24.560000000000002</v>
      </c>
      <c r="H29" s="96">
        <f t="shared" si="6"/>
        <v>0.4150000000000027</v>
      </c>
      <c r="I29" s="19">
        <f t="shared" si="7"/>
        <v>0.42249999999999588</v>
      </c>
      <c r="J29" s="20">
        <f t="shared" si="8"/>
        <v>0.37249999999999517</v>
      </c>
      <c r="K29" s="22"/>
      <c r="L29" s="34" t="s">
        <v>19</v>
      </c>
      <c r="M29" s="35">
        <v>29.43</v>
      </c>
      <c r="N29" s="36">
        <v>28.43</v>
      </c>
      <c r="O29" s="37">
        <v>26.65</v>
      </c>
    </row>
    <row r="30" spans="1:15">
      <c r="A30" s="10">
        <v>45048</v>
      </c>
      <c r="B30" s="11">
        <v>36.58</v>
      </c>
      <c r="C30" s="12">
        <v>36.090000000000003</v>
      </c>
      <c r="D30" s="13">
        <v>34.47</v>
      </c>
      <c r="E30" s="11">
        <v>29.47</v>
      </c>
      <c r="F30" s="1108">
        <v>35.47</v>
      </c>
      <c r="G30" s="13">
        <v>35.08</v>
      </c>
      <c r="H30" s="21">
        <v>33.46</v>
      </c>
      <c r="I30" s="21">
        <v>28.43</v>
      </c>
      <c r="J30" s="21">
        <f t="shared" si="8"/>
        <v>-0.60999999999999943</v>
      </c>
      <c r="K30" s="22"/>
    </row>
    <row r="31" spans="1:15">
      <c r="A31" s="1207">
        <v>45054</v>
      </c>
      <c r="B31" s="1225">
        <v>35.83</v>
      </c>
      <c r="C31" s="1209">
        <v>35.31</v>
      </c>
      <c r="D31" s="1210">
        <v>33.79</v>
      </c>
      <c r="E31" s="1225">
        <v>28.67</v>
      </c>
      <c r="F31" s="1209">
        <v>34.770000000000003</v>
      </c>
      <c r="G31" s="1210">
        <v>34.31</v>
      </c>
      <c r="H31" s="21">
        <v>32.799999999999997</v>
      </c>
      <c r="I31" s="21">
        <v>27.68</v>
      </c>
      <c r="J31" s="21">
        <f t="shared" si="8"/>
        <v>-0.52000000000000313</v>
      </c>
      <c r="K31" s="22"/>
    </row>
    <row r="32" spans="1:15">
      <c r="A32" s="7">
        <v>45061</v>
      </c>
      <c r="B32" s="14">
        <v>35.07</v>
      </c>
      <c r="C32" s="15">
        <v>34.49</v>
      </c>
      <c r="D32" s="16">
        <v>32.979999999999997</v>
      </c>
      <c r="E32" s="14">
        <v>28.04</v>
      </c>
      <c r="F32" s="15">
        <v>33.97</v>
      </c>
      <c r="G32" s="16">
        <v>33.49</v>
      </c>
      <c r="H32" s="21">
        <v>31.98</v>
      </c>
      <c r="I32" s="21">
        <v>27.02</v>
      </c>
      <c r="J32" s="21">
        <f t="shared" si="8"/>
        <v>-0.51000000000000512</v>
      </c>
      <c r="K32" s="22"/>
    </row>
    <row r="33" spans="1:11">
      <c r="A33" s="1207">
        <v>45068</v>
      </c>
      <c r="B33" s="1225">
        <v>34.81</v>
      </c>
      <c r="C33" s="1209">
        <v>34.32</v>
      </c>
      <c r="D33" s="1210">
        <v>32.96</v>
      </c>
      <c r="E33" s="1225">
        <v>28.04</v>
      </c>
      <c r="F33" s="1209">
        <v>33.78</v>
      </c>
      <c r="G33" s="1210">
        <v>33.35</v>
      </c>
      <c r="H33" s="21">
        <v>31.97</v>
      </c>
      <c r="I33" s="21">
        <v>27.01</v>
      </c>
      <c r="J33" s="21">
        <f>(D33-G33)</f>
        <v>-0.39000000000000057</v>
      </c>
      <c r="K33" s="22"/>
    </row>
    <row r="34" spans="1:11" ht="13.5" thickBot="1">
      <c r="A34" s="7">
        <v>45075</v>
      </c>
      <c r="B34" s="14">
        <v>34.86</v>
      </c>
      <c r="C34" s="15">
        <v>34.31</v>
      </c>
      <c r="D34" s="16">
        <v>32.97</v>
      </c>
      <c r="E34" s="14">
        <v>27.99</v>
      </c>
      <c r="F34" s="15">
        <v>33.82</v>
      </c>
      <c r="G34" s="16">
        <v>33.299999999999997</v>
      </c>
      <c r="H34" s="21">
        <v>31.99</v>
      </c>
      <c r="I34" s="21">
        <v>27</v>
      </c>
      <c r="J34" s="21">
        <f t="shared" si="8"/>
        <v>-0.32999999999999829</v>
      </c>
      <c r="K34" s="22"/>
    </row>
    <row r="35" spans="1:11" ht="15" thickBot="1">
      <c r="A35" s="1226" t="s">
        <v>7</v>
      </c>
      <c r="B35" s="1227">
        <f t="shared" ref="B35:G35" si="10">AVERAGE(B30:B34)</f>
        <v>35.429999999999993</v>
      </c>
      <c r="C35" s="1228">
        <f t="shared" si="10"/>
        <v>34.904000000000003</v>
      </c>
      <c r="D35" s="1228">
        <f t="shared" si="10"/>
        <v>33.433999999999997</v>
      </c>
      <c r="E35" s="1227">
        <f t="shared" si="10"/>
        <v>28.442</v>
      </c>
      <c r="F35" s="1228">
        <f t="shared" si="10"/>
        <v>34.362000000000002</v>
      </c>
      <c r="G35" s="1228">
        <f t="shared" si="10"/>
        <v>33.905999999999992</v>
      </c>
      <c r="H35" s="96">
        <f t="shared" si="6"/>
        <v>6.9879999999999924</v>
      </c>
      <c r="I35" s="19">
        <f t="shared" si="7"/>
        <v>0.54200000000000159</v>
      </c>
      <c r="J35" s="20">
        <f t="shared" si="8"/>
        <v>-0.4719999999999942</v>
      </c>
      <c r="K35" s="22"/>
    </row>
    <row r="36" spans="1:11">
      <c r="A36" s="10">
        <v>40336</v>
      </c>
      <c r="B36" s="1114">
        <v>28.2</v>
      </c>
      <c r="C36" s="1108">
        <v>27.22</v>
      </c>
      <c r="D36" s="1108">
        <v>23.25</v>
      </c>
      <c r="E36" s="65">
        <v>27.63</v>
      </c>
      <c r="F36" s="1224">
        <v>26.62</v>
      </c>
      <c r="G36" s="1113">
        <v>22.68</v>
      </c>
      <c r="H36" s="21">
        <f t="shared" si="6"/>
        <v>0.57000000000000028</v>
      </c>
      <c r="I36" s="21">
        <f t="shared" si="7"/>
        <v>0.59999999999999787</v>
      </c>
      <c r="J36" s="21">
        <f t="shared" si="8"/>
        <v>0.57000000000000028</v>
      </c>
      <c r="K36" s="22"/>
    </row>
    <row r="37" spans="1:11">
      <c r="A37" s="1207">
        <v>40343</v>
      </c>
      <c r="B37" s="1208">
        <v>27.85</v>
      </c>
      <c r="C37" s="1209">
        <v>26.84</v>
      </c>
      <c r="D37" s="1209">
        <v>22.96</v>
      </c>
      <c r="E37" s="1225">
        <v>27.3</v>
      </c>
      <c r="F37" s="1211">
        <v>26.31</v>
      </c>
      <c r="G37" s="1210">
        <v>22.45</v>
      </c>
      <c r="H37" s="21">
        <f t="shared" si="6"/>
        <v>0.55000000000000071</v>
      </c>
      <c r="I37" s="21">
        <f t="shared" si="7"/>
        <v>0.53000000000000114</v>
      </c>
      <c r="J37" s="21">
        <f t="shared" si="8"/>
        <v>0.51000000000000156</v>
      </c>
      <c r="K37" s="22"/>
    </row>
    <row r="38" spans="1:11">
      <c r="A38" s="10">
        <v>40350</v>
      </c>
      <c r="B38" s="1114">
        <v>27.96</v>
      </c>
      <c r="C38" s="1108">
        <v>26.96</v>
      </c>
      <c r="D38" s="1108">
        <v>23.14</v>
      </c>
      <c r="E38" s="61">
        <v>27.46</v>
      </c>
      <c r="F38" s="1107">
        <v>26.48</v>
      </c>
      <c r="G38" s="1109">
        <v>22.65</v>
      </c>
      <c r="H38" s="21">
        <f t="shared" si="6"/>
        <v>0.5</v>
      </c>
      <c r="I38" s="21">
        <f t="shared" si="7"/>
        <v>0.48000000000000043</v>
      </c>
      <c r="J38" s="21">
        <f t="shared" si="8"/>
        <v>0.49000000000000199</v>
      </c>
      <c r="K38" s="22"/>
    </row>
    <row r="39" spans="1:11" ht="13.5" thickBot="1">
      <c r="A39" s="1207">
        <v>40357</v>
      </c>
      <c r="B39" s="1208">
        <v>28.13</v>
      </c>
      <c r="C39" s="1209">
        <v>27.14</v>
      </c>
      <c r="D39" s="1209">
        <v>23.32</v>
      </c>
      <c r="E39" s="1225">
        <v>27.66</v>
      </c>
      <c r="F39" s="1211">
        <v>26.67</v>
      </c>
      <c r="G39" s="1210">
        <v>22.94</v>
      </c>
      <c r="H39" s="21">
        <f t="shared" si="6"/>
        <v>0.46999999999999886</v>
      </c>
      <c r="I39" s="21">
        <f t="shared" si="7"/>
        <v>0.46999999999999886</v>
      </c>
      <c r="J39" s="21">
        <f t="shared" si="8"/>
        <v>0.37999999999999901</v>
      </c>
      <c r="K39" s="22"/>
    </row>
    <row r="40" spans="1:11" ht="15" thickBot="1">
      <c r="A40" s="1226" t="s">
        <v>7</v>
      </c>
      <c r="B40" s="1227">
        <f t="shared" ref="B40:G40" si="11">AVERAGE(B36:B39)</f>
        <v>28.034999999999997</v>
      </c>
      <c r="C40" s="1228">
        <f t="shared" si="11"/>
        <v>27.040000000000003</v>
      </c>
      <c r="D40" s="1228">
        <f t="shared" si="11"/>
        <v>23.167499999999997</v>
      </c>
      <c r="E40" s="1227">
        <f t="shared" si="11"/>
        <v>27.512499999999999</v>
      </c>
      <c r="F40" s="1228">
        <f t="shared" si="11"/>
        <v>26.52</v>
      </c>
      <c r="G40" s="1229">
        <f t="shared" si="11"/>
        <v>22.68</v>
      </c>
      <c r="H40" s="96">
        <f t="shared" si="6"/>
        <v>0.5224999999999973</v>
      </c>
      <c r="I40" s="19">
        <f t="shared" si="7"/>
        <v>0.52000000000000313</v>
      </c>
      <c r="J40" s="20">
        <f t="shared" si="8"/>
        <v>0.48749999999999716</v>
      </c>
      <c r="K40" s="22"/>
    </row>
    <row r="41" spans="1:11">
      <c r="A41" s="10">
        <v>40364</v>
      </c>
      <c r="B41" s="1114">
        <v>28.3</v>
      </c>
      <c r="C41" s="1108">
        <v>27.32</v>
      </c>
      <c r="D41" s="1108">
        <v>23.72</v>
      </c>
      <c r="E41" s="65">
        <v>27.77</v>
      </c>
      <c r="F41" s="1224">
        <v>26.78</v>
      </c>
      <c r="G41" s="1113">
        <v>23.22</v>
      </c>
      <c r="H41" s="21">
        <f t="shared" ref="H41:J45" si="12">(B41-E41)</f>
        <v>0.53000000000000114</v>
      </c>
      <c r="I41" s="21">
        <f t="shared" si="12"/>
        <v>0.53999999999999915</v>
      </c>
      <c r="J41" s="21">
        <f t="shared" si="12"/>
        <v>0.5</v>
      </c>
      <c r="K41" s="22"/>
    </row>
    <row r="42" spans="1:11">
      <c r="A42" s="1207">
        <v>40371</v>
      </c>
      <c r="B42" s="1208">
        <v>27.99</v>
      </c>
      <c r="C42" s="1209">
        <v>26.99</v>
      </c>
      <c r="D42" s="1209">
        <v>23.45</v>
      </c>
      <c r="E42" s="1225">
        <v>27.41</v>
      </c>
      <c r="F42" s="1211">
        <v>26.41</v>
      </c>
      <c r="G42" s="1210">
        <v>22.94</v>
      </c>
      <c r="H42" s="21">
        <f t="shared" si="12"/>
        <v>0.57999999999999829</v>
      </c>
      <c r="I42" s="21">
        <f t="shared" si="12"/>
        <v>0.57999999999999829</v>
      </c>
      <c r="J42" s="21">
        <f t="shared" si="12"/>
        <v>0.50999999999999801</v>
      </c>
      <c r="K42" s="22"/>
    </row>
    <row r="43" spans="1:11">
      <c r="A43" s="10">
        <v>40379</v>
      </c>
      <c r="B43" s="1114">
        <v>27.55</v>
      </c>
      <c r="C43" s="1108">
        <v>26.49</v>
      </c>
      <c r="D43" s="1108">
        <v>23.05</v>
      </c>
      <c r="E43" s="61">
        <v>26.99</v>
      </c>
      <c r="F43" s="1107">
        <v>25.91</v>
      </c>
      <c r="G43" s="1109">
        <v>22.54</v>
      </c>
      <c r="H43" s="21">
        <f t="shared" si="12"/>
        <v>0.56000000000000227</v>
      </c>
      <c r="I43" s="21">
        <f t="shared" si="12"/>
        <v>0.57999999999999829</v>
      </c>
      <c r="J43" s="21">
        <f t="shared" si="12"/>
        <v>0.51000000000000156</v>
      </c>
      <c r="K43" s="22"/>
    </row>
    <row r="44" spans="1:11" ht="13.5" thickBot="1">
      <c r="A44" s="1207">
        <v>40386</v>
      </c>
      <c r="B44" s="1208">
        <v>27.87</v>
      </c>
      <c r="C44" s="1209">
        <v>26.86</v>
      </c>
      <c r="D44" s="1209">
        <v>23.32</v>
      </c>
      <c r="E44" s="1225">
        <v>27.42</v>
      </c>
      <c r="F44" s="1211">
        <v>26.41</v>
      </c>
      <c r="G44" s="1210">
        <v>22.91</v>
      </c>
      <c r="H44" s="21">
        <f t="shared" si="12"/>
        <v>0.44999999999999929</v>
      </c>
      <c r="I44" s="21">
        <f t="shared" si="12"/>
        <v>0.44999999999999929</v>
      </c>
      <c r="J44" s="21">
        <f t="shared" si="12"/>
        <v>0.41000000000000014</v>
      </c>
      <c r="K44" s="22"/>
    </row>
    <row r="45" spans="1:11" ht="15" thickBot="1">
      <c r="A45" s="1226" t="s">
        <v>7</v>
      </c>
      <c r="B45" s="1227">
        <f t="shared" ref="B45:G45" si="13">AVERAGE(B41:B44)</f>
        <v>27.927500000000002</v>
      </c>
      <c r="C45" s="1228">
        <f t="shared" si="13"/>
        <v>26.914999999999999</v>
      </c>
      <c r="D45" s="1228">
        <f t="shared" si="13"/>
        <v>23.384999999999998</v>
      </c>
      <c r="E45" s="1227">
        <f t="shared" si="13"/>
        <v>27.397500000000001</v>
      </c>
      <c r="F45" s="1228">
        <f t="shared" si="13"/>
        <v>26.377499999999998</v>
      </c>
      <c r="G45" s="1229">
        <f t="shared" si="13"/>
        <v>22.902499999999996</v>
      </c>
      <c r="H45" s="96">
        <f t="shared" si="12"/>
        <v>0.53000000000000114</v>
      </c>
      <c r="I45" s="19">
        <f t="shared" si="12"/>
        <v>0.53750000000000142</v>
      </c>
      <c r="J45" s="20">
        <f t="shared" si="12"/>
        <v>0.48250000000000171</v>
      </c>
      <c r="K45" s="22"/>
    </row>
    <row r="46" spans="1:11">
      <c r="A46" s="10">
        <v>40393</v>
      </c>
      <c r="B46" s="11">
        <v>27.8</v>
      </c>
      <c r="C46" s="12">
        <v>26.81</v>
      </c>
      <c r="D46" s="13">
        <v>23.28</v>
      </c>
      <c r="E46" s="11">
        <v>27.36</v>
      </c>
      <c r="F46" s="1108">
        <v>26.34</v>
      </c>
      <c r="G46" s="13">
        <v>22.86</v>
      </c>
      <c r="H46" s="21">
        <f t="shared" ref="H46:J51" si="14">(B46-E46)</f>
        <v>0.44000000000000128</v>
      </c>
      <c r="I46" s="21">
        <f t="shared" si="14"/>
        <v>0.46999999999999886</v>
      </c>
      <c r="J46" s="21">
        <f t="shared" si="14"/>
        <v>0.42000000000000171</v>
      </c>
      <c r="K46" s="22"/>
    </row>
    <row r="47" spans="1:11">
      <c r="A47" s="1207">
        <v>40400</v>
      </c>
      <c r="B47" s="1225">
        <v>28.67</v>
      </c>
      <c r="C47" s="1209">
        <v>27.68</v>
      </c>
      <c r="D47" s="1210">
        <v>24.09</v>
      </c>
      <c r="E47" s="1225">
        <v>28.33</v>
      </c>
      <c r="F47" s="1209">
        <v>27.32</v>
      </c>
      <c r="G47" s="1210">
        <v>23.82</v>
      </c>
      <c r="H47" s="21">
        <f t="shared" si="14"/>
        <v>0.34000000000000341</v>
      </c>
      <c r="I47" s="21">
        <f t="shared" si="14"/>
        <v>0.35999999999999943</v>
      </c>
      <c r="J47" s="21">
        <f t="shared" si="14"/>
        <v>0.26999999999999957</v>
      </c>
      <c r="K47" s="22"/>
    </row>
    <row r="48" spans="1:11">
      <c r="A48" s="7">
        <v>40407</v>
      </c>
      <c r="B48" s="14">
        <v>28.52</v>
      </c>
      <c r="C48" s="15">
        <v>27.52</v>
      </c>
      <c r="D48" s="16">
        <v>23.97</v>
      </c>
      <c r="E48" s="14">
        <v>28.1</v>
      </c>
      <c r="F48" s="15">
        <v>27.09</v>
      </c>
      <c r="G48" s="16">
        <v>23.58</v>
      </c>
      <c r="H48" s="21">
        <f t="shared" si="14"/>
        <v>0.41999999999999815</v>
      </c>
      <c r="I48" s="21">
        <f t="shared" si="14"/>
        <v>0.42999999999999972</v>
      </c>
      <c r="J48" s="21">
        <f t="shared" si="14"/>
        <v>0.39000000000000057</v>
      </c>
      <c r="K48" s="22"/>
    </row>
    <row r="49" spans="1:11">
      <c r="A49" s="1207">
        <v>40413</v>
      </c>
      <c r="B49" s="1225">
        <v>28.23</v>
      </c>
      <c r="C49" s="1209">
        <v>27.13</v>
      </c>
      <c r="D49" s="1210">
        <v>23.62</v>
      </c>
      <c r="E49" s="1225">
        <v>27.6</v>
      </c>
      <c r="F49" s="1209">
        <v>26.54</v>
      </c>
      <c r="G49" s="1210">
        <v>23.04</v>
      </c>
      <c r="H49" s="21">
        <f t="shared" si="14"/>
        <v>0.62999999999999901</v>
      </c>
      <c r="I49" s="21">
        <f t="shared" si="14"/>
        <v>0.58999999999999986</v>
      </c>
      <c r="J49" s="21">
        <f t="shared" si="14"/>
        <v>0.58000000000000185</v>
      </c>
      <c r="K49" s="22"/>
    </row>
    <row r="50" spans="1:11" ht="13.5" thickBot="1">
      <c r="A50" s="7">
        <v>40421</v>
      </c>
      <c r="B50" s="14">
        <v>27.45</v>
      </c>
      <c r="C50" s="15">
        <v>26.51</v>
      </c>
      <c r="D50" s="16">
        <v>23.03</v>
      </c>
      <c r="E50" s="14">
        <v>27.04</v>
      </c>
      <c r="F50" s="15">
        <v>26.02</v>
      </c>
      <c r="G50" s="16">
        <v>22.53</v>
      </c>
      <c r="H50" s="21">
        <f t="shared" si="14"/>
        <v>0.41000000000000014</v>
      </c>
      <c r="I50" s="21">
        <f t="shared" si="14"/>
        <v>0.49000000000000199</v>
      </c>
      <c r="J50" s="21">
        <f t="shared" si="14"/>
        <v>0.5</v>
      </c>
      <c r="K50" s="22"/>
    </row>
    <row r="51" spans="1:11" ht="15" thickBot="1">
      <c r="A51" s="1226" t="s">
        <v>7</v>
      </c>
      <c r="B51" s="1227">
        <f t="shared" ref="B51:G51" si="15">AVERAGE(B46:B50)</f>
        <v>28.133999999999997</v>
      </c>
      <c r="C51" s="1228">
        <f t="shared" si="15"/>
        <v>27.129999999999995</v>
      </c>
      <c r="D51" s="1228">
        <f t="shared" si="15"/>
        <v>23.598000000000003</v>
      </c>
      <c r="E51" s="1227">
        <f t="shared" si="15"/>
        <v>27.685999999999996</v>
      </c>
      <c r="F51" s="1228">
        <f t="shared" si="15"/>
        <v>26.661999999999999</v>
      </c>
      <c r="G51" s="1228">
        <f t="shared" si="15"/>
        <v>23.165999999999997</v>
      </c>
      <c r="H51" s="96">
        <f t="shared" si="14"/>
        <v>0.4480000000000004</v>
      </c>
      <c r="I51" s="19">
        <f t="shared" si="14"/>
        <v>0.46799999999999642</v>
      </c>
      <c r="J51" s="20">
        <f t="shared" si="14"/>
        <v>0.43200000000000571</v>
      </c>
      <c r="K51" s="22"/>
    </row>
    <row r="52" spans="1:11">
      <c r="A52" s="10">
        <v>40428</v>
      </c>
      <c r="B52" s="1114">
        <v>27.33</v>
      </c>
      <c r="C52" s="1108">
        <v>26.33</v>
      </c>
      <c r="D52" s="1108">
        <v>22.83</v>
      </c>
      <c r="E52" s="65">
        <v>26.89</v>
      </c>
      <c r="F52" s="1224">
        <v>25.87</v>
      </c>
      <c r="G52" s="1113">
        <v>22.45</v>
      </c>
      <c r="H52" s="21">
        <f t="shared" ref="H52:J56" si="16">(B52-E52)</f>
        <v>0.43999999999999773</v>
      </c>
      <c r="I52" s="21">
        <f t="shared" si="16"/>
        <v>0.4599999999999973</v>
      </c>
      <c r="J52" s="58">
        <f t="shared" si="16"/>
        <v>0.37999999999999901</v>
      </c>
    </row>
    <row r="53" spans="1:11">
      <c r="A53" s="1207">
        <v>40435</v>
      </c>
      <c r="B53" s="1208">
        <v>27.1</v>
      </c>
      <c r="C53" s="1209">
        <v>26.12</v>
      </c>
      <c r="D53" s="1209">
        <v>22.73</v>
      </c>
      <c r="E53" s="1225">
        <v>26.8</v>
      </c>
      <c r="F53" s="1211">
        <v>25.78</v>
      </c>
      <c r="G53" s="1210">
        <v>22.39</v>
      </c>
      <c r="H53" s="21">
        <f t="shared" si="16"/>
        <v>0.30000000000000071</v>
      </c>
      <c r="I53" s="21">
        <f t="shared" si="16"/>
        <v>0.33999999999999986</v>
      </c>
      <c r="J53" s="59">
        <f t="shared" si="16"/>
        <v>0.33999999999999986</v>
      </c>
    </row>
    <row r="54" spans="1:11">
      <c r="A54" s="10">
        <v>40442</v>
      </c>
      <c r="B54" s="1114">
        <v>27.07</v>
      </c>
      <c r="C54" s="1108">
        <v>26.08</v>
      </c>
      <c r="D54" s="1108">
        <v>22.73</v>
      </c>
      <c r="E54" s="61">
        <v>26.76</v>
      </c>
      <c r="F54" s="1107">
        <v>25.75</v>
      </c>
      <c r="G54" s="1109">
        <v>22.36</v>
      </c>
      <c r="H54" s="21">
        <f t="shared" si="16"/>
        <v>0.30999999999999872</v>
      </c>
      <c r="I54" s="21">
        <f t="shared" si="16"/>
        <v>0.32999999999999829</v>
      </c>
      <c r="J54" s="59">
        <f t="shared" si="16"/>
        <v>0.37000000000000099</v>
      </c>
    </row>
    <row r="55" spans="1:11" ht="13.5" thickBot="1">
      <c r="A55" s="1207">
        <v>40449</v>
      </c>
      <c r="B55" s="1208">
        <v>27.39</v>
      </c>
      <c r="C55" s="1209">
        <v>26.39</v>
      </c>
      <c r="D55" s="1209">
        <v>23.27</v>
      </c>
      <c r="E55" s="1225">
        <v>27.25</v>
      </c>
      <c r="F55" s="1211">
        <v>26.25</v>
      </c>
      <c r="G55" s="1210">
        <v>23.18</v>
      </c>
      <c r="H55" s="21">
        <f t="shared" si="16"/>
        <v>0.14000000000000057</v>
      </c>
      <c r="I55" s="21">
        <f t="shared" si="16"/>
        <v>0.14000000000000057</v>
      </c>
      <c r="J55" s="60">
        <f t="shared" si="16"/>
        <v>8.9999999999999858E-2</v>
      </c>
    </row>
    <row r="56" spans="1:11" ht="15" thickBot="1">
      <c r="A56" s="1226" t="s">
        <v>7</v>
      </c>
      <c r="B56" s="1227">
        <f t="shared" ref="B56:G56" si="17">AVERAGE(B52:B55)</f>
        <v>27.2225</v>
      </c>
      <c r="C56" s="1228">
        <f t="shared" si="17"/>
        <v>26.23</v>
      </c>
      <c r="D56" s="1228">
        <f t="shared" si="17"/>
        <v>22.89</v>
      </c>
      <c r="E56" s="1227">
        <f t="shared" si="17"/>
        <v>26.925000000000001</v>
      </c>
      <c r="F56" s="1228">
        <f t="shared" si="17"/>
        <v>25.912500000000001</v>
      </c>
      <c r="G56" s="1229">
        <f t="shared" si="17"/>
        <v>22.594999999999999</v>
      </c>
      <c r="H56" s="96">
        <f t="shared" si="16"/>
        <v>0.29749999999999943</v>
      </c>
      <c r="I56" s="19">
        <f t="shared" si="16"/>
        <v>0.31749999999999901</v>
      </c>
      <c r="J56" s="20">
        <f t="shared" si="16"/>
        <v>0.29500000000000171</v>
      </c>
    </row>
    <row r="57" spans="1:11">
      <c r="A57" s="10">
        <v>40458</v>
      </c>
      <c r="B57" s="1114">
        <v>28.64</v>
      </c>
      <c r="C57" s="1108">
        <v>27.64</v>
      </c>
      <c r="D57" s="1108">
        <v>24.7</v>
      </c>
      <c r="E57" s="65">
        <v>28.41</v>
      </c>
      <c r="F57" s="1224">
        <v>27.41</v>
      </c>
      <c r="G57" s="1113">
        <v>24.42</v>
      </c>
      <c r="H57" s="21">
        <f t="shared" ref="H57:J61" si="18">(B57-E57)</f>
        <v>0.23000000000000043</v>
      </c>
      <c r="I57" s="21">
        <f t="shared" si="18"/>
        <v>0.23000000000000043</v>
      </c>
      <c r="J57" s="59">
        <f t="shared" si="18"/>
        <v>0.27999999999999758</v>
      </c>
    </row>
    <row r="58" spans="1:11">
      <c r="A58" s="1207">
        <v>40463</v>
      </c>
      <c r="B58" s="1208">
        <v>28.81</v>
      </c>
      <c r="C58" s="1209">
        <v>27.82</v>
      </c>
      <c r="D58" s="1209">
        <v>24.92</v>
      </c>
      <c r="E58" s="1225">
        <v>28.37</v>
      </c>
      <c r="F58" s="1211">
        <v>27.36</v>
      </c>
      <c r="G58" s="1210">
        <v>24.56</v>
      </c>
      <c r="H58" s="21">
        <f t="shared" si="18"/>
        <v>0.43999999999999773</v>
      </c>
      <c r="I58" s="21">
        <f t="shared" si="18"/>
        <v>0.46000000000000085</v>
      </c>
      <c r="J58" s="59">
        <f t="shared" si="18"/>
        <v>0.36000000000000298</v>
      </c>
    </row>
    <row r="59" spans="1:11">
      <c r="A59" s="10">
        <v>40472</v>
      </c>
      <c r="B59" s="1114">
        <v>29.35</v>
      </c>
      <c r="C59" s="1108">
        <v>28.34</v>
      </c>
      <c r="D59" s="1108">
        <v>25.35</v>
      </c>
      <c r="E59" s="61">
        <v>28.95</v>
      </c>
      <c r="F59" s="1107">
        <v>27.95</v>
      </c>
      <c r="G59" s="1109">
        <v>24.97</v>
      </c>
      <c r="H59" s="21">
        <f t="shared" si="18"/>
        <v>0.40000000000000213</v>
      </c>
      <c r="I59" s="21">
        <f t="shared" si="18"/>
        <v>0.39000000000000057</v>
      </c>
      <c r="J59" s="59">
        <f t="shared" si="18"/>
        <v>0.38000000000000256</v>
      </c>
    </row>
    <row r="60" spans="1:11" ht="13.5" thickBot="1">
      <c r="A60" s="1207">
        <v>40477</v>
      </c>
      <c r="B60" s="1208">
        <v>29.18</v>
      </c>
      <c r="C60" s="1209">
        <v>28.19</v>
      </c>
      <c r="D60" s="1209">
        <v>25.22</v>
      </c>
      <c r="E60" s="1225">
        <v>28.75</v>
      </c>
      <c r="F60" s="1211">
        <v>27.74</v>
      </c>
      <c r="G60" s="1210">
        <v>24.81</v>
      </c>
      <c r="H60" s="21">
        <f t="shared" si="18"/>
        <v>0.42999999999999972</v>
      </c>
      <c r="I60" s="21">
        <f t="shared" si="18"/>
        <v>0.45000000000000284</v>
      </c>
      <c r="J60" s="60">
        <f t="shared" si="18"/>
        <v>0.41000000000000014</v>
      </c>
    </row>
    <row r="61" spans="1:11" ht="15" thickBot="1">
      <c r="A61" s="1226" t="s">
        <v>7</v>
      </c>
      <c r="B61" s="1227">
        <f t="shared" ref="B61:G61" si="19">AVERAGE(B57:B60)</f>
        <v>28.995000000000005</v>
      </c>
      <c r="C61" s="1228">
        <f t="shared" si="19"/>
        <v>27.997499999999999</v>
      </c>
      <c r="D61" s="1228">
        <f t="shared" si="19"/>
        <v>25.047499999999999</v>
      </c>
      <c r="E61" s="1227">
        <f t="shared" si="19"/>
        <v>28.62</v>
      </c>
      <c r="F61" s="1228">
        <f t="shared" si="19"/>
        <v>27.614999999999998</v>
      </c>
      <c r="G61" s="1229">
        <f t="shared" si="19"/>
        <v>24.69</v>
      </c>
      <c r="H61" s="96">
        <f t="shared" si="18"/>
        <v>0.37500000000000355</v>
      </c>
      <c r="I61" s="19">
        <f t="shared" si="18"/>
        <v>0.38250000000000028</v>
      </c>
      <c r="J61" s="20">
        <f t="shared" si="18"/>
        <v>0.35749999999999815</v>
      </c>
    </row>
    <row r="62" spans="1:11">
      <c r="A62" s="10">
        <v>40484</v>
      </c>
      <c r="B62" s="11">
        <v>28.87</v>
      </c>
      <c r="C62" s="12">
        <v>27.88</v>
      </c>
      <c r="D62" s="13">
        <v>25.01</v>
      </c>
      <c r="E62" s="11">
        <v>28.29</v>
      </c>
      <c r="F62" s="1108">
        <v>27.3</v>
      </c>
      <c r="G62" s="13">
        <v>24.51</v>
      </c>
      <c r="H62" s="21">
        <f t="shared" ref="H62:H72" si="20">(B62-E62)</f>
        <v>0.58000000000000185</v>
      </c>
      <c r="I62" s="21">
        <f t="shared" ref="I62:I72" si="21">(C62-F62)</f>
        <v>0.57999999999999829</v>
      </c>
      <c r="J62" s="59">
        <f t="shared" ref="J62:J72" si="22">(D62-G62)</f>
        <v>0.5</v>
      </c>
    </row>
    <row r="63" spans="1:11">
      <c r="A63" s="1207">
        <v>40491</v>
      </c>
      <c r="B63" s="1225">
        <v>28.81</v>
      </c>
      <c r="C63" s="1209">
        <v>27.81</v>
      </c>
      <c r="D63" s="1210">
        <v>25</v>
      </c>
      <c r="E63" s="1225">
        <v>28.33</v>
      </c>
      <c r="F63" s="1209">
        <v>27.33</v>
      </c>
      <c r="G63" s="1210">
        <v>24.44</v>
      </c>
      <c r="H63" s="21">
        <f t="shared" si="20"/>
        <v>0.48000000000000043</v>
      </c>
      <c r="I63" s="21">
        <f t="shared" si="21"/>
        <v>0.48000000000000043</v>
      </c>
      <c r="J63" s="59">
        <f t="shared" si="22"/>
        <v>0.55999999999999872</v>
      </c>
    </row>
    <row r="64" spans="1:11">
      <c r="A64" s="7">
        <v>40498</v>
      </c>
      <c r="B64" s="14">
        <v>28.83</v>
      </c>
      <c r="C64" s="15">
        <v>27.84</v>
      </c>
      <c r="D64" s="16">
        <v>25.72</v>
      </c>
      <c r="E64" s="14">
        <v>28.32</v>
      </c>
      <c r="F64" s="15">
        <v>27.33</v>
      </c>
      <c r="G64" s="16">
        <v>25.33</v>
      </c>
      <c r="H64" s="21">
        <f t="shared" si="20"/>
        <v>0.50999999999999801</v>
      </c>
      <c r="I64" s="21">
        <f t="shared" si="21"/>
        <v>0.51000000000000156</v>
      </c>
      <c r="J64" s="59">
        <f t="shared" si="22"/>
        <v>0.39000000000000057</v>
      </c>
    </row>
    <row r="65" spans="1:10">
      <c r="A65" s="1207">
        <v>40505</v>
      </c>
      <c r="B65" s="1225">
        <v>29.13</v>
      </c>
      <c r="C65" s="1209">
        <v>28.15</v>
      </c>
      <c r="D65" s="1210">
        <v>26</v>
      </c>
      <c r="E65" s="1225">
        <v>28.71</v>
      </c>
      <c r="F65" s="1209">
        <v>27.73</v>
      </c>
      <c r="G65" s="1210">
        <v>25.76</v>
      </c>
      <c r="H65" s="21">
        <f t="shared" si="20"/>
        <v>0.41999999999999815</v>
      </c>
      <c r="I65" s="21">
        <f t="shared" si="21"/>
        <v>0.41999999999999815</v>
      </c>
      <c r="J65" s="59">
        <f t="shared" si="22"/>
        <v>0.23999999999999844</v>
      </c>
    </row>
    <row r="66" spans="1:10" ht="13.5" thickBot="1">
      <c r="A66" s="7">
        <v>40512</v>
      </c>
      <c r="B66" s="14">
        <v>29.15</v>
      </c>
      <c r="C66" s="15">
        <v>28.17</v>
      </c>
      <c r="D66" s="16">
        <v>26.11</v>
      </c>
      <c r="E66" s="14">
        <v>28.69</v>
      </c>
      <c r="F66" s="15">
        <v>27.7</v>
      </c>
      <c r="G66" s="16">
        <v>25.79</v>
      </c>
      <c r="H66" s="21">
        <f t="shared" si="20"/>
        <v>0.4599999999999973</v>
      </c>
      <c r="I66" s="21">
        <f t="shared" si="21"/>
        <v>0.47000000000000242</v>
      </c>
      <c r="J66" s="59">
        <f t="shared" si="22"/>
        <v>0.32000000000000028</v>
      </c>
    </row>
    <row r="67" spans="1:10" ht="15" thickBot="1">
      <c r="A67" s="1226" t="s">
        <v>7</v>
      </c>
      <c r="B67" s="1227">
        <f t="shared" ref="B67:G67" si="23">AVERAGE(B62:B66)</f>
        <v>28.957999999999998</v>
      </c>
      <c r="C67" s="1228">
        <f t="shared" si="23"/>
        <v>27.970000000000006</v>
      </c>
      <c r="D67" s="1228">
        <f t="shared" si="23"/>
        <v>25.568000000000001</v>
      </c>
      <c r="E67" s="1227">
        <f t="shared" si="23"/>
        <v>28.468</v>
      </c>
      <c r="F67" s="1228">
        <f t="shared" si="23"/>
        <v>27.477999999999998</v>
      </c>
      <c r="G67" s="1228">
        <f t="shared" si="23"/>
        <v>25.166000000000004</v>
      </c>
      <c r="H67" s="96">
        <f t="shared" si="20"/>
        <v>0.48999999999999844</v>
      </c>
      <c r="I67" s="19">
        <f t="shared" si="21"/>
        <v>0.49200000000000799</v>
      </c>
      <c r="J67" s="20">
        <f t="shared" si="22"/>
        <v>0.40199999999999747</v>
      </c>
    </row>
    <row r="68" spans="1:10">
      <c r="A68" s="10">
        <v>40519</v>
      </c>
      <c r="B68" s="1114">
        <v>29.28</v>
      </c>
      <c r="C68" s="1108">
        <v>28.3</v>
      </c>
      <c r="D68" s="1108">
        <v>26.27</v>
      </c>
      <c r="E68" s="65">
        <v>28.9</v>
      </c>
      <c r="F68" s="1224">
        <v>27.89</v>
      </c>
      <c r="G68" s="1113">
        <v>26.02</v>
      </c>
      <c r="H68" s="21">
        <f t="shared" si="20"/>
        <v>0.38000000000000256</v>
      </c>
      <c r="I68" s="21">
        <f t="shared" si="21"/>
        <v>0.41000000000000014</v>
      </c>
      <c r="J68" s="59">
        <f t="shared" si="22"/>
        <v>0.25</v>
      </c>
    </row>
    <row r="69" spans="1:10">
      <c r="A69" s="1207">
        <v>40526</v>
      </c>
      <c r="B69" s="1208">
        <v>29.72</v>
      </c>
      <c r="C69" s="1209">
        <v>28.72</v>
      </c>
      <c r="D69" s="1209">
        <v>26.73</v>
      </c>
      <c r="E69" s="1225">
        <v>29.29</v>
      </c>
      <c r="F69" s="1211">
        <v>28.28</v>
      </c>
      <c r="G69" s="1210">
        <v>26.4</v>
      </c>
      <c r="H69" s="21">
        <f t="shared" si="20"/>
        <v>0.42999999999999972</v>
      </c>
      <c r="I69" s="21">
        <f t="shared" si="21"/>
        <v>0.43999999999999773</v>
      </c>
      <c r="J69" s="59">
        <f t="shared" si="22"/>
        <v>0.33000000000000185</v>
      </c>
    </row>
    <row r="70" spans="1:10">
      <c r="A70" s="10">
        <v>40534</v>
      </c>
      <c r="B70" s="1114">
        <v>29.96</v>
      </c>
      <c r="C70" s="1108">
        <v>28.97</v>
      </c>
      <c r="D70" s="1108">
        <v>27.05</v>
      </c>
      <c r="E70" s="61">
        <v>29.61</v>
      </c>
      <c r="F70" s="1107">
        <v>28.6</v>
      </c>
      <c r="G70" s="1109">
        <v>26.9</v>
      </c>
      <c r="H70" s="21">
        <f t="shared" si="20"/>
        <v>0.35000000000000142</v>
      </c>
      <c r="I70" s="21">
        <f t="shared" si="21"/>
        <v>0.36999999999999744</v>
      </c>
      <c r="J70" s="59">
        <f t="shared" si="22"/>
        <v>0.15000000000000213</v>
      </c>
    </row>
    <row r="71" spans="1:10" ht="13.5" thickBot="1">
      <c r="A71" s="1207">
        <v>40540</v>
      </c>
      <c r="B71" s="1208">
        <v>30.32</v>
      </c>
      <c r="C71" s="1209">
        <v>29.35</v>
      </c>
      <c r="D71" s="1209">
        <v>27.46</v>
      </c>
      <c r="E71" s="1225">
        <v>29.93</v>
      </c>
      <c r="F71" s="1211">
        <v>28.94</v>
      </c>
      <c r="G71" s="1210">
        <v>27.28</v>
      </c>
      <c r="H71" s="21">
        <f t="shared" si="20"/>
        <v>0.39000000000000057</v>
      </c>
      <c r="I71" s="21">
        <f t="shared" si="21"/>
        <v>0.41000000000000014</v>
      </c>
      <c r="J71" s="59">
        <f t="shared" si="22"/>
        <v>0.17999999999999972</v>
      </c>
    </row>
    <row r="72" spans="1:10" ht="15" thickBot="1">
      <c r="A72" s="1226" t="s">
        <v>7</v>
      </c>
      <c r="B72" s="1227">
        <f t="shared" ref="B72:G72" si="24">AVERAGE(B68:B71)</f>
        <v>29.82</v>
      </c>
      <c r="C72" s="1228">
        <f t="shared" si="24"/>
        <v>28.835000000000001</v>
      </c>
      <c r="D72" s="1228">
        <f t="shared" si="24"/>
        <v>26.877499999999998</v>
      </c>
      <c r="E72" s="1227">
        <f t="shared" si="24"/>
        <v>29.432499999999997</v>
      </c>
      <c r="F72" s="1228">
        <f t="shared" si="24"/>
        <v>28.427500000000002</v>
      </c>
      <c r="G72" s="1229">
        <f t="shared" si="24"/>
        <v>26.65</v>
      </c>
      <c r="H72" s="96">
        <f t="shared" si="20"/>
        <v>0.38750000000000284</v>
      </c>
      <c r="I72" s="19">
        <f t="shared" si="21"/>
        <v>0.40749999999999886</v>
      </c>
      <c r="J72" s="20">
        <f t="shared" si="22"/>
        <v>0.22749999999999915</v>
      </c>
    </row>
    <row r="73" spans="1:10" ht="13.5" thickBot="1">
      <c r="A73" s="10"/>
      <c r="B73" s="1114"/>
      <c r="C73" s="1108"/>
      <c r="D73" s="1108"/>
      <c r="E73" s="65"/>
      <c r="F73" s="1224"/>
      <c r="G73" s="1113"/>
      <c r="H73" s="48"/>
      <c r="I73" s="49"/>
      <c r="J73" s="50"/>
    </row>
    <row r="74" spans="1:10" ht="13.5" thickBot="1">
      <c r="A74" s="52" t="s">
        <v>32</v>
      </c>
      <c r="B74" s="53">
        <f t="shared" ref="B74:J74" si="25">AVERAGE(B9:B12,B14:B17,B19:B23,B25:B28,B30:B34,B36:B39,B41:B44,B46:B50,B52:B55,B57:B60,B62:B66,B68:B71)</f>
        <v>29.330192307692304</v>
      </c>
      <c r="C74" s="54">
        <f t="shared" si="25"/>
        <v>28.367500000000003</v>
      </c>
      <c r="D74" s="55">
        <f t="shared" si="25"/>
        <v>25.264038461538465</v>
      </c>
      <c r="E74" s="53">
        <f t="shared" si="25"/>
        <v>28.266923076923074</v>
      </c>
      <c r="F74" s="54">
        <f t="shared" si="25"/>
        <v>27.919230769230769</v>
      </c>
      <c r="G74" s="55">
        <f t="shared" si="25"/>
        <v>24.96557692307692</v>
      </c>
      <c r="H74" s="84">
        <f t="shared" si="25"/>
        <v>3.5105769230769233</v>
      </c>
      <c r="I74" s="54">
        <f t="shared" si="25"/>
        <v>3.0334615384615358</v>
      </c>
      <c r="J74" s="55">
        <f t="shared" si="25"/>
        <v>0.29846153846153861</v>
      </c>
    </row>
    <row r="75" spans="1:10">
      <c r="B75" s="51"/>
      <c r="C75" s="51"/>
      <c r="D75" s="51"/>
      <c r="E75" s="51"/>
      <c r="F75" s="51"/>
      <c r="G75" s="51"/>
      <c r="H75" s="51"/>
      <c r="I75" s="51"/>
      <c r="J75" s="51"/>
    </row>
  </sheetData>
  <mergeCells count="13">
    <mergeCell ref="L15:O15"/>
    <mergeCell ref="H7:J7"/>
    <mergeCell ref="H5:J5"/>
    <mergeCell ref="A3:G3"/>
    <mergeCell ref="A4:G4"/>
    <mergeCell ref="A5:G5"/>
    <mergeCell ref="B7:D7"/>
    <mergeCell ref="E7:G7"/>
    <mergeCell ref="A1:G1"/>
    <mergeCell ref="A2:G2"/>
    <mergeCell ref="H3:J3"/>
    <mergeCell ref="H4:J4"/>
    <mergeCell ref="L14:O14"/>
  </mergeCells>
  <phoneticPr fontId="5" type="noConversion"/>
  <pageMargins left="1.45" right="0.75" top="0.17" bottom="0.51" header="0" footer="0"/>
  <pageSetup scale="75" orientation="portrait" horizontalDpi="4294967295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L121"/>
  <sheetViews>
    <sheetView view="pageBreakPreview" zoomScale="115" zoomScaleNormal="75" workbookViewId="0">
      <selection activeCell="A21" sqref="A21"/>
    </sheetView>
  </sheetViews>
  <sheetFormatPr baseColWidth="10" defaultColWidth="11.42578125" defaultRowHeight="12.75"/>
  <cols>
    <col min="1" max="1" width="16.28515625" customWidth="1"/>
    <col min="3" max="3" width="11.28515625" customWidth="1"/>
    <col min="8" max="8" width="4" customWidth="1"/>
    <col min="9" max="9" width="13.7109375" customWidth="1"/>
    <col min="10" max="10" width="11.85546875" customWidth="1"/>
    <col min="12" max="12" width="7.7109375" customWidth="1"/>
  </cols>
  <sheetData>
    <row r="1" spans="1:12" ht="18">
      <c r="A1" s="1518" t="s">
        <v>667</v>
      </c>
      <c r="B1" s="1518"/>
      <c r="C1" s="1518"/>
      <c r="D1" s="1518"/>
      <c r="E1" s="1518"/>
      <c r="F1" s="1518"/>
      <c r="G1" s="1518"/>
    </row>
    <row r="2" spans="1:12">
      <c r="A2" s="1527" t="s">
        <v>36</v>
      </c>
      <c r="B2" s="1527"/>
      <c r="C2" s="1527"/>
      <c r="D2" s="1527"/>
      <c r="E2" s="1527"/>
      <c r="F2" s="1527"/>
      <c r="G2" s="1527"/>
    </row>
    <row r="3" spans="1:12">
      <c r="A3" s="1528" t="s">
        <v>668</v>
      </c>
      <c r="B3" s="1528"/>
      <c r="C3" s="1528"/>
      <c r="D3" s="1528"/>
      <c r="E3" s="1528"/>
      <c r="F3" s="1528"/>
      <c r="G3" s="1528"/>
    </row>
    <row r="4" spans="1:12">
      <c r="A4" s="1528" t="s">
        <v>669</v>
      </c>
      <c r="B4" s="1528"/>
      <c r="C4" s="1528"/>
      <c r="D4" s="1528"/>
      <c r="E4" s="1528"/>
      <c r="F4" s="1528"/>
      <c r="G4" s="1528"/>
    </row>
    <row r="5" spans="1:12">
      <c r="A5" s="1529" t="s">
        <v>670</v>
      </c>
      <c r="B5" s="1529"/>
      <c r="C5" s="1529"/>
      <c r="D5" s="1529"/>
      <c r="E5" s="1529"/>
      <c r="F5" s="1529"/>
      <c r="G5" s="1529"/>
    </row>
    <row r="6" spans="1:12" ht="8.25" customHeight="1" thickBot="1">
      <c r="A6" s="564"/>
      <c r="B6" s="564"/>
      <c r="C6" s="564"/>
      <c r="D6" s="564"/>
      <c r="E6" s="564"/>
      <c r="F6" s="564"/>
      <c r="G6" s="564"/>
    </row>
    <row r="7" spans="1:12" ht="19.5" customHeight="1" thickBot="1">
      <c r="A7" s="1218" t="s">
        <v>1</v>
      </c>
      <c r="B7" s="1519" t="s">
        <v>2</v>
      </c>
      <c r="C7" s="1520"/>
      <c r="D7" s="1521"/>
      <c r="E7" s="1522" t="s">
        <v>576</v>
      </c>
      <c r="F7" s="1523"/>
      <c r="G7" s="1524"/>
      <c r="H7" s="63"/>
    </row>
    <row r="8" spans="1:12" ht="21.75" customHeight="1" thickBot="1">
      <c r="A8" s="1200" t="s">
        <v>21</v>
      </c>
      <c r="B8" s="1219" t="s">
        <v>4</v>
      </c>
      <c r="C8" s="1219" t="s">
        <v>5</v>
      </c>
      <c r="D8" s="1220" t="s">
        <v>6</v>
      </c>
      <c r="E8" s="1221" t="s">
        <v>4</v>
      </c>
      <c r="F8" s="1222" t="s">
        <v>5</v>
      </c>
      <c r="G8" s="1222" t="s">
        <v>6</v>
      </c>
      <c r="H8" s="63"/>
    </row>
    <row r="9" spans="1:12">
      <c r="A9" s="10">
        <v>40547</v>
      </c>
      <c r="B9" s="1114">
        <v>30.41</v>
      </c>
      <c r="C9" s="1108">
        <v>29.41</v>
      </c>
      <c r="D9" s="1108">
        <v>27.58</v>
      </c>
      <c r="E9" s="65">
        <v>29.97</v>
      </c>
      <c r="F9" s="1224">
        <v>28.97</v>
      </c>
      <c r="G9" s="1113">
        <v>27.29</v>
      </c>
      <c r="H9" s="79"/>
    </row>
    <row r="10" spans="1:12">
      <c r="A10" s="1207">
        <v>40554</v>
      </c>
      <c r="B10" s="1208">
        <v>30.49</v>
      </c>
      <c r="C10" s="1209">
        <v>29.48</v>
      </c>
      <c r="D10" s="1209">
        <v>27.65</v>
      </c>
      <c r="E10" s="1225">
        <v>30.01</v>
      </c>
      <c r="F10" s="1211">
        <v>29.02</v>
      </c>
      <c r="G10" s="1210">
        <v>27.32</v>
      </c>
      <c r="H10" s="79"/>
    </row>
    <row r="11" spans="1:12">
      <c r="A11" s="10">
        <v>40561</v>
      </c>
      <c r="B11" s="1114">
        <v>31.37</v>
      </c>
      <c r="C11" s="1108">
        <v>30.4</v>
      </c>
      <c r="D11" s="1108">
        <v>28.06</v>
      </c>
      <c r="E11" s="61">
        <v>30.96</v>
      </c>
      <c r="F11" s="1107">
        <v>29.94</v>
      </c>
      <c r="G11" s="1109">
        <v>27.71</v>
      </c>
      <c r="H11" s="79"/>
    </row>
    <row r="12" spans="1:12">
      <c r="A12" s="1207">
        <v>40567</v>
      </c>
      <c r="B12" s="1208">
        <v>31.36</v>
      </c>
      <c r="C12" s="1209">
        <v>30.38</v>
      </c>
      <c r="D12" s="1209">
        <v>28.06</v>
      </c>
      <c r="E12" s="1225">
        <v>30.95</v>
      </c>
      <c r="F12" s="1211">
        <v>29.94</v>
      </c>
      <c r="G12" s="1210">
        <v>27.7</v>
      </c>
      <c r="H12" s="79"/>
    </row>
    <row r="13" spans="1:12" ht="13.5" thickBot="1">
      <c r="A13" s="10">
        <v>40574</v>
      </c>
      <c r="B13" s="1115">
        <v>31.67</v>
      </c>
      <c r="C13" s="1117">
        <v>30.69</v>
      </c>
      <c r="D13" s="1117">
        <v>28.38</v>
      </c>
      <c r="E13" s="68">
        <v>31.3</v>
      </c>
      <c r="F13" s="1116">
        <v>30.3</v>
      </c>
      <c r="G13" s="1118">
        <v>28.07</v>
      </c>
      <c r="H13" s="79"/>
    </row>
    <row r="14" spans="1:12" ht="13.5" thickBot="1">
      <c r="A14" s="1212" t="s">
        <v>7</v>
      </c>
      <c r="B14" s="1213">
        <f t="shared" ref="B14:G14" si="0">AVERAGE(B9:B12)</f>
        <v>30.907499999999999</v>
      </c>
      <c r="C14" s="1213">
        <f t="shared" si="0"/>
        <v>29.917499999999997</v>
      </c>
      <c r="D14" s="1213">
        <f t="shared" si="0"/>
        <v>27.837499999999999</v>
      </c>
      <c r="E14" s="1223">
        <f t="shared" si="0"/>
        <v>30.4725</v>
      </c>
      <c r="F14" s="1223">
        <f t="shared" si="0"/>
        <v>29.467499999999998</v>
      </c>
      <c r="G14" s="1223">
        <f t="shared" si="0"/>
        <v>27.504999999999999</v>
      </c>
      <c r="H14" s="79"/>
    </row>
    <row r="15" spans="1:12">
      <c r="A15" s="10">
        <v>40582</v>
      </c>
      <c r="B15" s="1114">
        <v>31.78</v>
      </c>
      <c r="C15" s="1108">
        <v>30.81</v>
      </c>
      <c r="D15" s="1108">
        <v>28.5</v>
      </c>
      <c r="E15" s="65">
        <v>31.39</v>
      </c>
      <c r="F15" s="1224">
        <v>30.38</v>
      </c>
      <c r="G15" s="1113">
        <v>28.14</v>
      </c>
      <c r="H15" s="79"/>
      <c r="I15" s="1540" t="s">
        <v>37</v>
      </c>
      <c r="J15" s="1541"/>
      <c r="K15" s="1541"/>
      <c r="L15" s="1542"/>
    </row>
    <row r="16" spans="1:12">
      <c r="A16" s="1207">
        <v>40588</v>
      </c>
      <c r="B16" s="1208">
        <v>31.78</v>
      </c>
      <c r="C16" s="1209">
        <v>30.8</v>
      </c>
      <c r="D16" s="1209">
        <v>28.55</v>
      </c>
      <c r="E16" s="1225">
        <v>31.38</v>
      </c>
      <c r="F16" s="1211">
        <v>30.4</v>
      </c>
      <c r="G16" s="1210">
        <v>28.16</v>
      </c>
      <c r="H16" s="79"/>
      <c r="I16" s="1543" t="s">
        <v>30</v>
      </c>
      <c r="J16" s="1544"/>
      <c r="K16" s="1544"/>
      <c r="L16" s="1545"/>
    </row>
    <row r="17" spans="1:12">
      <c r="A17" s="10">
        <v>40596</v>
      </c>
      <c r="B17" s="1114">
        <v>31.72</v>
      </c>
      <c r="C17" s="1108">
        <v>30.75</v>
      </c>
      <c r="D17" s="1108">
        <v>28.53</v>
      </c>
      <c r="E17" s="61">
        <v>31.33</v>
      </c>
      <c r="F17" s="1107">
        <v>30.35</v>
      </c>
      <c r="G17" s="1109">
        <v>28.14</v>
      </c>
      <c r="H17" s="79"/>
      <c r="I17" s="91" t="s">
        <v>25</v>
      </c>
      <c r="J17" s="92" t="s">
        <v>26</v>
      </c>
      <c r="K17" s="92" t="s">
        <v>27</v>
      </c>
      <c r="L17" s="93" t="s">
        <v>28</v>
      </c>
    </row>
    <row r="18" spans="1:12" ht="13.5" thickBot="1">
      <c r="A18" s="1207">
        <v>40602</v>
      </c>
      <c r="B18" s="1208">
        <v>32.14</v>
      </c>
      <c r="C18" s="1209">
        <v>31.16</v>
      </c>
      <c r="D18" s="1209">
        <v>29.19</v>
      </c>
      <c r="E18" s="1225">
        <v>31.89</v>
      </c>
      <c r="F18" s="1211">
        <v>30.89</v>
      </c>
      <c r="G18" s="1210">
        <v>28.96</v>
      </c>
      <c r="H18" s="79"/>
      <c r="I18" s="94"/>
      <c r="J18" s="92" t="s">
        <v>29</v>
      </c>
      <c r="K18" s="92" t="s">
        <v>29</v>
      </c>
      <c r="L18" s="93" t="s">
        <v>29</v>
      </c>
    </row>
    <row r="19" spans="1:12" ht="13.5" thickBot="1">
      <c r="A19" s="1212" t="s">
        <v>7</v>
      </c>
      <c r="B19" s="1213">
        <f t="shared" ref="B19:G19" si="1">AVERAGE(B15:B18)</f>
        <v>31.855</v>
      </c>
      <c r="C19" s="1213">
        <f t="shared" si="1"/>
        <v>30.88</v>
      </c>
      <c r="D19" s="1213">
        <f t="shared" si="1"/>
        <v>28.692499999999999</v>
      </c>
      <c r="E19" s="1223">
        <f t="shared" si="1"/>
        <v>31.497499999999999</v>
      </c>
      <c r="F19" s="1223">
        <f t="shared" si="1"/>
        <v>30.504999999999999</v>
      </c>
      <c r="G19" s="1223">
        <f t="shared" si="1"/>
        <v>28.35</v>
      </c>
      <c r="H19" s="79"/>
      <c r="I19" s="85" t="s">
        <v>8</v>
      </c>
      <c r="J19" s="86">
        <f>+E14</f>
        <v>30.4725</v>
      </c>
      <c r="K19" s="86">
        <f>+F14</f>
        <v>29.467499999999998</v>
      </c>
      <c r="L19" s="87">
        <f>+G14</f>
        <v>27.504999999999999</v>
      </c>
    </row>
    <row r="20" spans="1:12">
      <c r="A20" s="10">
        <v>40975</v>
      </c>
      <c r="B20" s="1114">
        <v>33.24</v>
      </c>
      <c r="C20" s="1108">
        <v>32.26</v>
      </c>
      <c r="D20" s="1108">
        <v>30.56</v>
      </c>
      <c r="E20" s="65">
        <v>32.96</v>
      </c>
      <c r="F20" s="1224">
        <v>31.95</v>
      </c>
      <c r="G20" s="1113">
        <v>30.44</v>
      </c>
      <c r="H20" s="79"/>
      <c r="I20" s="85" t="s">
        <v>9</v>
      </c>
      <c r="J20" s="86">
        <f>+E19</f>
        <v>31.497499999999999</v>
      </c>
      <c r="K20" s="86">
        <f>+F19</f>
        <v>30.504999999999999</v>
      </c>
      <c r="L20" s="87">
        <f>+G19</f>
        <v>28.35</v>
      </c>
    </row>
    <row r="21" spans="1:12">
      <c r="A21" s="1207">
        <v>40616</v>
      </c>
      <c r="B21" s="1208">
        <v>34.78</v>
      </c>
      <c r="C21" s="1209">
        <v>34.130000000000003</v>
      </c>
      <c r="D21" s="1209">
        <v>31.95</v>
      </c>
      <c r="E21" s="1225">
        <v>34.68</v>
      </c>
      <c r="F21" s="1211">
        <v>34.119999999999997</v>
      </c>
      <c r="G21" s="1210">
        <v>31.85</v>
      </c>
      <c r="H21" s="79"/>
      <c r="I21" s="85" t="s">
        <v>10</v>
      </c>
      <c r="J21" s="86">
        <f>+E24</f>
        <v>33.967500000000001</v>
      </c>
      <c r="K21" s="86">
        <f>+F24</f>
        <v>33.3125</v>
      </c>
      <c r="L21" s="87">
        <f>+G24</f>
        <v>31.182500000000001</v>
      </c>
    </row>
    <row r="22" spans="1:12">
      <c r="A22" s="10">
        <v>40623</v>
      </c>
      <c r="B22" s="1114">
        <v>35.1</v>
      </c>
      <c r="C22" s="1108">
        <v>34.549999999999997</v>
      </c>
      <c r="D22" s="1108">
        <v>32.17</v>
      </c>
      <c r="E22" s="61">
        <v>33.79</v>
      </c>
      <c r="F22" s="1107">
        <v>33.29</v>
      </c>
      <c r="G22" s="1109">
        <v>30.89</v>
      </c>
      <c r="H22" s="79"/>
      <c r="I22" s="85" t="s">
        <v>11</v>
      </c>
      <c r="J22" s="86">
        <f>+B29</f>
        <v>35.472499999999997</v>
      </c>
      <c r="K22" s="86">
        <f>+C29</f>
        <v>34.902500000000003</v>
      </c>
      <c r="L22" s="87">
        <f>+D29</f>
        <v>32.515000000000001</v>
      </c>
    </row>
    <row r="23" spans="1:12" ht="13.5" thickBot="1">
      <c r="A23" s="1207">
        <v>40630</v>
      </c>
      <c r="B23" s="1208">
        <v>34.93</v>
      </c>
      <c r="C23" s="1209">
        <v>34.35</v>
      </c>
      <c r="D23" s="1209">
        <v>32</v>
      </c>
      <c r="E23" s="1225">
        <v>34.44</v>
      </c>
      <c r="F23" s="1211">
        <v>33.89</v>
      </c>
      <c r="G23" s="1210">
        <v>31.55</v>
      </c>
      <c r="H23" s="79"/>
      <c r="I23" s="85" t="s">
        <v>12</v>
      </c>
      <c r="J23" s="86">
        <f>+E29</f>
        <v>35.1325</v>
      </c>
      <c r="K23" s="86">
        <f>+F29</f>
        <v>34.577500000000001</v>
      </c>
      <c r="L23" s="87">
        <f>+G29</f>
        <v>32.232499999999995</v>
      </c>
    </row>
    <row r="24" spans="1:12" ht="13.5" thickBot="1">
      <c r="A24" s="1212" t="s">
        <v>7</v>
      </c>
      <c r="B24" s="1213">
        <f t="shared" ref="B24:G24" si="2">AVERAGE(B20:B23)</f>
        <v>34.512500000000003</v>
      </c>
      <c r="C24" s="1213">
        <f t="shared" si="2"/>
        <v>33.822499999999998</v>
      </c>
      <c r="D24" s="1213">
        <f t="shared" si="2"/>
        <v>31.67</v>
      </c>
      <c r="E24" s="1223">
        <f t="shared" si="2"/>
        <v>33.967500000000001</v>
      </c>
      <c r="F24" s="1223">
        <f t="shared" si="2"/>
        <v>33.3125</v>
      </c>
      <c r="G24" s="1223">
        <f t="shared" si="2"/>
        <v>31.182500000000001</v>
      </c>
      <c r="H24" s="79"/>
      <c r="I24" s="85" t="s">
        <v>13</v>
      </c>
      <c r="J24" s="86">
        <f>+E40</f>
        <v>30.7712</v>
      </c>
      <c r="K24" s="86">
        <f>+F40</f>
        <v>34.077199999999998</v>
      </c>
      <c r="L24" s="87">
        <f>+G40</f>
        <v>32.7256</v>
      </c>
    </row>
    <row r="25" spans="1:12">
      <c r="A25" s="10">
        <v>40637</v>
      </c>
      <c r="B25" s="1114">
        <v>34.619999999999997</v>
      </c>
      <c r="C25" s="1108">
        <v>34.03</v>
      </c>
      <c r="D25" s="1108">
        <v>31.76</v>
      </c>
      <c r="E25" s="65">
        <v>34.14</v>
      </c>
      <c r="F25" s="1224">
        <v>33.590000000000003</v>
      </c>
      <c r="G25" s="1113">
        <v>31.35</v>
      </c>
      <c r="H25" s="79"/>
      <c r="I25" s="85" t="s">
        <v>14</v>
      </c>
      <c r="J25" s="86">
        <f>+E83</f>
        <v>34.552499999999995</v>
      </c>
      <c r="K25" s="86">
        <f>+F83</f>
        <v>33.962500000000006</v>
      </c>
      <c r="L25" s="87">
        <f>+G83</f>
        <v>31.085000000000001</v>
      </c>
    </row>
    <row r="26" spans="1:12">
      <c r="A26" s="1207">
        <v>40647</v>
      </c>
      <c r="B26" s="1208">
        <v>35.51</v>
      </c>
      <c r="C26" s="1209">
        <v>34.9</v>
      </c>
      <c r="D26" s="1209">
        <v>32.619999999999997</v>
      </c>
      <c r="E26" s="1225">
        <v>35.51</v>
      </c>
      <c r="F26" s="1211">
        <v>34.9</v>
      </c>
      <c r="G26" s="1210">
        <v>32.619999999999997</v>
      </c>
      <c r="H26" s="79"/>
      <c r="I26" s="85" t="s">
        <v>15</v>
      </c>
      <c r="J26" s="86">
        <f>+E89</f>
        <v>34.725999999999999</v>
      </c>
      <c r="K26" s="86">
        <f>+F89</f>
        <v>34.136000000000003</v>
      </c>
      <c r="L26" s="87">
        <f>+G89</f>
        <v>31.238</v>
      </c>
    </row>
    <row r="27" spans="1:12">
      <c r="A27" s="10">
        <v>40651</v>
      </c>
      <c r="B27" s="1114">
        <v>35.880000000000003</v>
      </c>
      <c r="C27" s="1108">
        <v>35.340000000000003</v>
      </c>
      <c r="D27" s="1108">
        <v>32.840000000000003</v>
      </c>
      <c r="E27" s="61">
        <v>35.44</v>
      </c>
      <c r="F27" s="1107">
        <v>34.909999999999997</v>
      </c>
      <c r="G27" s="1109">
        <v>32.479999999999997</v>
      </c>
      <c r="H27" s="79"/>
      <c r="I27" s="85" t="s">
        <v>16</v>
      </c>
      <c r="J27" s="86">
        <f>+E94</f>
        <v>34.2425</v>
      </c>
      <c r="K27" s="86">
        <f>+F94</f>
        <v>33.642499999999998</v>
      </c>
      <c r="L27" s="87">
        <f>+G94</f>
        <v>30.740000000000002</v>
      </c>
    </row>
    <row r="28" spans="1:12" ht="13.5" thickBot="1">
      <c r="A28" s="1207">
        <v>40658</v>
      </c>
      <c r="B28" s="1208">
        <v>35.880000000000003</v>
      </c>
      <c r="C28" s="1209">
        <v>35.340000000000003</v>
      </c>
      <c r="D28" s="1209">
        <v>32.840000000000003</v>
      </c>
      <c r="E28" s="1225">
        <v>35.44</v>
      </c>
      <c r="F28" s="1211">
        <v>34.909999999999997</v>
      </c>
      <c r="G28" s="1210">
        <v>32.479999999999997</v>
      </c>
      <c r="H28" s="79"/>
      <c r="I28" s="85" t="s">
        <v>17</v>
      </c>
      <c r="J28" s="86">
        <f>+E100</f>
        <v>33.646000000000001</v>
      </c>
      <c r="K28" s="86">
        <f>+F100</f>
        <v>33.025999999999996</v>
      </c>
      <c r="L28" s="87">
        <f>+G100</f>
        <v>30.477999999999998</v>
      </c>
    </row>
    <row r="29" spans="1:12" ht="13.5" thickBot="1">
      <c r="A29" s="1212" t="s">
        <v>7</v>
      </c>
      <c r="B29" s="1213">
        <f t="shared" ref="B29:G29" si="3">AVERAGE(B25:B28)</f>
        <v>35.472499999999997</v>
      </c>
      <c r="C29" s="1213">
        <f t="shared" si="3"/>
        <v>34.902500000000003</v>
      </c>
      <c r="D29" s="1213">
        <f t="shared" si="3"/>
        <v>32.515000000000001</v>
      </c>
      <c r="E29" s="1223">
        <f t="shared" si="3"/>
        <v>35.1325</v>
      </c>
      <c r="F29" s="1223">
        <f t="shared" si="3"/>
        <v>34.577500000000001</v>
      </c>
      <c r="G29" s="1223">
        <f t="shared" si="3"/>
        <v>32.232499999999995</v>
      </c>
      <c r="H29" s="79"/>
      <c r="I29" s="85" t="s">
        <v>18</v>
      </c>
      <c r="J29" s="86">
        <f>+E105</f>
        <v>34.003200000000007</v>
      </c>
      <c r="K29" s="86">
        <f>+F105</f>
        <v>33.3872</v>
      </c>
      <c r="L29" s="87">
        <f>+G105</f>
        <v>31.589599999999997</v>
      </c>
    </row>
    <row r="30" spans="1:12" ht="13.5" thickBot="1">
      <c r="A30" s="10">
        <v>45048</v>
      </c>
      <c r="B30" s="1114">
        <v>36.58</v>
      </c>
      <c r="C30" s="1108">
        <v>36.090000000000003</v>
      </c>
      <c r="D30" s="1108">
        <v>34.47</v>
      </c>
      <c r="E30" s="65">
        <v>29.47</v>
      </c>
      <c r="F30" s="1224">
        <v>35.47</v>
      </c>
      <c r="G30" s="1113">
        <v>35.08</v>
      </c>
      <c r="H30" s="79">
        <v>33.46</v>
      </c>
      <c r="I30" s="88">
        <v>28.43</v>
      </c>
      <c r="J30" s="89">
        <f>+E110</f>
        <v>33.110640000000004</v>
      </c>
      <c r="K30" s="89">
        <f>+F110</f>
        <v>32.49344</v>
      </c>
      <c r="L30" s="90">
        <f>+G110</f>
        <v>30.837919999999997</v>
      </c>
    </row>
    <row r="31" spans="1:12">
      <c r="A31" s="1207">
        <v>45054</v>
      </c>
      <c r="B31" s="1208">
        <v>35.83</v>
      </c>
      <c r="C31" s="1209">
        <v>35.31</v>
      </c>
      <c r="D31" s="1209">
        <v>33.79</v>
      </c>
      <c r="E31" s="1225">
        <v>28.67</v>
      </c>
      <c r="F31" s="1211">
        <v>34.770000000000003</v>
      </c>
      <c r="G31" s="1210">
        <v>34.31</v>
      </c>
      <c r="H31" s="79">
        <v>32.799999999999997</v>
      </c>
      <c r="I31">
        <v>27.68</v>
      </c>
    </row>
    <row r="32" spans="1:12">
      <c r="A32" s="10">
        <v>45061</v>
      </c>
      <c r="B32" s="1114">
        <v>35.07</v>
      </c>
      <c r="C32" s="1108">
        <v>34.49</v>
      </c>
      <c r="D32" s="1108">
        <v>32.979999999999997</v>
      </c>
      <c r="E32" s="61">
        <v>28.04</v>
      </c>
      <c r="F32" s="1107">
        <v>33.97</v>
      </c>
      <c r="G32" s="1109">
        <v>33.49</v>
      </c>
      <c r="H32" s="79">
        <v>31.98</v>
      </c>
      <c r="I32">
        <v>27.02</v>
      </c>
    </row>
    <row r="33" spans="1:9">
      <c r="A33" s="1207">
        <v>45068</v>
      </c>
      <c r="B33" s="1208">
        <v>34.81</v>
      </c>
      <c r="C33" s="1209">
        <v>34.32</v>
      </c>
      <c r="D33" s="1209">
        <v>32.96</v>
      </c>
      <c r="E33" s="1225">
        <v>28.04</v>
      </c>
      <c r="F33" s="1211">
        <v>33.78</v>
      </c>
      <c r="G33" s="1210">
        <v>33.35</v>
      </c>
      <c r="H33" s="79">
        <v>31.97</v>
      </c>
      <c r="I33">
        <v>27.01</v>
      </c>
    </row>
    <row r="34" spans="1:9" ht="13.5" thickBot="1">
      <c r="A34" s="10">
        <v>45075</v>
      </c>
      <c r="B34" s="1115">
        <v>34.86</v>
      </c>
      <c r="C34" s="1117">
        <v>34.31</v>
      </c>
      <c r="D34" s="1117">
        <v>32.97</v>
      </c>
      <c r="E34" s="68">
        <v>27.99</v>
      </c>
      <c r="F34" s="1116">
        <v>33.82</v>
      </c>
      <c r="G34" s="1118">
        <v>33.299999999999997</v>
      </c>
      <c r="H34" s="79">
        <v>31.99</v>
      </c>
      <c r="I34">
        <v>27</v>
      </c>
    </row>
    <row r="35" spans="1:9" ht="13.5" thickBot="1">
      <c r="A35" s="1212" t="s">
        <v>7</v>
      </c>
      <c r="B35" s="1213">
        <f t="shared" ref="B35:G35" si="4">AVERAGE(B30:B34)</f>
        <v>35.429999999999993</v>
      </c>
      <c r="C35" s="1213">
        <f t="shared" si="4"/>
        <v>34.904000000000003</v>
      </c>
      <c r="D35" s="1213">
        <f t="shared" si="4"/>
        <v>33.433999999999997</v>
      </c>
      <c r="E35" s="1223">
        <f t="shared" si="4"/>
        <v>28.442</v>
      </c>
      <c r="F35" s="1223">
        <f t="shared" si="4"/>
        <v>34.362000000000002</v>
      </c>
      <c r="G35" s="1223">
        <f t="shared" si="4"/>
        <v>33.905999999999992</v>
      </c>
      <c r="H35" s="79"/>
    </row>
    <row r="36" spans="1:9">
      <c r="A36" s="10">
        <v>40700</v>
      </c>
      <c r="B36" s="1114">
        <v>34.54</v>
      </c>
      <c r="C36" s="1108">
        <v>33.93</v>
      </c>
      <c r="D36" s="1108">
        <v>31</v>
      </c>
      <c r="E36" s="65">
        <v>34</v>
      </c>
      <c r="F36" s="1224">
        <v>33.409999999999997</v>
      </c>
      <c r="G36" s="1113">
        <v>30.52</v>
      </c>
      <c r="H36" s="79"/>
    </row>
    <row r="37" spans="1:9">
      <c r="A37" s="1207">
        <v>40708</v>
      </c>
      <c r="B37" s="1208">
        <v>34.89</v>
      </c>
      <c r="C37" s="1209">
        <v>34.299999999999997</v>
      </c>
      <c r="D37" s="1209">
        <v>31.67</v>
      </c>
      <c r="E37" s="1225">
        <v>34.47</v>
      </c>
      <c r="F37" s="1211">
        <v>33.880000000000003</v>
      </c>
      <c r="G37" s="1210">
        <v>31.36</v>
      </c>
      <c r="H37" s="79"/>
    </row>
    <row r="38" spans="1:9">
      <c r="A38" s="10">
        <v>40715</v>
      </c>
      <c r="B38" s="1114">
        <v>34.96</v>
      </c>
      <c r="C38" s="1108">
        <v>34.39</v>
      </c>
      <c r="D38" s="1108">
        <v>31.67</v>
      </c>
      <c r="E38" s="61">
        <v>34.47</v>
      </c>
      <c r="F38" s="1107">
        <v>33.799999999999997</v>
      </c>
      <c r="G38" s="1109">
        <v>31.28</v>
      </c>
      <c r="H38" s="79"/>
    </row>
    <row r="39" spans="1:9" ht="13.5" thickBot="1">
      <c r="A39" s="1207">
        <v>40721</v>
      </c>
      <c r="B39" s="1208">
        <v>34.65</v>
      </c>
      <c r="C39" s="1209">
        <v>34.07</v>
      </c>
      <c r="D39" s="1209">
        <v>31.19</v>
      </c>
      <c r="E39" s="1225">
        <v>34.119999999999997</v>
      </c>
      <c r="F39" s="1211">
        <v>33.51</v>
      </c>
      <c r="G39" s="1210">
        <v>30.66</v>
      </c>
      <c r="H39" s="79"/>
    </row>
    <row r="40" spans="1:9" ht="13.5" thickBot="1">
      <c r="A40" s="1212" t="s">
        <v>7</v>
      </c>
      <c r="B40" s="1213">
        <f>AVERAGE(B36:B39)</f>
        <v>34.760000000000005</v>
      </c>
      <c r="C40" s="1213">
        <f>AVERAGE(C30:C39)</f>
        <v>34.611399999999996</v>
      </c>
      <c r="D40" s="1213">
        <f>AVERAGE(D30:D39)</f>
        <v>32.613399999999999</v>
      </c>
      <c r="E40" s="1223">
        <f>AVERAGE(E30:E39)</f>
        <v>30.7712</v>
      </c>
      <c r="F40" s="1223">
        <f>AVERAGE(F30:F39)</f>
        <v>34.077199999999998</v>
      </c>
      <c r="G40" s="1223">
        <f>AVERAGE(G30:G39)</f>
        <v>32.7256</v>
      </c>
      <c r="H40" s="79"/>
    </row>
    <row r="41" spans="1:9" ht="13.5" hidden="1" thickBot="1">
      <c r="A41" s="74"/>
      <c r="B41" s="56"/>
      <c r="C41" s="56"/>
      <c r="D41" s="56"/>
      <c r="E41" s="56"/>
      <c r="F41" s="56"/>
      <c r="G41" s="62"/>
      <c r="H41" s="79"/>
    </row>
    <row r="42" spans="1:9" ht="13.5" hidden="1" thickBot="1">
      <c r="A42" s="10"/>
      <c r="B42" s="56"/>
      <c r="C42" s="56"/>
      <c r="D42" s="56"/>
      <c r="E42" s="56"/>
      <c r="F42" s="56"/>
      <c r="G42" s="62"/>
      <c r="H42" s="79"/>
    </row>
    <row r="43" spans="1:9" ht="13.5" hidden="1" thickBot="1">
      <c r="A43" s="10"/>
      <c r="B43" s="56"/>
      <c r="C43" s="56"/>
      <c r="D43" s="56"/>
      <c r="E43" s="56"/>
      <c r="F43" s="56"/>
      <c r="G43" s="62"/>
      <c r="H43" s="79"/>
    </row>
    <row r="44" spans="1:9" ht="13.5" hidden="1" thickBot="1">
      <c r="A44" s="57"/>
      <c r="B44" s="56"/>
      <c r="C44" s="56"/>
      <c r="D44" s="56"/>
      <c r="E44" s="56"/>
      <c r="F44" s="56"/>
      <c r="G44" s="62"/>
      <c r="H44" s="79"/>
    </row>
    <row r="45" spans="1:9" ht="13.5" hidden="1" thickBot="1">
      <c r="A45" s="73" t="s">
        <v>7</v>
      </c>
      <c r="B45" s="18" t="e">
        <f t="shared" ref="B45:G45" si="5">AVERAGE(B41:B44)</f>
        <v>#DIV/0!</v>
      </c>
      <c r="C45" s="19" t="e">
        <f t="shared" si="5"/>
        <v>#DIV/0!</v>
      </c>
      <c r="D45" s="20" t="e">
        <f t="shared" si="5"/>
        <v>#DIV/0!</v>
      </c>
      <c r="E45" s="18" t="e">
        <f t="shared" si="5"/>
        <v>#DIV/0!</v>
      </c>
      <c r="F45" s="19" t="e">
        <f t="shared" si="5"/>
        <v>#DIV/0!</v>
      </c>
      <c r="G45" s="20" t="e">
        <f t="shared" si="5"/>
        <v>#DIV/0!</v>
      </c>
      <c r="H45" s="79"/>
    </row>
    <row r="46" spans="1:9" ht="13.5" hidden="1" thickBot="1">
      <c r="A46" s="10"/>
      <c r="B46" s="61"/>
      <c r="C46" s="56"/>
      <c r="D46" s="62"/>
      <c r="E46" s="61"/>
      <c r="F46" s="56"/>
      <c r="G46" s="62"/>
      <c r="H46" s="79"/>
    </row>
    <row r="47" spans="1:9" ht="13.5" hidden="1" thickBot="1">
      <c r="A47" s="10"/>
      <c r="B47" s="61"/>
      <c r="C47" s="56"/>
      <c r="D47" s="62"/>
      <c r="E47" s="61"/>
      <c r="F47" s="56"/>
      <c r="G47" s="62"/>
      <c r="H47" s="79"/>
    </row>
    <row r="48" spans="1:9" ht="13.5" hidden="1" thickBot="1">
      <c r="A48" s="10"/>
      <c r="B48" s="61"/>
      <c r="C48" s="56"/>
      <c r="D48" s="62"/>
      <c r="E48" s="61"/>
      <c r="F48" s="56"/>
      <c r="G48" s="62"/>
      <c r="H48" s="75"/>
    </row>
    <row r="49" spans="1:8" ht="13.5" hidden="1" thickBot="1">
      <c r="A49" s="10"/>
      <c r="B49" s="61"/>
      <c r="C49" s="56"/>
      <c r="D49" s="62"/>
      <c r="E49" s="61"/>
      <c r="F49" s="56"/>
      <c r="G49" s="62"/>
      <c r="H49" s="79"/>
    </row>
    <row r="50" spans="1:8" ht="13.5" hidden="1" thickBot="1">
      <c r="A50" s="17" t="s">
        <v>7</v>
      </c>
      <c r="B50" s="18" t="e">
        <f t="shared" ref="B50:G50" si="6">AVERAGE(B46:B49)</f>
        <v>#DIV/0!</v>
      </c>
      <c r="C50" s="19" t="e">
        <f t="shared" si="6"/>
        <v>#DIV/0!</v>
      </c>
      <c r="D50" s="20" t="e">
        <f t="shared" si="6"/>
        <v>#DIV/0!</v>
      </c>
      <c r="E50" s="18" t="e">
        <f t="shared" si="6"/>
        <v>#DIV/0!</v>
      </c>
      <c r="F50" s="19" t="e">
        <f t="shared" si="6"/>
        <v>#DIV/0!</v>
      </c>
      <c r="G50" s="20" t="e">
        <f t="shared" si="6"/>
        <v>#DIV/0!</v>
      </c>
      <c r="H50" s="79"/>
    </row>
    <row r="51" spans="1:8" ht="13.5" hidden="1" thickBot="1">
      <c r="A51" s="10"/>
      <c r="B51" s="61"/>
      <c r="C51" s="56"/>
      <c r="D51" s="62"/>
      <c r="E51" s="61"/>
      <c r="F51" s="56"/>
      <c r="G51" s="62"/>
      <c r="H51" s="79"/>
    </row>
    <row r="52" spans="1:8" ht="13.5" hidden="1" thickBot="1">
      <c r="A52" s="10"/>
      <c r="B52" s="61"/>
      <c r="C52" s="56"/>
      <c r="D52" s="62"/>
      <c r="E52" s="61"/>
      <c r="F52" s="56"/>
      <c r="G52" s="62"/>
      <c r="H52" s="79"/>
    </row>
    <row r="53" spans="1:8" ht="13.5" hidden="1" thickBot="1">
      <c r="A53" s="10"/>
      <c r="B53" s="61"/>
      <c r="C53" s="56"/>
      <c r="D53" s="62"/>
      <c r="E53" s="61"/>
      <c r="F53" s="56"/>
      <c r="G53" s="62"/>
      <c r="H53" s="79"/>
    </row>
    <row r="54" spans="1:8" ht="13.5" hidden="1" thickBot="1">
      <c r="A54" s="10"/>
      <c r="B54" s="61"/>
      <c r="C54" s="56"/>
      <c r="D54" s="62"/>
      <c r="E54" s="61"/>
      <c r="F54" s="56"/>
      <c r="G54" s="62"/>
      <c r="H54" s="79"/>
    </row>
    <row r="55" spans="1:8" ht="13.5" hidden="1" thickBot="1">
      <c r="A55" s="10"/>
      <c r="B55" s="61"/>
      <c r="C55" s="56"/>
      <c r="D55" s="62"/>
      <c r="E55" s="61"/>
      <c r="F55" s="56"/>
      <c r="G55" s="62"/>
      <c r="H55" s="79"/>
    </row>
    <row r="56" spans="1:8" ht="13.5" hidden="1" thickBot="1">
      <c r="A56" s="17" t="s">
        <v>7</v>
      </c>
      <c r="B56" s="18" t="e">
        <f t="shared" ref="B56:G56" si="7">AVERAGE(B51:B55)</f>
        <v>#DIV/0!</v>
      </c>
      <c r="C56" s="19" t="e">
        <f t="shared" si="7"/>
        <v>#DIV/0!</v>
      </c>
      <c r="D56" s="20" t="e">
        <f t="shared" si="7"/>
        <v>#DIV/0!</v>
      </c>
      <c r="E56" s="18" t="e">
        <f t="shared" si="7"/>
        <v>#DIV/0!</v>
      </c>
      <c r="F56" s="19" t="e">
        <f t="shared" si="7"/>
        <v>#DIV/0!</v>
      </c>
      <c r="G56" s="20" t="e">
        <f t="shared" si="7"/>
        <v>#DIV/0!</v>
      </c>
      <c r="H56" s="79"/>
    </row>
    <row r="57" spans="1:8" ht="13.5" hidden="1" thickBot="1">
      <c r="A57" s="102"/>
      <c r="B57" s="61"/>
      <c r="C57" s="56"/>
      <c r="D57" s="62"/>
      <c r="E57" s="61"/>
      <c r="F57" s="56"/>
      <c r="G57" s="62"/>
      <c r="H57" s="63"/>
    </row>
    <row r="58" spans="1:8" ht="13.5" hidden="1" thickBot="1">
      <c r="A58" s="102"/>
      <c r="B58" s="61"/>
      <c r="C58" s="56"/>
      <c r="D58" s="62"/>
      <c r="E58" s="61"/>
      <c r="F58" s="56"/>
      <c r="G58" s="62"/>
      <c r="H58" s="63"/>
    </row>
    <row r="59" spans="1:8" ht="13.5" hidden="1" thickBot="1">
      <c r="A59" s="102"/>
      <c r="B59" s="61"/>
      <c r="C59" s="56"/>
      <c r="D59" s="62"/>
      <c r="E59" s="61"/>
      <c r="F59" s="56"/>
      <c r="G59" s="62"/>
      <c r="H59" s="63"/>
    </row>
    <row r="60" spans="1:8" ht="13.5" hidden="1" thickBot="1">
      <c r="A60" s="102"/>
      <c r="B60" s="61"/>
      <c r="C60" s="56"/>
      <c r="D60" s="62"/>
      <c r="E60" s="61"/>
      <c r="F60" s="56"/>
      <c r="G60" s="62"/>
      <c r="H60" s="63"/>
    </row>
    <row r="61" spans="1:8" ht="13.5" hidden="1" thickBot="1">
      <c r="A61" s="17" t="s">
        <v>7</v>
      </c>
      <c r="B61" s="18" t="e">
        <f t="shared" ref="B61:G61" si="8">AVERAGE(B57:B60)</f>
        <v>#DIV/0!</v>
      </c>
      <c r="C61" s="19" t="e">
        <f t="shared" si="8"/>
        <v>#DIV/0!</v>
      </c>
      <c r="D61" s="20" t="e">
        <f t="shared" si="8"/>
        <v>#DIV/0!</v>
      </c>
      <c r="E61" s="18" t="e">
        <f t="shared" si="8"/>
        <v>#DIV/0!</v>
      </c>
      <c r="F61" s="19" t="e">
        <f t="shared" si="8"/>
        <v>#DIV/0!</v>
      </c>
      <c r="G61" s="20" t="e">
        <f t="shared" si="8"/>
        <v>#DIV/0!</v>
      </c>
      <c r="H61" s="63"/>
    </row>
    <row r="62" spans="1:8" ht="13.5" hidden="1" thickBot="1">
      <c r="A62" s="102"/>
      <c r="B62" s="61"/>
      <c r="C62" s="56"/>
      <c r="D62" s="62"/>
      <c r="E62" s="61"/>
      <c r="F62" s="56"/>
      <c r="G62" s="62"/>
      <c r="H62" s="63"/>
    </row>
    <row r="63" spans="1:8" ht="13.5" hidden="1" thickBot="1">
      <c r="A63" s="102"/>
      <c r="B63" s="61"/>
      <c r="C63" s="56"/>
      <c r="D63" s="62"/>
      <c r="E63" s="61"/>
      <c r="F63" s="56"/>
      <c r="G63" s="62"/>
      <c r="H63" s="63"/>
    </row>
    <row r="64" spans="1:8" ht="13.5" hidden="1" thickBot="1">
      <c r="A64" s="102"/>
      <c r="B64" s="61"/>
      <c r="C64" s="56"/>
      <c r="D64" s="62"/>
      <c r="E64" s="61"/>
      <c r="F64" s="56"/>
      <c r="G64" s="62"/>
      <c r="H64" s="63"/>
    </row>
    <row r="65" spans="1:8" ht="13.5" hidden="1" thickBot="1">
      <c r="A65" s="102"/>
      <c r="B65" s="61"/>
      <c r="C65" s="56"/>
      <c r="D65" s="62"/>
      <c r="E65" s="61"/>
      <c r="F65" s="56"/>
      <c r="G65" s="62"/>
      <c r="H65" s="63"/>
    </row>
    <row r="66" spans="1:8" ht="13.5" hidden="1" thickBot="1">
      <c r="A66" s="17" t="s">
        <v>7</v>
      </c>
      <c r="B66" s="18" t="e">
        <f t="shared" ref="B66:G66" si="9">AVERAGE(B62:B65)</f>
        <v>#DIV/0!</v>
      </c>
      <c r="C66" s="19" t="e">
        <f t="shared" si="9"/>
        <v>#DIV/0!</v>
      </c>
      <c r="D66" s="20" t="e">
        <f t="shared" si="9"/>
        <v>#DIV/0!</v>
      </c>
      <c r="E66" s="18" t="e">
        <f t="shared" si="9"/>
        <v>#DIV/0!</v>
      </c>
      <c r="F66" s="19" t="e">
        <f t="shared" si="9"/>
        <v>#DIV/0!</v>
      </c>
      <c r="G66" s="20" t="e">
        <f t="shared" si="9"/>
        <v>#DIV/0!</v>
      </c>
      <c r="H66" s="63"/>
    </row>
    <row r="67" spans="1:8" ht="13.5" hidden="1" thickBot="1">
      <c r="A67" s="102"/>
      <c r="B67" s="61"/>
      <c r="C67" s="56"/>
      <c r="D67" s="62"/>
      <c r="E67" s="65"/>
      <c r="F67" s="66"/>
      <c r="G67" s="67"/>
      <c r="H67" s="63"/>
    </row>
    <row r="68" spans="1:8" ht="13.5" hidden="1" thickBot="1">
      <c r="A68" s="102"/>
      <c r="B68" s="61"/>
      <c r="C68" s="56"/>
      <c r="D68" s="62"/>
      <c r="E68" s="61"/>
      <c r="F68" s="56"/>
      <c r="G68" s="62"/>
      <c r="H68" s="63"/>
    </row>
    <row r="69" spans="1:8" ht="13.5" hidden="1" thickBot="1">
      <c r="A69" s="102"/>
      <c r="B69" s="61"/>
      <c r="C69" s="56"/>
      <c r="D69" s="62"/>
      <c r="E69" s="61"/>
      <c r="F69" s="56"/>
      <c r="G69" s="62"/>
      <c r="H69" s="63"/>
    </row>
    <row r="70" spans="1:8" ht="13.5" hidden="1" thickBot="1">
      <c r="A70" s="102"/>
      <c r="B70" s="61"/>
      <c r="C70" s="56"/>
      <c r="D70" s="62"/>
      <c r="E70" s="61"/>
      <c r="F70" s="56"/>
      <c r="G70" s="62"/>
      <c r="H70" s="63"/>
    </row>
    <row r="71" spans="1:8" ht="13.5" hidden="1" thickBot="1">
      <c r="A71" s="102"/>
      <c r="B71" s="61"/>
      <c r="C71" s="56"/>
      <c r="D71" s="62"/>
      <c r="E71" s="68"/>
      <c r="F71" s="69"/>
      <c r="G71" s="70"/>
      <c r="H71" s="63"/>
    </row>
    <row r="72" spans="1:8" ht="13.5" hidden="1" thickBot="1">
      <c r="A72" s="17" t="s">
        <v>7</v>
      </c>
      <c r="B72" s="18" t="e">
        <f t="shared" ref="B72:G72" si="10">AVERAGE(B67:B71)</f>
        <v>#DIV/0!</v>
      </c>
      <c r="C72" s="19" t="e">
        <f t="shared" si="10"/>
        <v>#DIV/0!</v>
      </c>
      <c r="D72" s="20" t="e">
        <f t="shared" si="10"/>
        <v>#DIV/0!</v>
      </c>
      <c r="E72" s="18" t="e">
        <f t="shared" si="10"/>
        <v>#DIV/0!</v>
      </c>
      <c r="F72" s="19" t="e">
        <f t="shared" si="10"/>
        <v>#DIV/0!</v>
      </c>
      <c r="G72" s="20" t="e">
        <f t="shared" si="10"/>
        <v>#DIV/0!</v>
      </c>
      <c r="H72" s="63"/>
    </row>
    <row r="73" spans="1:8" ht="13.5" hidden="1" thickBot="1">
      <c r="A73" s="102"/>
      <c r="B73" s="61"/>
      <c r="C73" s="56"/>
      <c r="D73" s="62"/>
      <c r="E73" s="65"/>
      <c r="F73" s="66"/>
      <c r="G73" s="67"/>
      <c r="H73" s="63"/>
    </row>
    <row r="74" spans="1:8" ht="13.5" hidden="1" thickBot="1">
      <c r="A74" s="102"/>
      <c r="B74" s="61"/>
      <c r="C74" s="56"/>
      <c r="D74" s="62"/>
      <c r="E74" s="61"/>
      <c r="F74" s="56"/>
      <c r="G74" s="62"/>
      <c r="H74" s="63"/>
    </row>
    <row r="75" spans="1:8" ht="13.5" hidden="1" thickBot="1">
      <c r="A75" s="102"/>
      <c r="B75" s="61"/>
      <c r="C75" s="56"/>
      <c r="D75" s="62"/>
      <c r="E75" s="61"/>
      <c r="F75" s="56"/>
      <c r="G75" s="62"/>
      <c r="H75" s="63"/>
    </row>
    <row r="76" spans="1:8" ht="13.5" hidden="1" thickBot="1">
      <c r="A76" s="102"/>
      <c r="B76" s="61"/>
      <c r="C76" s="56"/>
      <c r="D76" s="62"/>
      <c r="E76" s="68"/>
      <c r="F76" s="69"/>
      <c r="G76" s="70"/>
      <c r="H76" s="63"/>
    </row>
    <row r="77" spans="1:8" ht="13.5" hidden="1" thickBot="1">
      <c r="A77" s="17" t="s">
        <v>7</v>
      </c>
      <c r="B77" s="18" t="e">
        <f t="shared" ref="B77:G77" si="11">AVERAGE(B73:B76)</f>
        <v>#DIV/0!</v>
      </c>
      <c r="C77" s="19" t="e">
        <f t="shared" si="11"/>
        <v>#DIV/0!</v>
      </c>
      <c r="D77" s="20" t="e">
        <f t="shared" si="11"/>
        <v>#DIV/0!</v>
      </c>
      <c r="E77" s="18" t="e">
        <f t="shared" si="11"/>
        <v>#DIV/0!</v>
      </c>
      <c r="F77" s="19" t="e">
        <f t="shared" si="11"/>
        <v>#DIV/0!</v>
      </c>
      <c r="G77" s="20" t="e">
        <f t="shared" si="11"/>
        <v>#DIV/0!</v>
      </c>
      <c r="H77" s="63"/>
    </row>
    <row r="78" spans="1:8" ht="13.5" hidden="1" thickBot="1">
      <c r="A78" s="76"/>
      <c r="B78" s="48"/>
      <c r="C78" s="49"/>
      <c r="D78" s="50"/>
      <c r="E78" s="48"/>
      <c r="F78" s="49"/>
      <c r="G78" s="77"/>
      <c r="H78" s="63"/>
    </row>
    <row r="79" spans="1:8">
      <c r="A79" s="10">
        <v>40728</v>
      </c>
      <c r="B79" s="1114">
        <v>34.46</v>
      </c>
      <c r="C79" s="1108">
        <v>33.89</v>
      </c>
      <c r="D79" s="1108">
        <v>30.989000000000001</v>
      </c>
      <c r="E79" s="65">
        <v>33.950000000000003</v>
      </c>
      <c r="F79" s="1224">
        <v>33.380000000000003</v>
      </c>
      <c r="G79" s="1113">
        <v>30.51</v>
      </c>
      <c r="H79" s="63"/>
    </row>
    <row r="80" spans="1:8">
      <c r="A80" s="1207">
        <v>40735</v>
      </c>
      <c r="B80" s="1208">
        <v>34.46</v>
      </c>
      <c r="C80" s="1209">
        <v>33.89</v>
      </c>
      <c r="D80" s="1209">
        <v>30.98</v>
      </c>
      <c r="E80" s="1225">
        <v>33.950000000000003</v>
      </c>
      <c r="F80" s="1211">
        <v>33.380000000000003</v>
      </c>
      <c r="G80" s="1210">
        <v>30.51</v>
      </c>
      <c r="H80" s="63"/>
    </row>
    <row r="81" spans="1:8">
      <c r="A81" s="10">
        <v>40742</v>
      </c>
      <c r="B81" s="1114">
        <v>34.83</v>
      </c>
      <c r="C81" s="1108">
        <v>34.25</v>
      </c>
      <c r="D81" s="1108">
        <v>31.35</v>
      </c>
      <c r="E81" s="61">
        <v>34.51</v>
      </c>
      <c r="F81" s="1107">
        <v>33.89</v>
      </c>
      <c r="G81" s="1109">
        <v>31.05</v>
      </c>
      <c r="H81" s="63"/>
    </row>
    <row r="82" spans="1:8" ht="13.5" thickBot="1">
      <c r="A82" s="1207">
        <v>40750</v>
      </c>
      <c r="B82" s="1208">
        <v>36.03</v>
      </c>
      <c r="C82" s="1209">
        <v>35.46</v>
      </c>
      <c r="D82" s="1209">
        <v>32.53</v>
      </c>
      <c r="E82" s="1225">
        <v>35.799999999999997</v>
      </c>
      <c r="F82" s="1211">
        <v>35.200000000000003</v>
      </c>
      <c r="G82" s="1210">
        <v>32.270000000000003</v>
      </c>
      <c r="H82" s="63"/>
    </row>
    <row r="83" spans="1:8" ht="13.5" thickBot="1">
      <c r="A83" s="1212" t="s">
        <v>7</v>
      </c>
      <c r="B83" s="1213">
        <f t="shared" ref="B83:G83" si="12">AVERAGE(B79:B82)</f>
        <v>34.945</v>
      </c>
      <c r="C83" s="1213">
        <f t="shared" si="12"/>
        <v>34.372500000000002</v>
      </c>
      <c r="D83" s="1213">
        <f t="shared" si="12"/>
        <v>31.462250000000001</v>
      </c>
      <c r="E83" s="1223">
        <f t="shared" si="12"/>
        <v>34.552499999999995</v>
      </c>
      <c r="F83" s="1223">
        <f t="shared" si="12"/>
        <v>33.962500000000006</v>
      </c>
      <c r="G83" s="1223">
        <f t="shared" si="12"/>
        <v>31.085000000000001</v>
      </c>
      <c r="H83" s="63"/>
    </row>
    <row r="84" spans="1:8">
      <c r="A84" s="10">
        <v>40756</v>
      </c>
      <c r="B84" s="1114">
        <v>36.01</v>
      </c>
      <c r="C84" s="1108">
        <v>35.44</v>
      </c>
      <c r="D84" s="1108">
        <v>32.47</v>
      </c>
      <c r="E84" s="65">
        <v>35.549999999999997</v>
      </c>
      <c r="F84" s="1224">
        <v>34.96</v>
      </c>
      <c r="G84" s="1113">
        <v>32.119999999999997</v>
      </c>
      <c r="H84" s="63"/>
    </row>
    <row r="85" spans="1:8">
      <c r="A85" s="1207">
        <v>40763</v>
      </c>
      <c r="B85" s="1208">
        <v>35.57</v>
      </c>
      <c r="C85" s="1209">
        <v>34.99</v>
      </c>
      <c r="D85" s="1209">
        <v>32.090000000000003</v>
      </c>
      <c r="E85" s="1225">
        <v>35.07</v>
      </c>
      <c r="F85" s="1211">
        <v>34.5</v>
      </c>
      <c r="G85" s="1210">
        <v>31.6</v>
      </c>
      <c r="H85" s="63"/>
    </row>
    <row r="86" spans="1:8">
      <c r="A86" s="10">
        <v>40771</v>
      </c>
      <c r="B86" s="1114">
        <v>35.049999999999997</v>
      </c>
      <c r="C86" s="1108">
        <v>34.479999999999997</v>
      </c>
      <c r="D86" s="1108">
        <v>31.52</v>
      </c>
      <c r="E86" s="61">
        <v>34.5</v>
      </c>
      <c r="F86" s="1107">
        <v>33.9</v>
      </c>
      <c r="G86" s="1109">
        <v>31</v>
      </c>
      <c r="H86" s="63"/>
    </row>
    <row r="87" spans="1:8">
      <c r="A87" s="1207">
        <v>40777</v>
      </c>
      <c r="B87" s="1208">
        <v>34.75</v>
      </c>
      <c r="C87" s="1209">
        <v>34.15</v>
      </c>
      <c r="D87" s="1209">
        <v>31.210999999999999</v>
      </c>
      <c r="E87" s="1225">
        <v>34.75</v>
      </c>
      <c r="F87" s="1211">
        <v>34.15</v>
      </c>
      <c r="G87" s="1210">
        <v>31.21</v>
      </c>
      <c r="H87" s="63"/>
    </row>
    <row r="88" spans="1:8" ht="13.5" thickBot="1">
      <c r="A88" s="10">
        <v>40784</v>
      </c>
      <c r="B88" s="1115">
        <v>34.31</v>
      </c>
      <c r="C88" s="1117">
        <v>33.74</v>
      </c>
      <c r="D88" s="1117">
        <v>30.73</v>
      </c>
      <c r="E88" s="68">
        <v>33.76</v>
      </c>
      <c r="F88" s="1116">
        <v>33.17</v>
      </c>
      <c r="G88" s="1118">
        <v>30.26</v>
      </c>
      <c r="H88" s="63"/>
    </row>
    <row r="89" spans="1:8" ht="13.5" thickBot="1">
      <c r="A89" s="1212" t="s">
        <v>7</v>
      </c>
      <c r="B89" s="1213">
        <f t="shared" ref="B89:G89" si="13">AVERAGE(B84:B88)</f>
        <v>35.137999999999998</v>
      </c>
      <c r="C89" s="1213">
        <f t="shared" si="13"/>
        <v>34.56</v>
      </c>
      <c r="D89" s="1213">
        <f t="shared" si="13"/>
        <v>31.604199999999999</v>
      </c>
      <c r="E89" s="1223">
        <f t="shared" si="13"/>
        <v>34.725999999999999</v>
      </c>
      <c r="F89" s="1223">
        <f t="shared" si="13"/>
        <v>34.136000000000003</v>
      </c>
      <c r="G89" s="1223">
        <f t="shared" si="13"/>
        <v>31.238</v>
      </c>
      <c r="H89" s="63"/>
    </row>
    <row r="90" spans="1:8">
      <c r="A90" s="10">
        <v>40791</v>
      </c>
      <c r="B90" s="1114">
        <v>34.520000000000003</v>
      </c>
      <c r="C90" s="1108">
        <v>33.93</v>
      </c>
      <c r="D90" s="1108">
        <v>30.95</v>
      </c>
      <c r="E90" s="65">
        <v>34.020000000000003</v>
      </c>
      <c r="F90" s="1224">
        <v>33.4</v>
      </c>
      <c r="G90" s="1113">
        <v>30.53</v>
      </c>
      <c r="H90" s="63"/>
    </row>
    <row r="91" spans="1:8">
      <c r="A91" s="1207">
        <v>40799</v>
      </c>
      <c r="B91" s="1208">
        <v>34.979999999999997</v>
      </c>
      <c r="C91" s="1209">
        <v>34.36</v>
      </c>
      <c r="D91" s="1209">
        <v>31.41</v>
      </c>
      <c r="E91" s="1225">
        <v>34.49</v>
      </c>
      <c r="F91" s="1211">
        <v>33.89</v>
      </c>
      <c r="G91" s="1210">
        <v>30.96</v>
      </c>
      <c r="H91" s="63"/>
    </row>
    <row r="92" spans="1:8">
      <c r="A92" s="10">
        <v>40805</v>
      </c>
      <c r="B92" s="1114">
        <v>34.94</v>
      </c>
      <c r="C92" s="1108">
        <v>34.369999999999997</v>
      </c>
      <c r="D92" s="1108">
        <v>31.36</v>
      </c>
      <c r="E92" s="61">
        <v>34.450000000000003</v>
      </c>
      <c r="F92" s="1107">
        <v>33.869999999999997</v>
      </c>
      <c r="G92" s="1109">
        <v>30.94</v>
      </c>
      <c r="H92" s="63"/>
    </row>
    <row r="93" spans="1:8" ht="13.5" thickBot="1">
      <c r="A93" s="1207">
        <v>40812</v>
      </c>
      <c r="B93" s="1208">
        <v>34.53</v>
      </c>
      <c r="C93" s="1209">
        <v>33.93</v>
      </c>
      <c r="D93" s="1209">
        <v>30.96</v>
      </c>
      <c r="E93" s="1225">
        <v>34.01</v>
      </c>
      <c r="F93" s="1211">
        <v>33.409999999999997</v>
      </c>
      <c r="G93" s="1210">
        <v>30.53</v>
      </c>
      <c r="H93" s="63"/>
    </row>
    <row r="94" spans="1:8" ht="13.5" thickBot="1">
      <c r="A94" s="1212" t="s">
        <v>7</v>
      </c>
      <c r="B94" s="1213">
        <f t="shared" ref="B94:G94" si="14">AVERAGE(B90:B93)</f>
        <v>34.7425</v>
      </c>
      <c r="C94" s="1213">
        <f t="shared" si="14"/>
        <v>34.147500000000001</v>
      </c>
      <c r="D94" s="1213">
        <f t="shared" si="14"/>
        <v>31.17</v>
      </c>
      <c r="E94" s="1223">
        <f t="shared" si="14"/>
        <v>34.2425</v>
      </c>
      <c r="F94" s="1223">
        <f t="shared" si="14"/>
        <v>33.642499999999998</v>
      </c>
      <c r="G94" s="1223">
        <f t="shared" si="14"/>
        <v>30.740000000000002</v>
      </c>
      <c r="H94" s="63"/>
    </row>
    <row r="95" spans="1:8" s="79" customFormat="1">
      <c r="A95" s="10">
        <v>40819</v>
      </c>
      <c r="B95" s="1114">
        <v>34.1</v>
      </c>
      <c r="C95" s="1108">
        <v>33.47</v>
      </c>
      <c r="D95" s="1108">
        <v>30.54</v>
      </c>
      <c r="E95" s="65">
        <v>33.549999999999997</v>
      </c>
      <c r="F95" s="1224">
        <v>32.909999999999997</v>
      </c>
      <c r="G95" s="1113">
        <v>30.11</v>
      </c>
    </row>
    <row r="96" spans="1:8" s="79" customFormat="1">
      <c r="A96" s="1207">
        <v>40826</v>
      </c>
      <c r="B96" s="1208">
        <v>33.53</v>
      </c>
      <c r="C96" s="1209">
        <v>32.909999999999997</v>
      </c>
      <c r="D96" s="1209">
        <v>29.96</v>
      </c>
      <c r="E96" s="1225">
        <v>33.049999999999997</v>
      </c>
      <c r="F96" s="1211">
        <v>32.44</v>
      </c>
      <c r="G96" s="1210">
        <v>29.54</v>
      </c>
    </row>
    <row r="97" spans="1:7" s="79" customFormat="1">
      <c r="A97" s="10">
        <v>40833</v>
      </c>
      <c r="B97" s="1114">
        <v>34.22</v>
      </c>
      <c r="C97" s="1108">
        <v>33.590000000000003</v>
      </c>
      <c r="D97" s="1108">
        <v>30.69</v>
      </c>
      <c r="E97" s="61">
        <v>33.799999999999997</v>
      </c>
      <c r="F97" s="1107">
        <v>33.19</v>
      </c>
      <c r="G97" s="1109">
        <v>30.33</v>
      </c>
    </row>
    <row r="98" spans="1:7" s="79" customFormat="1">
      <c r="A98" s="1207">
        <v>40840</v>
      </c>
      <c r="B98" s="1208">
        <v>34.36</v>
      </c>
      <c r="C98" s="1209">
        <v>33.69</v>
      </c>
      <c r="D98" s="1209">
        <v>31.26</v>
      </c>
      <c r="E98" s="1225">
        <v>33.96</v>
      </c>
      <c r="F98" s="1211">
        <v>33.32</v>
      </c>
      <c r="G98" s="1210">
        <v>31.02</v>
      </c>
    </row>
    <row r="99" spans="1:7" s="79" customFormat="1" ht="13.5" thickBot="1">
      <c r="A99" s="10">
        <v>40847</v>
      </c>
      <c r="B99" s="1115">
        <v>34.36</v>
      </c>
      <c r="C99" s="1117">
        <v>33.700000000000003</v>
      </c>
      <c r="D99" s="1117">
        <v>31.73</v>
      </c>
      <c r="E99" s="68">
        <v>33.869999999999997</v>
      </c>
      <c r="F99" s="1116">
        <v>33.270000000000003</v>
      </c>
      <c r="G99" s="1118">
        <v>31.39</v>
      </c>
    </row>
    <row r="100" spans="1:7" s="79" customFormat="1" ht="13.5" thickBot="1">
      <c r="A100" s="1212" t="s">
        <v>7</v>
      </c>
      <c r="B100" s="1213">
        <f t="shared" ref="B100:G100" si="15">AVERAGE(B95:B99)</f>
        <v>34.113999999999997</v>
      </c>
      <c r="C100" s="1213">
        <f t="shared" si="15"/>
        <v>33.472000000000001</v>
      </c>
      <c r="D100" s="1213">
        <f t="shared" si="15"/>
        <v>30.836000000000002</v>
      </c>
      <c r="E100" s="1223">
        <f t="shared" si="15"/>
        <v>33.646000000000001</v>
      </c>
      <c r="F100" s="1223">
        <f t="shared" si="15"/>
        <v>33.025999999999996</v>
      </c>
      <c r="G100" s="1223">
        <f t="shared" si="15"/>
        <v>30.477999999999998</v>
      </c>
    </row>
    <row r="101" spans="1:7" s="79" customFormat="1">
      <c r="A101" s="10">
        <v>40855</v>
      </c>
      <c r="B101" s="1114">
        <v>34.369999999999997</v>
      </c>
      <c r="C101" s="1108">
        <v>33.74</v>
      </c>
      <c r="D101" s="1108">
        <v>31.8</v>
      </c>
      <c r="E101" s="65">
        <v>33.869999999999997</v>
      </c>
      <c r="F101" s="1224">
        <v>33.26</v>
      </c>
      <c r="G101" s="1113">
        <v>31.39</v>
      </c>
    </row>
    <row r="102" spans="1:7" s="79" customFormat="1">
      <c r="A102" s="1207">
        <v>40861</v>
      </c>
      <c r="B102" s="1208">
        <v>34.67</v>
      </c>
      <c r="C102" s="1209">
        <v>34.020000000000003</v>
      </c>
      <c r="D102" s="1209">
        <v>32.28</v>
      </c>
      <c r="E102" s="1225">
        <v>34.270000000000003</v>
      </c>
      <c r="F102" s="1211">
        <v>33.64</v>
      </c>
      <c r="G102" s="1210">
        <v>32.07</v>
      </c>
    </row>
    <row r="103" spans="1:7" s="79" customFormat="1">
      <c r="A103" s="10">
        <v>40868</v>
      </c>
      <c r="B103" s="1114">
        <v>34.75</v>
      </c>
      <c r="C103" s="1108">
        <v>34.119999999999997</v>
      </c>
      <c r="D103" s="1108">
        <v>32.69</v>
      </c>
      <c r="E103" s="61">
        <v>34.270000000000003</v>
      </c>
      <c r="F103" s="1107">
        <v>33.64</v>
      </c>
      <c r="G103" s="1109">
        <v>32.369999999999997</v>
      </c>
    </row>
    <row r="104" spans="1:7" s="79" customFormat="1" ht="13.5" thickBot="1">
      <c r="A104" s="1207">
        <v>40875</v>
      </c>
      <c r="B104" s="1208">
        <v>34.43</v>
      </c>
      <c r="C104" s="1209">
        <v>33.840000000000003</v>
      </c>
      <c r="D104" s="1209">
        <v>32.1</v>
      </c>
      <c r="E104" s="1225">
        <v>33.96</v>
      </c>
      <c r="F104" s="1211">
        <v>33.369999999999997</v>
      </c>
      <c r="G104" s="1210">
        <v>31.64</v>
      </c>
    </row>
    <row r="105" spans="1:7" s="79" customFormat="1" ht="13.5" thickBot="1">
      <c r="A105" s="1212" t="s">
        <v>7</v>
      </c>
      <c r="B105" s="1213">
        <f>AVERAGE(B101:B104)</f>
        <v>34.555</v>
      </c>
      <c r="C105" s="1213">
        <f>AVERAGE(C101:C104)</f>
        <v>33.93</v>
      </c>
      <c r="D105" s="1213">
        <f>AVERAGE(D100:D104)</f>
        <v>31.941199999999998</v>
      </c>
      <c r="E105" s="1223">
        <f>AVERAGE(E100:E104)</f>
        <v>34.003200000000007</v>
      </c>
      <c r="F105" s="1223">
        <f>AVERAGE(F100:F104)</f>
        <v>33.3872</v>
      </c>
      <c r="G105" s="1223">
        <f>AVERAGE(G100:G104)</f>
        <v>31.589599999999997</v>
      </c>
    </row>
    <row r="106" spans="1:7" s="79" customFormat="1">
      <c r="A106" s="10">
        <v>40882</v>
      </c>
      <c r="B106" s="1114">
        <v>34.07</v>
      </c>
      <c r="C106" s="1108">
        <v>33.47</v>
      </c>
      <c r="D106" s="1108">
        <v>31.29</v>
      </c>
      <c r="E106" s="65">
        <v>33.630000000000003</v>
      </c>
      <c r="F106" s="1224">
        <v>33.03</v>
      </c>
      <c r="G106" s="1113">
        <v>31.48</v>
      </c>
    </row>
    <row r="107" spans="1:7" s="79" customFormat="1">
      <c r="A107" s="1207">
        <v>40889</v>
      </c>
      <c r="B107" s="1208">
        <v>33.56</v>
      </c>
      <c r="C107" s="1209">
        <v>32.94</v>
      </c>
      <c r="D107" s="1209">
        <v>31.1</v>
      </c>
      <c r="E107" s="1225">
        <v>33.1</v>
      </c>
      <c r="F107" s="1211">
        <v>32.47</v>
      </c>
      <c r="G107" s="1210">
        <v>30.66</v>
      </c>
    </row>
    <row r="108" spans="1:7" s="79" customFormat="1">
      <c r="A108" s="10">
        <v>40896</v>
      </c>
      <c r="B108" s="1114">
        <v>33.56</v>
      </c>
      <c r="C108" s="1108">
        <v>32.94</v>
      </c>
      <c r="D108" s="1108">
        <v>31.1</v>
      </c>
      <c r="E108" s="61">
        <v>33.1</v>
      </c>
      <c r="F108" s="1107">
        <v>32.47</v>
      </c>
      <c r="G108" s="1109">
        <v>30.66</v>
      </c>
    </row>
    <row r="109" spans="1:7" s="79" customFormat="1" ht="13.5" thickBot="1">
      <c r="A109" s="1207">
        <v>40904</v>
      </c>
      <c r="B109" s="1208">
        <v>32.299999999999997</v>
      </c>
      <c r="C109" s="1209">
        <v>31.68</v>
      </c>
      <c r="D109" s="1209">
        <v>30.24</v>
      </c>
      <c r="E109" s="1225">
        <v>31.72</v>
      </c>
      <c r="F109" s="1211">
        <v>31.11</v>
      </c>
      <c r="G109" s="1210">
        <v>29.8</v>
      </c>
    </row>
    <row r="110" spans="1:7" s="79" customFormat="1" ht="13.5" thickBot="1">
      <c r="A110" s="1212" t="s">
        <v>7</v>
      </c>
      <c r="B110" s="1213">
        <f>AVERAGE(B106:B109)</f>
        <v>33.372500000000002</v>
      </c>
      <c r="C110" s="1213">
        <f>AVERAGE(C106:C109)</f>
        <v>32.7575</v>
      </c>
      <c r="D110" s="1213">
        <f>AVERAGE(D105:D109)</f>
        <v>31.134239999999998</v>
      </c>
      <c r="E110" s="1223">
        <f>AVERAGE(E105:E109)</f>
        <v>33.110640000000004</v>
      </c>
      <c r="F110" s="1223">
        <f>AVERAGE(F105:F109)</f>
        <v>32.49344</v>
      </c>
      <c r="G110" s="1223">
        <f>AVERAGE(G105:G109)</f>
        <v>30.837919999999997</v>
      </c>
    </row>
    <row r="111" spans="1:7">
      <c r="A111" s="63"/>
      <c r="B111" s="63"/>
      <c r="C111" s="63"/>
      <c r="D111" s="63"/>
      <c r="E111" s="63"/>
      <c r="F111" s="63"/>
      <c r="G111" s="63"/>
    </row>
    <row r="112" spans="1:7">
      <c r="A112" s="63"/>
      <c r="B112" s="63"/>
      <c r="C112" s="63"/>
      <c r="D112" s="63"/>
      <c r="E112" s="63"/>
      <c r="F112" s="63"/>
      <c r="G112" s="63"/>
    </row>
    <row r="113" spans="1:7">
      <c r="A113" s="63"/>
      <c r="B113" s="63"/>
      <c r="C113" s="63"/>
      <c r="D113" s="63"/>
      <c r="E113" s="63"/>
      <c r="F113" s="63"/>
      <c r="G113" s="63"/>
    </row>
    <row r="114" spans="1:7">
      <c r="A114" s="63"/>
      <c r="B114" s="63"/>
      <c r="C114" s="63"/>
      <c r="D114" s="63"/>
      <c r="E114" s="63"/>
      <c r="F114" s="63"/>
      <c r="G114" s="63"/>
    </row>
    <row r="115" spans="1:7">
      <c r="A115" s="63"/>
      <c r="B115" s="63"/>
      <c r="C115" s="63"/>
      <c r="D115" s="63"/>
      <c r="E115" s="63"/>
      <c r="F115" s="63"/>
      <c r="G115" s="63"/>
    </row>
    <row r="116" spans="1:7">
      <c r="A116" s="63"/>
      <c r="B116" s="63"/>
      <c r="C116" s="63"/>
      <c r="D116" s="63"/>
      <c r="E116" s="63"/>
      <c r="F116" s="63"/>
      <c r="G116" s="63"/>
    </row>
    <row r="117" spans="1:7">
      <c r="A117" s="63"/>
      <c r="B117" s="63"/>
      <c r="C117" s="63"/>
      <c r="D117" s="63"/>
      <c r="E117" s="63"/>
      <c r="F117" s="63"/>
      <c r="G117" s="63"/>
    </row>
    <row r="118" spans="1:7">
      <c r="A118" s="63"/>
      <c r="B118" s="63"/>
      <c r="C118" s="63"/>
      <c r="D118" s="63"/>
      <c r="E118" s="63"/>
      <c r="F118" s="63"/>
      <c r="G118" s="63"/>
    </row>
    <row r="119" spans="1:7">
      <c r="A119" s="63"/>
      <c r="B119" s="63"/>
      <c r="C119" s="63"/>
      <c r="D119" s="63"/>
      <c r="E119" s="63"/>
      <c r="F119" s="63"/>
      <c r="G119" s="63"/>
    </row>
    <row r="120" spans="1:7">
      <c r="A120" s="63"/>
      <c r="B120" s="63"/>
      <c r="C120" s="63"/>
      <c r="D120" s="63"/>
      <c r="E120" s="63"/>
      <c r="F120" s="63"/>
      <c r="G120" s="63"/>
    </row>
    <row r="121" spans="1:7">
      <c r="A121" s="63"/>
      <c r="B121" s="63"/>
      <c r="C121" s="63"/>
      <c r="D121" s="63"/>
      <c r="E121" s="63"/>
      <c r="F121" s="63"/>
      <c r="G121" s="63"/>
    </row>
  </sheetData>
  <mergeCells count="9">
    <mergeCell ref="A1:G1"/>
    <mergeCell ref="I15:L15"/>
    <mergeCell ref="I16:L16"/>
    <mergeCell ref="A2:G2"/>
    <mergeCell ref="A3:G3"/>
    <mergeCell ref="A4:G4"/>
    <mergeCell ref="B7:D7"/>
    <mergeCell ref="E7:G7"/>
    <mergeCell ref="A5:G5"/>
  </mergeCells>
  <phoneticPr fontId="5" type="noConversion"/>
  <pageMargins left="1.56" right="0.75" top="0.56999999999999995" bottom="0.62" header="0" footer="0"/>
  <pageSetup paperSize="5" scale="92" orientation="portrait" horizontalDpi="4294967295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N155"/>
  <sheetViews>
    <sheetView view="pageBreakPreview" zoomScaleNormal="75" workbookViewId="0">
      <selection activeCell="A21" sqref="A21"/>
    </sheetView>
  </sheetViews>
  <sheetFormatPr baseColWidth="10" defaultColWidth="11.42578125" defaultRowHeight="12.75"/>
  <cols>
    <col min="1" max="1" width="16.28515625" customWidth="1"/>
    <col min="2" max="2" width="11.28515625" customWidth="1"/>
    <col min="4" max="4" width="11.28515625" customWidth="1"/>
    <col min="10" max="10" width="4" customWidth="1"/>
    <col min="11" max="11" width="30.5703125" customWidth="1"/>
    <col min="12" max="12" width="11.140625" customWidth="1"/>
    <col min="14" max="14" width="7.7109375" customWidth="1"/>
  </cols>
  <sheetData>
    <row r="1" spans="1:14" ht="26.25" customHeight="1">
      <c r="A1" s="1546" t="s">
        <v>495</v>
      </c>
      <c r="B1" s="1547"/>
      <c r="C1" s="1547" t="s">
        <v>495</v>
      </c>
      <c r="D1" s="1547"/>
      <c r="E1" s="1547"/>
      <c r="F1" s="1547"/>
      <c r="G1" s="1547"/>
      <c r="H1" s="1547"/>
      <c r="I1" s="1548"/>
      <c r="J1" s="63"/>
      <c r="K1" s="72"/>
      <c r="L1" s="72"/>
    </row>
    <row r="2" spans="1:14">
      <c r="A2" s="1549" t="s">
        <v>36</v>
      </c>
      <c r="B2" s="1550"/>
      <c r="C2" s="1550"/>
      <c r="D2" s="1550"/>
      <c r="E2" s="1550"/>
      <c r="F2" s="1550"/>
      <c r="G2" s="1550"/>
      <c r="H2" s="1550"/>
      <c r="I2" s="1551"/>
      <c r="J2" s="63"/>
    </row>
    <row r="3" spans="1:14">
      <c r="A3" s="1552" t="s">
        <v>22</v>
      </c>
      <c r="B3" s="1553"/>
      <c r="C3" s="1553"/>
      <c r="D3" s="1553"/>
      <c r="E3" s="1553"/>
      <c r="F3" s="1553"/>
      <c r="G3" s="1553"/>
      <c r="H3" s="1553"/>
      <c r="I3" s="1554"/>
      <c r="J3" s="63"/>
    </row>
    <row r="4" spans="1:14">
      <c r="A4" s="1555" t="s">
        <v>23</v>
      </c>
      <c r="B4" s="1556"/>
      <c r="C4" s="1556"/>
      <c r="D4" s="1556"/>
      <c r="E4" s="1556"/>
      <c r="F4" s="1556"/>
      <c r="G4" s="1556"/>
      <c r="H4" s="1556"/>
      <c r="I4" s="1557"/>
      <c r="J4" s="63"/>
    </row>
    <row r="5" spans="1:14">
      <c r="A5" s="1558" t="s">
        <v>0</v>
      </c>
      <c r="B5" s="1559"/>
      <c r="C5" s="1559"/>
      <c r="D5" s="1559"/>
      <c r="E5" s="1559"/>
      <c r="F5" s="1559"/>
      <c r="G5" s="1559"/>
      <c r="H5" s="1559"/>
      <c r="I5" s="1560"/>
      <c r="J5" s="63"/>
    </row>
    <row r="6" spans="1:14" ht="13.5" thickBot="1">
      <c r="A6" s="104"/>
      <c r="B6" s="105"/>
      <c r="C6" s="105"/>
      <c r="D6" s="105"/>
      <c r="E6" s="105"/>
      <c r="F6" s="105"/>
      <c r="G6" s="105"/>
      <c r="H6" s="105"/>
      <c r="I6" s="106"/>
      <c r="J6" s="63"/>
    </row>
    <row r="7" spans="1:14" ht="28.5" customHeight="1" thickBot="1">
      <c r="A7" s="1199" t="s">
        <v>1</v>
      </c>
      <c r="B7" s="1561" t="s">
        <v>2</v>
      </c>
      <c r="C7" s="1562"/>
      <c r="D7" s="1562"/>
      <c r="E7" s="1563"/>
      <c r="F7" s="1564" t="s">
        <v>3</v>
      </c>
      <c r="G7" s="1565"/>
      <c r="H7" s="1565"/>
      <c r="I7" s="1566"/>
      <c r="J7" s="63"/>
    </row>
    <row r="8" spans="1:14" ht="32.25" customHeight="1" thickBot="1">
      <c r="A8" s="1200" t="s">
        <v>21</v>
      </c>
      <c r="B8" s="1201" t="s">
        <v>38</v>
      </c>
      <c r="C8" s="1201" t="s">
        <v>4</v>
      </c>
      <c r="D8" s="1202" t="s">
        <v>5</v>
      </c>
      <c r="E8" s="1203" t="s">
        <v>6</v>
      </c>
      <c r="F8" s="1204" t="s">
        <v>38</v>
      </c>
      <c r="G8" s="1204" t="s">
        <v>4</v>
      </c>
      <c r="H8" s="1205" t="s">
        <v>5</v>
      </c>
      <c r="I8" s="1206" t="s">
        <v>6</v>
      </c>
      <c r="J8" s="63"/>
    </row>
    <row r="9" spans="1:14">
      <c r="A9" s="10">
        <v>40911</v>
      </c>
      <c r="B9" s="1107">
        <v>33.340000000000003</v>
      </c>
      <c r="C9" s="1108">
        <v>32.5</v>
      </c>
      <c r="D9" s="1108">
        <v>31.83</v>
      </c>
      <c r="E9" s="1109">
        <v>30.39</v>
      </c>
      <c r="F9" s="1107">
        <v>32.479999999999997</v>
      </c>
      <c r="G9" s="1108">
        <v>31.98</v>
      </c>
      <c r="H9" s="1108">
        <v>31.37</v>
      </c>
      <c r="I9" s="1109">
        <v>29.98</v>
      </c>
      <c r="J9" s="79"/>
    </row>
    <row r="10" spans="1:14">
      <c r="A10" s="1207">
        <v>40917</v>
      </c>
      <c r="B10" s="1211">
        <v>34.29</v>
      </c>
      <c r="C10" s="1209">
        <v>33.43</v>
      </c>
      <c r="D10" s="1209">
        <v>32.78</v>
      </c>
      <c r="E10" s="1210">
        <v>31.34</v>
      </c>
      <c r="F10" s="1211">
        <v>33.340000000000003</v>
      </c>
      <c r="G10" s="1209">
        <v>32.94</v>
      </c>
      <c r="H10" s="1209">
        <v>32.340000000000003</v>
      </c>
      <c r="I10" s="1210">
        <v>30.92</v>
      </c>
      <c r="J10" s="79"/>
    </row>
    <row r="11" spans="1:14">
      <c r="A11" s="10">
        <v>40925</v>
      </c>
      <c r="B11" s="1107">
        <v>34.29</v>
      </c>
      <c r="C11" s="1108">
        <v>33.43</v>
      </c>
      <c r="D11" s="1108">
        <v>32.78</v>
      </c>
      <c r="E11" s="1109">
        <v>31.34</v>
      </c>
      <c r="F11" s="1107">
        <v>33.340000000000003</v>
      </c>
      <c r="G11" s="1108">
        <v>32.94</v>
      </c>
      <c r="H11" s="1108">
        <v>32.340000000000003</v>
      </c>
      <c r="I11" s="1109">
        <v>30.92</v>
      </c>
      <c r="J11" s="79"/>
    </row>
    <row r="12" spans="1:14">
      <c r="A12" s="1207">
        <v>40931</v>
      </c>
      <c r="B12" s="1211">
        <v>34.29</v>
      </c>
      <c r="C12" s="1209">
        <v>33.43</v>
      </c>
      <c r="D12" s="1209">
        <v>32.78</v>
      </c>
      <c r="E12" s="1210">
        <v>31.34</v>
      </c>
      <c r="F12" s="1211">
        <v>33.340000000000003</v>
      </c>
      <c r="G12" s="1209">
        <v>32.94</v>
      </c>
      <c r="H12" s="1209">
        <v>32.340000000000003</v>
      </c>
      <c r="I12" s="1210">
        <v>30.92</v>
      </c>
      <c r="J12" s="79"/>
    </row>
    <row r="13" spans="1:14" ht="13.5" thickBot="1">
      <c r="A13" s="10">
        <v>40938</v>
      </c>
      <c r="B13" s="1107">
        <v>33.17</v>
      </c>
      <c r="C13" s="1108">
        <v>33.31</v>
      </c>
      <c r="D13" s="1108">
        <v>32.68</v>
      </c>
      <c r="E13" s="1109">
        <v>31.19</v>
      </c>
      <c r="F13" s="1107">
        <v>34.01</v>
      </c>
      <c r="G13" s="1108">
        <v>32.770000000000003</v>
      </c>
      <c r="H13" s="1108">
        <v>32.159999999999997</v>
      </c>
      <c r="I13" s="1109">
        <v>30.71</v>
      </c>
      <c r="J13" s="79"/>
    </row>
    <row r="14" spans="1:14" ht="13.5" thickBot="1">
      <c r="A14" s="1212" t="s">
        <v>7</v>
      </c>
      <c r="B14" s="1213">
        <f t="shared" ref="B14:I14" si="0">AVERAGE(B9:B13)</f>
        <v>33.875999999999998</v>
      </c>
      <c r="C14" s="1213">
        <f t="shared" si="0"/>
        <v>33.220000000000006</v>
      </c>
      <c r="D14" s="1213">
        <f t="shared" si="0"/>
        <v>32.570000000000007</v>
      </c>
      <c r="E14" s="1213">
        <f t="shared" si="0"/>
        <v>31.120000000000005</v>
      </c>
      <c r="F14" s="1213">
        <f t="shared" si="0"/>
        <v>33.302</v>
      </c>
      <c r="G14" s="1213">
        <f t="shared" si="0"/>
        <v>32.714000000000006</v>
      </c>
      <c r="H14" s="1213">
        <f t="shared" si="0"/>
        <v>32.11</v>
      </c>
      <c r="I14" s="1214">
        <f t="shared" si="0"/>
        <v>30.690000000000005</v>
      </c>
      <c r="J14" s="79"/>
    </row>
    <row r="15" spans="1:14">
      <c r="A15" s="10">
        <v>40946</v>
      </c>
      <c r="B15" s="115">
        <v>34.659999999999997</v>
      </c>
      <c r="C15" s="56">
        <v>31.91</v>
      </c>
      <c r="D15" s="56">
        <v>34.17</v>
      </c>
      <c r="E15" s="62">
        <v>32.18</v>
      </c>
      <c r="F15" s="115">
        <v>33.82</v>
      </c>
      <c r="G15" s="56">
        <v>34.19</v>
      </c>
      <c r="H15" s="56">
        <v>33.590000000000003</v>
      </c>
      <c r="I15" s="62">
        <v>31.9</v>
      </c>
      <c r="J15" s="79"/>
      <c r="K15" s="1540" t="s">
        <v>471</v>
      </c>
      <c r="L15" s="1541"/>
      <c r="M15" s="1541"/>
      <c r="N15" s="1542"/>
    </row>
    <row r="16" spans="1:14">
      <c r="A16" s="1207">
        <v>40952</v>
      </c>
      <c r="B16" s="1211">
        <v>36.72</v>
      </c>
      <c r="C16" s="1209">
        <v>35.51</v>
      </c>
      <c r="D16" s="1209">
        <v>34.799999999999997</v>
      </c>
      <c r="E16" s="1210">
        <v>32.69</v>
      </c>
      <c r="F16" s="1211">
        <v>35.950000000000003</v>
      </c>
      <c r="G16" s="1209">
        <v>35.159999999999997</v>
      </c>
      <c r="H16" s="1209">
        <v>34.47</v>
      </c>
      <c r="I16" s="1210">
        <v>32.32</v>
      </c>
      <c r="J16" s="79"/>
      <c r="K16" s="1543" t="s">
        <v>30</v>
      </c>
      <c r="L16" s="1544"/>
      <c r="M16" s="1544"/>
      <c r="N16" s="1545"/>
    </row>
    <row r="17" spans="1:14">
      <c r="A17" s="10">
        <v>40959</v>
      </c>
      <c r="B17" s="115">
        <v>36.67</v>
      </c>
      <c r="C17" s="56">
        <v>35.869999999999997</v>
      </c>
      <c r="D17" s="56">
        <v>35.17</v>
      </c>
      <c r="E17" s="62">
        <v>32.79</v>
      </c>
      <c r="F17" s="115">
        <v>35.799999999999997</v>
      </c>
      <c r="G17" s="56">
        <v>35.380000000000003</v>
      </c>
      <c r="H17" s="56">
        <v>34.72</v>
      </c>
      <c r="I17" s="62">
        <v>32.4</v>
      </c>
      <c r="J17" s="79"/>
      <c r="K17" s="91" t="s">
        <v>25</v>
      </c>
      <c r="L17" s="92" t="s">
        <v>26</v>
      </c>
      <c r="M17" s="92" t="s">
        <v>27</v>
      </c>
      <c r="N17" s="93" t="s">
        <v>28</v>
      </c>
    </row>
    <row r="18" spans="1:14" ht="13.5" thickBot="1">
      <c r="A18" s="1207">
        <v>40966</v>
      </c>
      <c r="B18" s="1211">
        <v>36.67</v>
      </c>
      <c r="C18" s="1209">
        <v>35.9</v>
      </c>
      <c r="D18" s="1209">
        <v>35.200000000000003</v>
      </c>
      <c r="E18" s="1210">
        <v>32.79</v>
      </c>
      <c r="F18" s="1211">
        <v>35.799999999999997</v>
      </c>
      <c r="G18" s="1209">
        <v>35.36</v>
      </c>
      <c r="H18" s="1209">
        <v>34.68</v>
      </c>
      <c r="I18" s="1210">
        <v>32.35</v>
      </c>
      <c r="J18" s="79"/>
      <c r="K18" s="94"/>
      <c r="L18" s="92" t="s">
        <v>29</v>
      </c>
      <c r="M18" s="92" t="s">
        <v>29</v>
      </c>
      <c r="N18" s="93" t="s">
        <v>29</v>
      </c>
    </row>
    <row r="19" spans="1:14" ht="13.5" thickBot="1">
      <c r="A19" s="1212" t="s">
        <v>7</v>
      </c>
      <c r="B19" s="1213">
        <f t="shared" ref="B19:I19" si="1">AVERAGE(B15:B18)</f>
        <v>36.18</v>
      </c>
      <c r="C19" s="1213">
        <f t="shared" si="1"/>
        <v>34.797499999999999</v>
      </c>
      <c r="D19" s="1213">
        <f t="shared" si="1"/>
        <v>34.835000000000001</v>
      </c>
      <c r="E19" s="1213">
        <f t="shared" si="1"/>
        <v>32.612499999999997</v>
      </c>
      <c r="F19" s="1213">
        <f t="shared" si="1"/>
        <v>35.342500000000001</v>
      </c>
      <c r="G19" s="1213">
        <f t="shared" si="1"/>
        <v>35.022499999999994</v>
      </c>
      <c r="H19" s="1213">
        <f t="shared" si="1"/>
        <v>34.365000000000002</v>
      </c>
      <c r="I19" s="1214">
        <f t="shared" si="1"/>
        <v>32.2425</v>
      </c>
      <c r="J19" s="79"/>
      <c r="K19" s="85" t="s">
        <v>8</v>
      </c>
      <c r="L19" s="86">
        <f>+G14</f>
        <v>32.714000000000006</v>
      </c>
      <c r="M19" s="86">
        <f>+H14</f>
        <v>32.11</v>
      </c>
      <c r="N19" s="87">
        <f>+I14</f>
        <v>30.690000000000005</v>
      </c>
    </row>
    <row r="20" spans="1:14">
      <c r="A20" s="10">
        <v>40975</v>
      </c>
      <c r="B20" s="1107">
        <v>38.47</v>
      </c>
      <c r="C20" s="1108">
        <v>38.85</v>
      </c>
      <c r="D20" s="1108">
        <v>38.24</v>
      </c>
      <c r="E20" s="1109">
        <v>36.93</v>
      </c>
      <c r="F20" s="1107">
        <v>39.380000000000003</v>
      </c>
      <c r="G20" s="1108">
        <v>37.979999999999997</v>
      </c>
      <c r="H20" s="1108">
        <v>37.39</v>
      </c>
      <c r="I20" s="1109">
        <v>36.090000000000003</v>
      </c>
      <c r="J20" s="79"/>
      <c r="K20" s="85" t="s">
        <v>9</v>
      </c>
      <c r="L20" s="86">
        <f>+G19</f>
        <v>35.022499999999994</v>
      </c>
      <c r="M20" s="86">
        <f>+H19</f>
        <v>34.365000000000002</v>
      </c>
      <c r="N20" s="87">
        <f>+I19</f>
        <v>32.2425</v>
      </c>
    </row>
    <row r="21" spans="1:14">
      <c r="A21" s="1207">
        <v>40980</v>
      </c>
      <c r="B21" s="1211">
        <v>38.28</v>
      </c>
      <c r="C21" s="1209">
        <v>37.380000000000003</v>
      </c>
      <c r="D21" s="1209">
        <v>36.82</v>
      </c>
      <c r="E21" s="1210">
        <v>33.369999999999997</v>
      </c>
      <c r="F21" s="1211">
        <v>37.479999999999997</v>
      </c>
      <c r="G21" s="1209">
        <v>36.89</v>
      </c>
      <c r="H21" s="1209">
        <v>36.340000000000003</v>
      </c>
      <c r="I21" s="1210">
        <v>32.880000000000003</v>
      </c>
      <c r="J21" s="79"/>
      <c r="K21" s="85" t="s">
        <v>10</v>
      </c>
      <c r="L21" s="86" t="e">
        <f>+#REF!</f>
        <v>#REF!</v>
      </c>
      <c r="M21" s="86" t="e">
        <f>+#REF!</f>
        <v>#REF!</v>
      </c>
      <c r="N21" s="87" t="e">
        <f>+#REF!</f>
        <v>#REF!</v>
      </c>
    </row>
    <row r="22" spans="1:14">
      <c r="A22" s="10">
        <v>40987</v>
      </c>
      <c r="B22" s="1107">
        <v>38.18</v>
      </c>
      <c r="C22" s="1108">
        <v>37.380000000000003</v>
      </c>
      <c r="D22" s="1108">
        <v>36.82</v>
      </c>
      <c r="E22" s="1109">
        <v>33.369999999999997</v>
      </c>
      <c r="F22" s="1107">
        <v>37.32</v>
      </c>
      <c r="G22" s="1108">
        <v>36.89</v>
      </c>
      <c r="H22" s="1108">
        <v>36.340000000000003</v>
      </c>
      <c r="I22" s="1109">
        <v>32.880000000000003</v>
      </c>
      <c r="J22" s="79"/>
      <c r="K22" s="85" t="s">
        <v>11</v>
      </c>
      <c r="L22" s="86">
        <f>+G29</f>
        <v>37.086500000000001</v>
      </c>
      <c r="M22" s="86">
        <f>+H29</f>
        <v>36.543499999999995</v>
      </c>
      <c r="N22" s="86">
        <f>+I29</f>
        <v>32.641499999999994</v>
      </c>
    </row>
    <row r="23" spans="1:14" ht="13.5" thickBot="1">
      <c r="A23" s="1207">
        <v>40994</v>
      </c>
      <c r="B23" s="1211">
        <v>37.020000000000003</v>
      </c>
      <c r="C23" s="1209">
        <v>37.17</v>
      </c>
      <c r="D23" s="1209">
        <v>36.61</v>
      </c>
      <c r="E23" s="1210">
        <v>33.26</v>
      </c>
      <c r="F23" s="1211">
        <v>37.880000000000003</v>
      </c>
      <c r="G23" s="1209">
        <v>36.65</v>
      </c>
      <c r="H23" s="1209">
        <v>36.119999999999997</v>
      </c>
      <c r="I23" s="1210">
        <v>32.82</v>
      </c>
      <c r="J23" s="79"/>
      <c r="K23" s="85" t="s">
        <v>13</v>
      </c>
      <c r="L23" s="86">
        <f>+G38</f>
        <v>33.42</v>
      </c>
      <c r="M23" s="86">
        <f>+H38</f>
        <v>32.79</v>
      </c>
      <c r="N23" s="87">
        <f>+I38</f>
        <v>28.81</v>
      </c>
    </row>
    <row r="24" spans="1:14" ht="13.5" thickBot="1">
      <c r="A24" s="1212" t="s">
        <v>7</v>
      </c>
      <c r="B24" s="1213">
        <f t="shared" ref="B24:I24" si="2">AVERAGE(B20:B23)</f>
        <v>37.987500000000004</v>
      </c>
      <c r="C24" s="1213">
        <f t="shared" si="2"/>
        <v>37.695000000000007</v>
      </c>
      <c r="D24" s="1213">
        <f t="shared" si="2"/>
        <v>37.122500000000002</v>
      </c>
      <c r="E24" s="1213">
        <f t="shared" si="2"/>
        <v>34.232499999999995</v>
      </c>
      <c r="F24" s="1213">
        <f t="shared" si="2"/>
        <v>38.015000000000001</v>
      </c>
      <c r="G24" s="1213">
        <f t="shared" si="2"/>
        <v>37.102499999999999</v>
      </c>
      <c r="H24" s="1213">
        <f t="shared" si="2"/>
        <v>36.547499999999999</v>
      </c>
      <c r="I24" s="1214">
        <f t="shared" si="2"/>
        <v>33.667499999999997</v>
      </c>
      <c r="J24" s="79"/>
      <c r="K24" s="85" t="s">
        <v>15</v>
      </c>
      <c r="L24" s="86">
        <f>+G86</f>
        <v>35.01</v>
      </c>
      <c r="M24" s="86">
        <f>+H86</f>
        <v>34.22</v>
      </c>
      <c r="N24" s="87">
        <f>+I86</f>
        <v>31.03</v>
      </c>
    </row>
    <row r="25" spans="1:14">
      <c r="A25" s="10">
        <v>41008</v>
      </c>
      <c r="B25" s="1107">
        <v>38.42</v>
      </c>
      <c r="C25" s="1108">
        <v>37.68</v>
      </c>
      <c r="D25" s="1108">
        <v>37.15</v>
      </c>
      <c r="E25" s="1109">
        <v>33.21</v>
      </c>
      <c r="F25" s="1107">
        <v>37.49</v>
      </c>
      <c r="G25" s="1108">
        <v>37.25</v>
      </c>
      <c r="H25" s="1108">
        <v>36.729999999999997</v>
      </c>
      <c r="I25" s="1109">
        <v>32.659999999999997</v>
      </c>
      <c r="J25" s="79"/>
      <c r="K25" s="85" t="s">
        <v>16</v>
      </c>
      <c r="L25" s="86">
        <f>+G90</f>
        <v>36.6</v>
      </c>
      <c r="M25" s="86">
        <f>+H90</f>
        <v>35.799999999999997</v>
      </c>
      <c r="N25" s="87">
        <f>+I90</f>
        <v>32.82</v>
      </c>
    </row>
    <row r="26" spans="1:14">
      <c r="A26" s="1207">
        <v>41015</v>
      </c>
      <c r="B26" s="1211">
        <v>38.5</v>
      </c>
      <c r="C26" s="1209">
        <v>37.68</v>
      </c>
      <c r="D26" s="1209">
        <v>37.15</v>
      </c>
      <c r="E26" s="1210">
        <v>33.03</v>
      </c>
      <c r="F26" s="1211">
        <v>37.69</v>
      </c>
      <c r="G26" s="1209">
        <v>37.25</v>
      </c>
      <c r="H26" s="1209">
        <v>36.729999999999997</v>
      </c>
      <c r="I26" s="1210">
        <v>32.49</v>
      </c>
      <c r="J26" s="79"/>
      <c r="K26" s="85" t="s">
        <v>18</v>
      </c>
      <c r="L26" s="86">
        <f>+G102</f>
        <v>32.9</v>
      </c>
      <c r="M26" s="86">
        <f>+H102</f>
        <v>31.92</v>
      </c>
      <c r="N26" s="87">
        <f>+I102</f>
        <v>30.77</v>
      </c>
    </row>
    <row r="27" spans="1:14" ht="13.5" thickBot="1">
      <c r="A27" s="10">
        <v>41022</v>
      </c>
      <c r="B27" s="1107">
        <v>38.22</v>
      </c>
      <c r="C27" s="1108">
        <v>37.46</v>
      </c>
      <c r="D27" s="1108">
        <v>36.909999999999997</v>
      </c>
      <c r="E27" s="1109">
        <v>32.69</v>
      </c>
      <c r="F27" s="1107">
        <v>37.299999999999997</v>
      </c>
      <c r="G27" s="1108">
        <v>37.020000000000003</v>
      </c>
      <c r="H27" s="1108">
        <v>36.450000000000003</v>
      </c>
      <c r="I27" s="1109">
        <v>32.14</v>
      </c>
      <c r="J27" s="79"/>
      <c r="K27" s="88" t="s">
        <v>19</v>
      </c>
      <c r="L27" s="89">
        <f>+G106</f>
        <v>33.659999999999997</v>
      </c>
      <c r="M27" s="89">
        <f>+H106</f>
        <v>32.68</v>
      </c>
      <c r="N27" s="90">
        <f>+I106</f>
        <v>32.58</v>
      </c>
    </row>
    <row r="28" spans="1:14" ht="13.5" thickBot="1">
      <c r="A28" s="1207">
        <v>41029</v>
      </c>
      <c r="B28" s="1211">
        <v>38.07</v>
      </c>
      <c r="C28" s="1209">
        <v>37.299999999999997</v>
      </c>
      <c r="D28" s="1209">
        <v>36.72</v>
      </c>
      <c r="E28" s="1210">
        <v>32.590000000000003</v>
      </c>
      <c r="F28" s="1211">
        <v>37.159999999999997</v>
      </c>
      <c r="G28" s="1209">
        <v>36.81</v>
      </c>
      <c r="H28" s="1209">
        <v>36.26</v>
      </c>
      <c r="I28" s="1210">
        <v>32.25</v>
      </c>
      <c r="J28" s="79"/>
      <c r="K28" s="85"/>
      <c r="L28" s="86" t="e">
        <f>AVERAGE(L19:L27)</f>
        <v>#REF!</v>
      </c>
      <c r="M28" s="86" t="e">
        <f>AVERAGE(M19:M27)</f>
        <v>#REF!</v>
      </c>
      <c r="N28" s="86" t="e">
        <f>AVERAGE(N19:N27)</f>
        <v>#REF!</v>
      </c>
    </row>
    <row r="29" spans="1:14" ht="13.5" thickBot="1">
      <c r="A29" s="1212" t="s">
        <v>7</v>
      </c>
      <c r="B29" s="1213">
        <f t="shared" ref="B29:I29" si="3">AVERAGE(B24:B28)</f>
        <v>38.2395</v>
      </c>
      <c r="C29" s="1213">
        <f t="shared" si="3"/>
        <v>37.563000000000002</v>
      </c>
      <c r="D29" s="1213">
        <f t="shared" si="3"/>
        <v>37.0105</v>
      </c>
      <c r="E29" s="1213">
        <f t="shared" si="3"/>
        <v>33.150500000000001</v>
      </c>
      <c r="F29" s="1213">
        <f t="shared" si="3"/>
        <v>37.530999999999999</v>
      </c>
      <c r="G29" s="1213">
        <f t="shared" si="3"/>
        <v>37.086500000000001</v>
      </c>
      <c r="H29" s="1213">
        <f t="shared" si="3"/>
        <v>36.543499999999995</v>
      </c>
      <c r="I29" s="1214">
        <f t="shared" si="3"/>
        <v>32.641499999999994</v>
      </c>
      <c r="J29" s="79"/>
      <c r="K29" s="85"/>
      <c r="L29" s="86"/>
      <c r="M29" s="86"/>
      <c r="N29" s="87"/>
    </row>
    <row r="30" spans="1:14" ht="13.5" thickBot="1">
      <c r="A30" s="10">
        <v>45048</v>
      </c>
      <c r="B30" s="1107">
        <v>36.58</v>
      </c>
      <c r="C30" s="1108">
        <v>36.090000000000003</v>
      </c>
      <c r="D30" s="1108">
        <v>34.47</v>
      </c>
      <c r="E30" s="1109">
        <v>29.47</v>
      </c>
      <c r="F30" s="1107">
        <v>35.47</v>
      </c>
      <c r="G30" s="1108">
        <v>35.08</v>
      </c>
      <c r="H30" s="1108">
        <v>33.46</v>
      </c>
      <c r="I30" s="1109">
        <v>28.43</v>
      </c>
      <c r="J30" s="79"/>
      <c r="K30" s="88"/>
      <c r="L30" s="89"/>
      <c r="M30" s="89"/>
      <c r="N30" s="90"/>
    </row>
    <row r="31" spans="1:14">
      <c r="A31" s="1207">
        <v>45054</v>
      </c>
      <c r="B31" s="1211">
        <v>35.83</v>
      </c>
      <c r="C31" s="1209">
        <v>35.31</v>
      </c>
      <c r="D31" s="1209">
        <v>33.79</v>
      </c>
      <c r="E31" s="1210">
        <v>28.67</v>
      </c>
      <c r="F31" s="1211">
        <v>34.770000000000003</v>
      </c>
      <c r="G31" s="1209">
        <v>34.31</v>
      </c>
      <c r="H31" s="1209">
        <v>32.799999999999997</v>
      </c>
      <c r="I31" s="1210">
        <v>27.68</v>
      </c>
      <c r="J31" s="79"/>
    </row>
    <row r="32" spans="1:14">
      <c r="A32" s="10">
        <v>45061</v>
      </c>
      <c r="B32" s="1107">
        <v>35.07</v>
      </c>
      <c r="C32" s="1108">
        <v>34.49</v>
      </c>
      <c r="D32" s="1108">
        <v>32.979999999999997</v>
      </c>
      <c r="E32" s="1109">
        <v>28.04</v>
      </c>
      <c r="F32" s="1107">
        <v>33.97</v>
      </c>
      <c r="G32" s="1108">
        <v>33.49</v>
      </c>
      <c r="H32" s="1108">
        <v>31.98</v>
      </c>
      <c r="I32" s="1109">
        <v>27.02</v>
      </c>
      <c r="J32" s="79"/>
    </row>
    <row r="33" spans="1:10" ht="13.5" thickBot="1">
      <c r="A33" s="1207">
        <v>45068</v>
      </c>
      <c r="B33" s="1211">
        <v>34.81</v>
      </c>
      <c r="C33" s="1209">
        <v>34.32</v>
      </c>
      <c r="D33" s="1209">
        <v>32.96</v>
      </c>
      <c r="E33" s="1210">
        <v>28.04</v>
      </c>
      <c r="F33" s="1211">
        <v>33.78</v>
      </c>
      <c r="G33" s="1209">
        <v>33.35</v>
      </c>
      <c r="H33" s="1209">
        <v>31.97</v>
      </c>
      <c r="I33" s="1210">
        <v>27.01</v>
      </c>
      <c r="J33" s="79"/>
    </row>
    <row r="34" spans="1:10" ht="13.5" thickBot="1">
      <c r="A34" s="1212">
        <v>45075</v>
      </c>
      <c r="B34" s="1213">
        <v>34.86</v>
      </c>
      <c r="C34" s="1213">
        <v>34.31</v>
      </c>
      <c r="D34" s="1213">
        <v>32.97</v>
      </c>
      <c r="E34" s="1213">
        <v>27.99</v>
      </c>
      <c r="F34" s="1213">
        <v>33.82</v>
      </c>
      <c r="G34" s="1213">
        <v>33.299999999999997</v>
      </c>
      <c r="H34" s="1213">
        <v>31.99</v>
      </c>
      <c r="I34" s="1214">
        <v>27</v>
      </c>
      <c r="J34" s="79"/>
    </row>
    <row r="35" spans="1:10">
      <c r="A35" s="10">
        <v>41064</v>
      </c>
      <c r="B35" s="1107">
        <v>34.880000000000003</v>
      </c>
      <c r="C35" s="1108">
        <v>34.08</v>
      </c>
      <c r="D35" s="1108">
        <v>33.42</v>
      </c>
      <c r="E35" s="1109">
        <v>29.67</v>
      </c>
      <c r="F35" s="1107">
        <v>33.909999999999997</v>
      </c>
      <c r="G35" s="1108">
        <v>33.53</v>
      </c>
      <c r="H35" s="1108">
        <v>32.9</v>
      </c>
      <c r="I35" s="1109">
        <v>29.23</v>
      </c>
      <c r="J35" s="79"/>
    </row>
    <row r="36" spans="1:10">
      <c r="A36" s="1207">
        <v>41071</v>
      </c>
      <c r="B36" s="1211">
        <v>34</v>
      </c>
      <c r="C36" s="1209">
        <v>33.340000000000003</v>
      </c>
      <c r="D36" s="1209">
        <v>32.700000000000003</v>
      </c>
      <c r="E36" s="1210">
        <v>28.71</v>
      </c>
      <c r="F36" s="1211">
        <v>33.01</v>
      </c>
      <c r="G36" s="1209">
        <v>32.71</v>
      </c>
      <c r="H36" s="1209">
        <v>32.1</v>
      </c>
      <c r="I36" s="1210">
        <v>28.18</v>
      </c>
      <c r="J36" s="79"/>
    </row>
    <row r="37" spans="1:10">
      <c r="A37" s="10">
        <v>41078</v>
      </c>
      <c r="B37" s="1107">
        <v>34.479999999999997</v>
      </c>
      <c r="C37" s="1108">
        <v>33.450000000000003</v>
      </c>
      <c r="D37" s="1108">
        <v>32.76</v>
      </c>
      <c r="E37" s="1109">
        <v>29.11</v>
      </c>
      <c r="F37" s="1107">
        <v>33.630000000000003</v>
      </c>
      <c r="G37" s="1108">
        <v>32.9</v>
      </c>
      <c r="H37" s="1108">
        <v>32.25</v>
      </c>
      <c r="I37" s="1109">
        <v>28.72</v>
      </c>
      <c r="J37" s="79"/>
    </row>
    <row r="38" spans="1:10" ht="13.5" thickBot="1">
      <c r="A38" s="1207">
        <v>41085</v>
      </c>
      <c r="B38" s="1211">
        <v>34.68</v>
      </c>
      <c r="C38" s="1209">
        <v>33.99</v>
      </c>
      <c r="D38" s="1209">
        <v>33.33</v>
      </c>
      <c r="E38" s="1210">
        <v>29.32</v>
      </c>
      <c r="F38" s="1211">
        <v>33.81</v>
      </c>
      <c r="G38" s="1209">
        <v>33.42</v>
      </c>
      <c r="H38" s="1209">
        <v>32.79</v>
      </c>
      <c r="I38" s="1210">
        <v>28.81</v>
      </c>
      <c r="J38" s="79"/>
    </row>
    <row r="39" spans="1:10" ht="13.5" thickBot="1">
      <c r="A39" s="1212" t="s">
        <v>7</v>
      </c>
      <c r="B39" s="1213">
        <f>AVERAGE(B35:B38)</f>
        <v>34.51</v>
      </c>
      <c r="C39" s="1213">
        <f>AVERAGE(C35:C38)</f>
        <v>33.715000000000003</v>
      </c>
      <c r="D39" s="1213">
        <f t="shared" ref="D39:I39" si="4">AVERAGE(D35:D38)</f>
        <v>33.052499999999995</v>
      </c>
      <c r="E39" s="1213">
        <f t="shared" si="4"/>
        <v>29.202500000000001</v>
      </c>
      <c r="F39" s="1213">
        <f t="shared" si="4"/>
        <v>33.589999999999996</v>
      </c>
      <c r="G39" s="1213">
        <f t="shared" si="4"/>
        <v>33.14</v>
      </c>
      <c r="H39" s="1213">
        <f t="shared" si="4"/>
        <v>32.51</v>
      </c>
      <c r="I39" s="1214">
        <f t="shared" si="4"/>
        <v>28.734999999999999</v>
      </c>
      <c r="J39" s="79"/>
    </row>
    <row r="40" spans="1:10" ht="13.5" hidden="1" thickBot="1">
      <c r="A40" s="74"/>
      <c r="B40" s="83"/>
      <c r="C40" s="56"/>
      <c r="D40" s="56"/>
      <c r="E40" s="56"/>
      <c r="F40" s="83"/>
      <c r="G40" s="56"/>
      <c r="H40" s="56"/>
      <c r="I40" s="62"/>
      <c r="J40" s="79"/>
    </row>
    <row r="41" spans="1:10" ht="13.5" hidden="1" thickBot="1">
      <c r="A41" s="10"/>
      <c r="B41" s="83"/>
      <c r="C41" s="56"/>
      <c r="D41" s="56"/>
      <c r="E41" s="56"/>
      <c r="F41" s="83"/>
      <c r="G41" s="56"/>
      <c r="H41" s="56"/>
      <c r="I41" s="62"/>
      <c r="J41" s="79"/>
    </row>
    <row r="42" spans="1:10" ht="13.5" hidden="1" thickBot="1">
      <c r="A42" s="10"/>
      <c r="B42" s="83"/>
      <c r="C42" s="56"/>
      <c r="D42" s="56"/>
      <c r="E42" s="56"/>
      <c r="F42" s="83"/>
      <c r="G42" s="56"/>
      <c r="H42" s="56"/>
      <c r="I42" s="62"/>
      <c r="J42" s="79"/>
    </row>
    <row r="43" spans="1:10" ht="13.5" hidden="1" thickBot="1">
      <c r="A43" s="57"/>
      <c r="B43" s="83"/>
      <c r="C43" s="56"/>
      <c r="D43" s="56"/>
      <c r="E43" s="56"/>
      <c r="F43" s="83"/>
      <c r="G43" s="56"/>
      <c r="H43" s="56"/>
      <c r="I43" s="62"/>
      <c r="J43" s="79"/>
    </row>
    <row r="44" spans="1:10" ht="13.5" hidden="1" thickBot="1">
      <c r="A44" s="73" t="s">
        <v>7</v>
      </c>
      <c r="B44" s="110"/>
      <c r="C44" s="96" t="e">
        <f t="shared" ref="C44:I44" si="5">AVERAGE(C40:C43)</f>
        <v>#DIV/0!</v>
      </c>
      <c r="D44" s="19" t="e">
        <f t="shared" si="5"/>
        <v>#DIV/0!</v>
      </c>
      <c r="E44" s="20" t="e">
        <f t="shared" si="5"/>
        <v>#DIV/0!</v>
      </c>
      <c r="F44" s="110"/>
      <c r="G44" s="96" t="e">
        <f t="shared" si="5"/>
        <v>#DIV/0!</v>
      </c>
      <c r="H44" s="19" t="e">
        <f t="shared" si="5"/>
        <v>#DIV/0!</v>
      </c>
      <c r="I44" s="20" t="e">
        <f t="shared" si="5"/>
        <v>#DIV/0!</v>
      </c>
      <c r="J44" s="79"/>
    </row>
    <row r="45" spans="1:10" ht="13.5" hidden="1" thickBot="1">
      <c r="A45" s="10"/>
      <c r="B45" s="83"/>
      <c r="C45" s="56"/>
      <c r="D45" s="56"/>
      <c r="E45" s="62"/>
      <c r="F45" s="83"/>
      <c r="G45" s="56"/>
      <c r="H45" s="56"/>
      <c r="I45" s="62"/>
      <c r="J45" s="79"/>
    </row>
    <row r="46" spans="1:10" ht="13.5" hidden="1" thickBot="1">
      <c r="A46" s="10"/>
      <c r="B46" s="83"/>
      <c r="C46" s="56"/>
      <c r="D46" s="56"/>
      <c r="E46" s="62"/>
      <c r="F46" s="83"/>
      <c r="G46" s="56"/>
      <c r="H46" s="56"/>
      <c r="I46" s="62"/>
      <c r="J46" s="79"/>
    </row>
    <row r="47" spans="1:10" ht="13.5" hidden="1" thickBot="1">
      <c r="A47" s="10"/>
      <c r="B47" s="83"/>
      <c r="C47" s="56"/>
      <c r="D47" s="56"/>
      <c r="E47" s="62"/>
      <c r="F47" s="83"/>
      <c r="G47" s="56"/>
      <c r="H47" s="56"/>
      <c r="I47" s="62"/>
      <c r="J47" s="75"/>
    </row>
    <row r="48" spans="1:10" ht="13.5" hidden="1" thickBot="1">
      <c r="A48" s="10"/>
      <c r="B48" s="83"/>
      <c r="C48" s="56"/>
      <c r="D48" s="56"/>
      <c r="E48" s="62"/>
      <c r="F48" s="83"/>
      <c r="G48" s="56"/>
      <c r="H48" s="56"/>
      <c r="I48" s="62"/>
      <c r="J48" s="79"/>
    </row>
    <row r="49" spans="1:10" ht="13.5" hidden="1" thickBot="1">
      <c r="A49" s="17" t="s">
        <v>7</v>
      </c>
      <c r="B49" s="110"/>
      <c r="C49" s="96" t="e">
        <f t="shared" ref="C49:I49" si="6">AVERAGE(C45:C48)</f>
        <v>#DIV/0!</v>
      </c>
      <c r="D49" s="19" t="e">
        <f t="shared" si="6"/>
        <v>#DIV/0!</v>
      </c>
      <c r="E49" s="20" t="e">
        <f t="shared" si="6"/>
        <v>#DIV/0!</v>
      </c>
      <c r="F49" s="110"/>
      <c r="G49" s="96" t="e">
        <f t="shared" si="6"/>
        <v>#DIV/0!</v>
      </c>
      <c r="H49" s="19" t="e">
        <f t="shared" si="6"/>
        <v>#DIV/0!</v>
      </c>
      <c r="I49" s="20" t="e">
        <f t="shared" si="6"/>
        <v>#DIV/0!</v>
      </c>
      <c r="J49" s="79"/>
    </row>
    <row r="50" spans="1:10" ht="13.5" hidden="1" thickBot="1">
      <c r="A50" s="10"/>
      <c r="B50" s="83"/>
      <c r="C50" s="56"/>
      <c r="D50" s="56"/>
      <c r="E50" s="62"/>
      <c r="F50" s="83"/>
      <c r="G50" s="56"/>
      <c r="H50" s="56"/>
      <c r="I50" s="62"/>
      <c r="J50" s="79"/>
    </row>
    <row r="51" spans="1:10" ht="13.5" hidden="1" thickBot="1">
      <c r="A51" s="10"/>
      <c r="B51" s="83"/>
      <c r="C51" s="56"/>
      <c r="D51" s="56"/>
      <c r="E51" s="62"/>
      <c r="F51" s="83"/>
      <c r="G51" s="56"/>
      <c r="H51" s="56"/>
      <c r="I51" s="62"/>
      <c r="J51" s="79"/>
    </row>
    <row r="52" spans="1:10" ht="13.5" hidden="1" thickBot="1">
      <c r="A52" s="10"/>
      <c r="B52" s="83"/>
      <c r="C52" s="56"/>
      <c r="D52" s="56"/>
      <c r="E52" s="62"/>
      <c r="F52" s="83"/>
      <c r="G52" s="56"/>
      <c r="H52" s="56"/>
      <c r="I52" s="62"/>
      <c r="J52" s="79"/>
    </row>
    <row r="53" spans="1:10" ht="13.5" hidden="1" thickBot="1">
      <c r="A53" s="10"/>
      <c r="B53" s="83"/>
      <c r="C53" s="56"/>
      <c r="D53" s="56"/>
      <c r="E53" s="62"/>
      <c r="F53" s="83"/>
      <c r="G53" s="56"/>
      <c r="H53" s="56"/>
      <c r="I53" s="62"/>
      <c r="J53" s="79"/>
    </row>
    <row r="54" spans="1:10" ht="13.5" hidden="1" thickBot="1">
      <c r="A54" s="10"/>
      <c r="B54" s="83"/>
      <c r="C54" s="56"/>
      <c r="D54" s="56"/>
      <c r="E54" s="62"/>
      <c r="F54" s="83"/>
      <c r="G54" s="56"/>
      <c r="H54" s="56"/>
      <c r="I54" s="62"/>
      <c r="J54" s="79"/>
    </row>
    <row r="55" spans="1:10" ht="13.5" hidden="1" thickBot="1">
      <c r="A55" s="17" t="s">
        <v>7</v>
      </c>
      <c r="B55" s="110"/>
      <c r="C55" s="96" t="e">
        <f t="shared" ref="C55:I55" si="7">AVERAGE(C50:C54)</f>
        <v>#DIV/0!</v>
      </c>
      <c r="D55" s="19" t="e">
        <f t="shared" si="7"/>
        <v>#DIV/0!</v>
      </c>
      <c r="E55" s="20" t="e">
        <f t="shared" si="7"/>
        <v>#DIV/0!</v>
      </c>
      <c r="F55" s="110"/>
      <c r="G55" s="96" t="e">
        <f t="shared" si="7"/>
        <v>#DIV/0!</v>
      </c>
      <c r="H55" s="19" t="e">
        <f t="shared" si="7"/>
        <v>#DIV/0!</v>
      </c>
      <c r="I55" s="20" t="e">
        <f t="shared" si="7"/>
        <v>#DIV/0!</v>
      </c>
      <c r="J55" s="79"/>
    </row>
    <row r="56" spans="1:10" ht="13.5" hidden="1" thickBot="1">
      <c r="A56" s="112"/>
      <c r="B56" s="111"/>
      <c r="C56" s="56"/>
      <c r="D56" s="56"/>
      <c r="E56" s="62"/>
      <c r="F56" s="111"/>
      <c r="G56" s="56"/>
      <c r="H56" s="56"/>
      <c r="I56" s="62"/>
      <c r="J56" s="63"/>
    </row>
    <row r="57" spans="1:10" ht="13.5" hidden="1" thickBot="1">
      <c r="A57" s="112"/>
      <c r="B57" s="111"/>
      <c r="C57" s="56"/>
      <c r="D57" s="56"/>
      <c r="E57" s="62"/>
      <c r="F57" s="111"/>
      <c r="G57" s="56"/>
      <c r="H57" s="56"/>
      <c r="I57" s="62"/>
      <c r="J57" s="63"/>
    </row>
    <row r="58" spans="1:10" ht="13.5" hidden="1" thickBot="1">
      <c r="A58" s="112"/>
      <c r="B58" s="111"/>
      <c r="C58" s="56"/>
      <c r="D58" s="56"/>
      <c r="E58" s="62"/>
      <c r="F58" s="111"/>
      <c r="G58" s="56"/>
      <c r="H58" s="56"/>
      <c r="I58" s="62"/>
      <c r="J58" s="63"/>
    </row>
    <row r="59" spans="1:10" ht="13.5" hidden="1" thickBot="1">
      <c r="A59" s="112"/>
      <c r="B59" s="111"/>
      <c r="C59" s="56"/>
      <c r="D59" s="56"/>
      <c r="E59" s="62"/>
      <c r="F59" s="111"/>
      <c r="G59" s="56"/>
      <c r="H59" s="56"/>
      <c r="I59" s="62"/>
      <c r="J59" s="63"/>
    </row>
    <row r="60" spans="1:10" ht="13.5" hidden="1" thickBot="1">
      <c r="A60" s="17" t="s">
        <v>7</v>
      </c>
      <c r="B60" s="110"/>
      <c r="C60" s="96" t="e">
        <f t="shared" ref="C60:I60" si="8">AVERAGE(C56:C59)</f>
        <v>#DIV/0!</v>
      </c>
      <c r="D60" s="19" t="e">
        <f t="shared" si="8"/>
        <v>#DIV/0!</v>
      </c>
      <c r="E60" s="20" t="e">
        <f t="shared" si="8"/>
        <v>#DIV/0!</v>
      </c>
      <c r="F60" s="110"/>
      <c r="G60" s="96" t="e">
        <f t="shared" si="8"/>
        <v>#DIV/0!</v>
      </c>
      <c r="H60" s="19" t="e">
        <f t="shared" si="8"/>
        <v>#DIV/0!</v>
      </c>
      <c r="I60" s="20" t="e">
        <f t="shared" si="8"/>
        <v>#DIV/0!</v>
      </c>
      <c r="J60" s="63"/>
    </row>
    <row r="61" spans="1:10" ht="13.5" hidden="1" thickBot="1">
      <c r="A61" s="112"/>
      <c r="B61" s="111"/>
      <c r="C61" s="56"/>
      <c r="D61" s="56"/>
      <c r="E61" s="62"/>
      <c r="F61" s="111"/>
      <c r="G61" s="56"/>
      <c r="H61" s="56"/>
      <c r="I61" s="62"/>
      <c r="J61" s="63"/>
    </row>
    <row r="62" spans="1:10" ht="13.5" hidden="1" thickBot="1">
      <c r="A62" s="112"/>
      <c r="B62" s="111"/>
      <c r="C62" s="56"/>
      <c r="D62" s="56"/>
      <c r="E62" s="62"/>
      <c r="F62" s="111"/>
      <c r="G62" s="56"/>
      <c r="H62" s="56"/>
      <c r="I62" s="62"/>
      <c r="J62" s="63"/>
    </row>
    <row r="63" spans="1:10" ht="13.5" hidden="1" thickBot="1">
      <c r="A63" s="112"/>
      <c r="B63" s="111"/>
      <c r="C63" s="56"/>
      <c r="D63" s="56"/>
      <c r="E63" s="62"/>
      <c r="F63" s="111"/>
      <c r="G63" s="56"/>
      <c r="H63" s="56"/>
      <c r="I63" s="62"/>
      <c r="J63" s="63"/>
    </row>
    <row r="64" spans="1:10" ht="13.5" hidden="1" thickBot="1">
      <c r="A64" s="112"/>
      <c r="B64" s="111"/>
      <c r="C64" s="56"/>
      <c r="D64" s="56"/>
      <c r="E64" s="62"/>
      <c r="F64" s="111"/>
      <c r="G64" s="56"/>
      <c r="H64" s="56"/>
      <c r="I64" s="62"/>
      <c r="J64" s="63"/>
    </row>
    <row r="65" spans="1:10" ht="13.5" hidden="1" thickBot="1">
      <c r="A65" s="17" t="s">
        <v>7</v>
      </c>
      <c r="B65" s="110"/>
      <c r="C65" s="96" t="e">
        <f t="shared" ref="C65:I65" si="9">AVERAGE(C61:C64)</f>
        <v>#DIV/0!</v>
      </c>
      <c r="D65" s="19" t="e">
        <f t="shared" si="9"/>
        <v>#DIV/0!</v>
      </c>
      <c r="E65" s="20" t="e">
        <f t="shared" si="9"/>
        <v>#DIV/0!</v>
      </c>
      <c r="F65" s="110"/>
      <c r="G65" s="96" t="e">
        <f t="shared" si="9"/>
        <v>#DIV/0!</v>
      </c>
      <c r="H65" s="19" t="e">
        <f t="shared" si="9"/>
        <v>#DIV/0!</v>
      </c>
      <c r="I65" s="20" t="e">
        <f t="shared" si="9"/>
        <v>#DIV/0!</v>
      </c>
      <c r="J65" s="63"/>
    </row>
    <row r="66" spans="1:10" ht="13.5" hidden="1" thickBot="1">
      <c r="A66" s="112"/>
      <c r="B66" s="111"/>
      <c r="C66" s="56"/>
      <c r="D66" s="56"/>
      <c r="E66" s="62"/>
      <c r="F66" s="111"/>
      <c r="G66" s="56"/>
      <c r="H66" s="56"/>
      <c r="I66" s="62"/>
      <c r="J66" s="63"/>
    </row>
    <row r="67" spans="1:10" ht="13.5" hidden="1" thickBot="1">
      <c r="A67" s="112"/>
      <c r="B67" s="111"/>
      <c r="C67" s="56"/>
      <c r="D67" s="56"/>
      <c r="E67" s="62"/>
      <c r="F67" s="111"/>
      <c r="G67" s="56"/>
      <c r="H67" s="56"/>
      <c r="I67" s="62"/>
      <c r="J67" s="63"/>
    </row>
    <row r="68" spans="1:10" ht="13.5" hidden="1" thickBot="1">
      <c r="A68" s="112"/>
      <c r="B68" s="111"/>
      <c r="C68" s="56"/>
      <c r="D68" s="56"/>
      <c r="E68" s="62"/>
      <c r="F68" s="111"/>
      <c r="G68" s="56"/>
      <c r="H68" s="56"/>
      <c r="I68" s="62"/>
      <c r="J68" s="63"/>
    </row>
    <row r="69" spans="1:10" ht="13.5" hidden="1" thickBot="1">
      <c r="A69" s="112"/>
      <c r="B69" s="111"/>
      <c r="C69" s="56"/>
      <c r="D69" s="56"/>
      <c r="E69" s="62"/>
      <c r="F69" s="111"/>
      <c r="G69" s="56"/>
      <c r="H69" s="56"/>
      <c r="I69" s="62"/>
      <c r="J69" s="63"/>
    </row>
    <row r="70" spans="1:10" ht="13.5" hidden="1" thickBot="1">
      <c r="A70" s="112"/>
      <c r="B70" s="111"/>
      <c r="C70" s="56"/>
      <c r="D70" s="56"/>
      <c r="E70" s="62"/>
      <c r="F70" s="111"/>
      <c r="G70" s="56"/>
      <c r="H70" s="56"/>
      <c r="I70" s="62"/>
      <c r="J70" s="63"/>
    </row>
    <row r="71" spans="1:10" ht="13.5" hidden="1" thickBot="1">
      <c r="A71" s="17" t="s">
        <v>7</v>
      </c>
      <c r="B71" s="110"/>
      <c r="C71" s="96" t="e">
        <f t="shared" ref="C71:I71" si="10">AVERAGE(C66:C70)</f>
        <v>#DIV/0!</v>
      </c>
      <c r="D71" s="19" t="e">
        <f t="shared" si="10"/>
        <v>#DIV/0!</v>
      </c>
      <c r="E71" s="20" t="e">
        <f t="shared" si="10"/>
        <v>#DIV/0!</v>
      </c>
      <c r="F71" s="110"/>
      <c r="G71" s="96" t="e">
        <f t="shared" si="10"/>
        <v>#DIV/0!</v>
      </c>
      <c r="H71" s="19" t="e">
        <f t="shared" si="10"/>
        <v>#DIV/0!</v>
      </c>
      <c r="I71" s="20" t="e">
        <f t="shared" si="10"/>
        <v>#DIV/0!</v>
      </c>
      <c r="J71" s="63"/>
    </row>
    <row r="72" spans="1:10" ht="13.5" hidden="1" thickBot="1">
      <c r="A72" s="112"/>
      <c r="B72" s="111"/>
      <c r="C72" s="56"/>
      <c r="D72" s="56"/>
      <c r="E72" s="62"/>
      <c r="F72" s="111"/>
      <c r="G72" s="56"/>
      <c r="H72" s="56"/>
      <c r="I72" s="62"/>
      <c r="J72" s="63"/>
    </row>
    <row r="73" spans="1:10" ht="13.5" hidden="1" thickBot="1">
      <c r="A73" s="112"/>
      <c r="B73" s="111"/>
      <c r="C73" s="56"/>
      <c r="D73" s="56"/>
      <c r="E73" s="62"/>
      <c r="F73" s="111"/>
      <c r="G73" s="56"/>
      <c r="H73" s="56"/>
      <c r="I73" s="62"/>
      <c r="J73" s="63"/>
    </row>
    <row r="74" spans="1:10" ht="13.5" hidden="1" thickBot="1">
      <c r="A74" s="112"/>
      <c r="B74" s="111"/>
      <c r="C74" s="56"/>
      <c r="D74" s="56"/>
      <c r="E74" s="62"/>
      <c r="F74" s="111"/>
      <c r="G74" s="56"/>
      <c r="H74" s="56"/>
      <c r="I74" s="62"/>
      <c r="J74" s="63"/>
    </row>
    <row r="75" spans="1:10" ht="13.5" hidden="1" thickBot="1">
      <c r="A75" s="112"/>
      <c r="B75" s="111"/>
      <c r="C75" s="56"/>
      <c r="D75" s="56"/>
      <c r="E75" s="62"/>
      <c r="F75" s="111"/>
      <c r="G75" s="56"/>
      <c r="H75" s="56"/>
      <c r="I75" s="62"/>
      <c r="J75" s="63"/>
    </row>
    <row r="76" spans="1:10" ht="13.5" hidden="1" thickBot="1">
      <c r="A76" s="17" t="s">
        <v>7</v>
      </c>
      <c r="B76" s="110"/>
      <c r="C76" s="96" t="e">
        <f t="shared" ref="C76:I76" si="11">AVERAGE(C72:C75)</f>
        <v>#DIV/0!</v>
      </c>
      <c r="D76" s="19" t="e">
        <f t="shared" si="11"/>
        <v>#DIV/0!</v>
      </c>
      <c r="E76" s="20" t="e">
        <f t="shared" si="11"/>
        <v>#DIV/0!</v>
      </c>
      <c r="F76" s="110"/>
      <c r="G76" s="96" t="e">
        <f t="shared" si="11"/>
        <v>#DIV/0!</v>
      </c>
      <c r="H76" s="19" t="e">
        <f t="shared" si="11"/>
        <v>#DIV/0!</v>
      </c>
      <c r="I76" s="20" t="e">
        <f t="shared" si="11"/>
        <v>#DIV/0!</v>
      </c>
      <c r="J76" s="63"/>
    </row>
    <row r="77" spans="1:10" ht="13.5" hidden="1" thickBot="1">
      <c r="A77" s="113"/>
      <c r="B77" s="47"/>
      <c r="C77" s="48"/>
      <c r="D77" s="49"/>
      <c r="E77" s="50"/>
      <c r="F77" s="47"/>
      <c r="G77" s="48"/>
      <c r="H77" s="49"/>
      <c r="I77" s="77"/>
      <c r="J77" s="63"/>
    </row>
    <row r="78" spans="1:10">
      <c r="A78" s="10">
        <v>41093</v>
      </c>
      <c r="B78" s="1107">
        <v>35.78</v>
      </c>
      <c r="C78" s="1108">
        <v>34.700000000000003</v>
      </c>
      <c r="D78" s="1108">
        <v>34.01</v>
      </c>
      <c r="E78" s="1109">
        <v>29.8</v>
      </c>
      <c r="F78" s="1107">
        <v>34.94</v>
      </c>
      <c r="G78" s="1108">
        <v>34.26</v>
      </c>
      <c r="H78" s="1108">
        <v>33.57</v>
      </c>
      <c r="I78" s="1109">
        <v>29.35</v>
      </c>
      <c r="J78" s="63"/>
    </row>
    <row r="79" spans="1:10">
      <c r="A79" s="1207">
        <v>41099</v>
      </c>
      <c r="B79" s="1211">
        <v>35.61</v>
      </c>
      <c r="C79" s="1209">
        <v>34.700000000000003</v>
      </c>
      <c r="D79" s="1209">
        <v>34.01</v>
      </c>
      <c r="E79" s="1210">
        <v>29.8</v>
      </c>
      <c r="F79" s="1211">
        <v>34.71</v>
      </c>
      <c r="G79" s="1209">
        <v>34.26</v>
      </c>
      <c r="H79" s="1209">
        <v>33.57</v>
      </c>
      <c r="I79" s="1210">
        <v>29.35</v>
      </c>
      <c r="J79" s="63"/>
    </row>
    <row r="80" spans="1:10">
      <c r="A80" s="10">
        <v>41106</v>
      </c>
      <c r="B80" s="1107">
        <v>35.31</v>
      </c>
      <c r="C80" s="1108">
        <v>34.61</v>
      </c>
      <c r="D80" s="1108">
        <v>33.909999999999997</v>
      </c>
      <c r="E80" s="1109">
        <v>29.38</v>
      </c>
      <c r="F80" s="1107">
        <v>34.42</v>
      </c>
      <c r="G80" s="1108">
        <v>34.06</v>
      </c>
      <c r="H80" s="1108">
        <v>33.33</v>
      </c>
      <c r="I80" s="1109">
        <v>28.83</v>
      </c>
      <c r="J80" s="63"/>
    </row>
    <row r="81" spans="1:10">
      <c r="A81" s="1207">
        <v>41113</v>
      </c>
      <c r="B81" s="1211">
        <v>35.85</v>
      </c>
      <c r="C81" s="1209">
        <v>34.94</v>
      </c>
      <c r="D81" s="1209">
        <v>34.22</v>
      </c>
      <c r="E81" s="1210">
        <v>30.03</v>
      </c>
      <c r="F81" s="1211">
        <v>35.01</v>
      </c>
      <c r="G81" s="1209">
        <v>34.44</v>
      </c>
      <c r="H81" s="1209">
        <v>33.68</v>
      </c>
      <c r="I81" s="1210">
        <v>29.51</v>
      </c>
      <c r="J81" s="63"/>
    </row>
    <row r="82" spans="1:10" ht="13.5" thickBot="1">
      <c r="A82" s="10">
        <v>41120</v>
      </c>
      <c r="B82" s="1107">
        <v>35.32</v>
      </c>
      <c r="C82" s="1108">
        <v>34.619999999999997</v>
      </c>
      <c r="D82" s="1108">
        <v>33.86</v>
      </c>
      <c r="E82" s="1109">
        <v>30.02</v>
      </c>
      <c r="F82" s="1107">
        <v>34.44</v>
      </c>
      <c r="G82" s="1108">
        <v>34.07</v>
      </c>
      <c r="H82" s="1108">
        <v>33.270000000000003</v>
      </c>
      <c r="I82" s="1109">
        <v>29.48</v>
      </c>
      <c r="J82" s="63"/>
    </row>
    <row r="83" spans="1:10" ht="13.5" thickBot="1">
      <c r="A83" s="1212" t="s">
        <v>7</v>
      </c>
      <c r="B83" s="1213">
        <f t="shared" ref="B83:I83" si="12">AVERAGE(B78:B82)</f>
        <v>35.573999999999998</v>
      </c>
      <c r="C83" s="1213">
        <f t="shared" si="12"/>
        <v>34.713999999999999</v>
      </c>
      <c r="D83" s="1213">
        <f t="shared" si="12"/>
        <v>34.001999999999995</v>
      </c>
      <c r="E83" s="1213">
        <f t="shared" si="12"/>
        <v>29.806000000000001</v>
      </c>
      <c r="F83" s="1213">
        <f t="shared" si="12"/>
        <v>34.704000000000001</v>
      </c>
      <c r="G83" s="1213">
        <f t="shared" si="12"/>
        <v>34.217999999999996</v>
      </c>
      <c r="H83" s="1213">
        <f t="shared" si="12"/>
        <v>33.484000000000002</v>
      </c>
      <c r="I83" s="1214">
        <f t="shared" si="12"/>
        <v>29.304000000000002</v>
      </c>
      <c r="J83" s="63"/>
    </row>
    <row r="84" spans="1:10">
      <c r="A84" s="10">
        <v>41127</v>
      </c>
      <c r="B84" s="1107">
        <v>35.74</v>
      </c>
      <c r="C84" s="1108">
        <v>34.93</v>
      </c>
      <c r="D84" s="1108">
        <v>34.15</v>
      </c>
      <c r="E84" s="1109">
        <v>30.44</v>
      </c>
      <c r="F84" s="1107">
        <v>34.89</v>
      </c>
      <c r="G84" s="1108">
        <v>34.340000000000003</v>
      </c>
      <c r="H84" s="1108">
        <v>33.57</v>
      </c>
      <c r="I84" s="1109">
        <v>29.88</v>
      </c>
      <c r="J84" s="127"/>
    </row>
    <row r="85" spans="1:10">
      <c r="A85" s="1207">
        <v>41134</v>
      </c>
      <c r="B85" s="1211">
        <v>36.04</v>
      </c>
      <c r="C85" s="1209">
        <v>35.29</v>
      </c>
      <c r="D85" s="1209">
        <v>34.49</v>
      </c>
      <c r="E85" s="1210">
        <v>30.99</v>
      </c>
      <c r="F85" s="1211">
        <v>35.17</v>
      </c>
      <c r="G85" s="1209">
        <v>34.69</v>
      </c>
      <c r="H85" s="1209">
        <v>33.9</v>
      </c>
      <c r="I85" s="1210">
        <v>30.44</v>
      </c>
      <c r="J85" s="127"/>
    </row>
    <row r="86" spans="1:10">
      <c r="A86" s="10">
        <v>41141</v>
      </c>
      <c r="B86" s="1107">
        <v>36.340000000000003</v>
      </c>
      <c r="C86" s="1108">
        <v>35.54</v>
      </c>
      <c r="D86" s="1108">
        <v>34.74</v>
      </c>
      <c r="E86" s="1109">
        <v>31.52</v>
      </c>
      <c r="F86" s="1107">
        <v>35.47</v>
      </c>
      <c r="G86" s="1108">
        <v>35.01</v>
      </c>
      <c r="H86" s="1108">
        <v>34.22</v>
      </c>
      <c r="I86" s="1109">
        <v>31.03</v>
      </c>
      <c r="J86" s="127"/>
    </row>
    <row r="87" spans="1:10" ht="13.5" thickBot="1">
      <c r="A87" s="1207">
        <v>41148</v>
      </c>
      <c r="B87" s="1211">
        <v>37.130000000000003</v>
      </c>
      <c r="C87" s="1209">
        <v>35.340000000000003</v>
      </c>
      <c r="D87" s="1209">
        <v>34.83</v>
      </c>
      <c r="E87" s="1210">
        <v>34.5</v>
      </c>
      <c r="F87" s="1211">
        <v>36.33</v>
      </c>
      <c r="G87" s="1209">
        <v>35.659999999999997</v>
      </c>
      <c r="H87" s="1209">
        <v>34.83</v>
      </c>
      <c r="I87" s="1210">
        <v>32.18</v>
      </c>
      <c r="J87" s="127"/>
    </row>
    <row r="88" spans="1:10" ht="13.5" thickBot="1">
      <c r="A88" s="1212" t="s">
        <v>7</v>
      </c>
      <c r="B88" s="1213">
        <f t="shared" ref="B88:I88" si="13">AVERAGE(B84:B87)</f>
        <v>36.3125</v>
      </c>
      <c r="C88" s="1213">
        <f t="shared" si="13"/>
        <v>35.274999999999999</v>
      </c>
      <c r="D88" s="1213">
        <f t="shared" si="13"/>
        <v>34.552499999999995</v>
      </c>
      <c r="E88" s="1213">
        <f t="shared" si="13"/>
        <v>31.862500000000001</v>
      </c>
      <c r="F88" s="1213">
        <f t="shared" si="13"/>
        <v>35.465000000000003</v>
      </c>
      <c r="G88" s="1213">
        <f t="shared" si="13"/>
        <v>34.924999999999997</v>
      </c>
      <c r="H88" s="1213">
        <f t="shared" si="13"/>
        <v>34.129999999999995</v>
      </c>
      <c r="I88" s="1214">
        <f t="shared" si="13"/>
        <v>30.8825</v>
      </c>
      <c r="J88" s="127"/>
    </row>
    <row r="89" spans="1:10">
      <c r="A89" s="10">
        <v>41158</v>
      </c>
      <c r="B89" s="1107">
        <v>37.909999999999997</v>
      </c>
      <c r="C89" s="1108">
        <v>37.24</v>
      </c>
      <c r="D89" s="1108">
        <v>36.4</v>
      </c>
      <c r="E89" s="1109">
        <v>33.33</v>
      </c>
      <c r="F89" s="1107">
        <v>37.049999999999997</v>
      </c>
      <c r="G89" s="1108">
        <v>36.6</v>
      </c>
      <c r="H89" s="1108">
        <v>35.799999999999997</v>
      </c>
      <c r="I89" s="1109">
        <v>32.82</v>
      </c>
      <c r="J89" s="127"/>
    </row>
    <row r="90" spans="1:10">
      <c r="A90" s="1207">
        <v>41162</v>
      </c>
      <c r="B90" s="1211">
        <v>37.93</v>
      </c>
      <c r="C90" s="1209">
        <v>37.24</v>
      </c>
      <c r="D90" s="1209">
        <v>36.4</v>
      </c>
      <c r="E90" s="1210">
        <v>33.33</v>
      </c>
      <c r="F90" s="1211">
        <v>37.08</v>
      </c>
      <c r="G90" s="1209">
        <v>36.6</v>
      </c>
      <c r="H90" s="1209">
        <v>35.799999999999997</v>
      </c>
      <c r="I90" s="1210">
        <v>32.82</v>
      </c>
      <c r="J90" s="127"/>
    </row>
    <row r="91" spans="1:10">
      <c r="A91" s="10">
        <v>41169</v>
      </c>
      <c r="B91" s="1107">
        <v>39.07</v>
      </c>
      <c r="C91" s="1108">
        <v>38.04</v>
      </c>
      <c r="D91" s="1108">
        <v>37.24</v>
      </c>
      <c r="E91" s="1109">
        <v>33.6</v>
      </c>
      <c r="F91" s="1107">
        <v>38.26</v>
      </c>
      <c r="G91" s="1108">
        <v>37.54</v>
      </c>
      <c r="H91" s="1108">
        <v>36.75</v>
      </c>
      <c r="I91" s="1109">
        <v>33.090000000000003</v>
      </c>
      <c r="J91" s="127"/>
    </row>
    <row r="92" spans="1:10" ht="13.5" thickBot="1">
      <c r="A92" s="1207">
        <v>41176</v>
      </c>
      <c r="B92" s="1211">
        <v>38.85</v>
      </c>
      <c r="C92" s="1209">
        <v>38.14</v>
      </c>
      <c r="D92" s="1209">
        <v>37.33</v>
      </c>
      <c r="E92" s="1210">
        <v>33.76</v>
      </c>
      <c r="F92" s="1211">
        <v>37.92</v>
      </c>
      <c r="G92" s="1209">
        <v>37.54</v>
      </c>
      <c r="H92" s="1209">
        <v>36.75</v>
      </c>
      <c r="I92" s="1210">
        <v>33.29</v>
      </c>
      <c r="J92" s="127"/>
    </row>
    <row r="93" spans="1:10" ht="13.5" thickBot="1">
      <c r="A93" s="1212" t="s">
        <v>7</v>
      </c>
      <c r="B93" s="1213">
        <f t="shared" ref="B93:I93" si="14">AVERAGE(B89:B92)</f>
        <v>38.44</v>
      </c>
      <c r="C93" s="1213">
        <f t="shared" si="14"/>
        <v>37.665000000000006</v>
      </c>
      <c r="D93" s="1213">
        <f t="shared" si="14"/>
        <v>36.842500000000001</v>
      </c>
      <c r="E93" s="1213">
        <f t="shared" si="14"/>
        <v>33.504999999999995</v>
      </c>
      <c r="F93" s="1213">
        <f>AVERAGE(F89:F92)</f>
        <v>37.577500000000001</v>
      </c>
      <c r="G93" s="1213">
        <f t="shared" si="14"/>
        <v>37.07</v>
      </c>
      <c r="H93" s="1213">
        <f t="shared" si="14"/>
        <v>36.274999999999999</v>
      </c>
      <c r="I93" s="1214">
        <f t="shared" si="14"/>
        <v>33.005000000000003</v>
      </c>
      <c r="J93" s="127"/>
    </row>
    <row r="94" spans="1:10" s="79" customFormat="1">
      <c r="A94" s="10">
        <v>41183</v>
      </c>
      <c r="B94" s="1107">
        <v>37.99</v>
      </c>
      <c r="C94" s="1108">
        <v>37.46</v>
      </c>
      <c r="D94" s="1108">
        <v>36.64</v>
      </c>
      <c r="E94" s="1109">
        <v>33.19</v>
      </c>
      <c r="F94" s="1107">
        <v>37.119999999999997</v>
      </c>
      <c r="G94" s="1108">
        <v>36.86</v>
      </c>
      <c r="H94" s="1108">
        <v>36.04</v>
      </c>
      <c r="I94" s="1109">
        <v>32.68</v>
      </c>
      <c r="J94" s="127"/>
    </row>
    <row r="95" spans="1:10" s="79" customFormat="1">
      <c r="A95" s="1207">
        <v>41190</v>
      </c>
      <c r="B95" s="1211">
        <v>37.520000000000003</v>
      </c>
      <c r="C95" s="1209">
        <v>36.94</v>
      </c>
      <c r="D95" s="1209">
        <v>36.14</v>
      </c>
      <c r="E95" s="1210">
        <v>32.75</v>
      </c>
      <c r="F95" s="1211">
        <v>36.619999999999997</v>
      </c>
      <c r="G95" s="1209">
        <v>36.270000000000003</v>
      </c>
      <c r="H95" s="1209">
        <v>35.47</v>
      </c>
      <c r="I95" s="1210">
        <v>32.18</v>
      </c>
      <c r="J95" s="127"/>
    </row>
    <row r="96" spans="1:10" s="79" customFormat="1">
      <c r="A96" s="10">
        <v>41197</v>
      </c>
      <c r="B96" s="1107">
        <v>38.020000000000003</v>
      </c>
      <c r="C96" s="1108">
        <v>37.14</v>
      </c>
      <c r="D96" s="1108">
        <v>36.32</v>
      </c>
      <c r="E96" s="1109">
        <v>33.4</v>
      </c>
      <c r="F96" s="1107">
        <v>37.21</v>
      </c>
      <c r="G96" s="1108">
        <v>36.53</v>
      </c>
      <c r="H96" s="1108">
        <v>35.700000000000003</v>
      </c>
      <c r="I96" s="1109">
        <v>32.9</v>
      </c>
      <c r="J96" s="127"/>
    </row>
    <row r="97" spans="1:10" s="79" customFormat="1">
      <c r="A97" s="1207">
        <v>41204</v>
      </c>
      <c r="B97" s="1211">
        <v>37</v>
      </c>
      <c r="C97" s="1209">
        <v>36.549999999999997</v>
      </c>
      <c r="D97" s="1209">
        <v>35.72</v>
      </c>
      <c r="E97" s="1210">
        <v>33.29</v>
      </c>
      <c r="F97" s="1211">
        <v>36.090000000000003</v>
      </c>
      <c r="G97" s="1209">
        <v>35.9</v>
      </c>
      <c r="H97" s="1209">
        <v>35.090000000000003</v>
      </c>
      <c r="I97" s="1210">
        <v>32.81</v>
      </c>
      <c r="J97" s="127"/>
    </row>
    <row r="98" spans="1:10" s="79" customFormat="1" ht="13.5" thickBot="1">
      <c r="A98" s="10">
        <v>41211</v>
      </c>
      <c r="B98" s="1107">
        <v>35</v>
      </c>
      <c r="C98" s="1108">
        <v>35.340000000000003</v>
      </c>
      <c r="D98" s="1108">
        <v>34.53</v>
      </c>
      <c r="E98" s="1109">
        <v>32.369999999999997</v>
      </c>
      <c r="F98" s="1107">
        <v>33.94</v>
      </c>
      <c r="G98" s="1108">
        <v>34.65</v>
      </c>
      <c r="H98" s="1108">
        <v>33.83</v>
      </c>
      <c r="I98" s="1109">
        <v>31.78</v>
      </c>
      <c r="J98" s="127"/>
    </row>
    <row r="99" spans="1:10" s="79" customFormat="1" ht="13.5" thickBot="1">
      <c r="A99" s="1212" t="s">
        <v>7</v>
      </c>
      <c r="B99" s="1213">
        <f t="shared" ref="B99:I99" si="15">AVERAGE(B94:B98)</f>
        <v>37.106000000000002</v>
      </c>
      <c r="C99" s="1213">
        <f t="shared" si="15"/>
        <v>36.686</v>
      </c>
      <c r="D99" s="1213">
        <f t="shared" si="15"/>
        <v>35.869999999999997</v>
      </c>
      <c r="E99" s="1213">
        <f t="shared" si="15"/>
        <v>33</v>
      </c>
      <c r="F99" s="1213">
        <f t="shared" si="15"/>
        <v>36.195999999999998</v>
      </c>
      <c r="G99" s="1213">
        <f t="shared" si="15"/>
        <v>36.042000000000002</v>
      </c>
      <c r="H99" s="1213">
        <f t="shared" si="15"/>
        <v>35.225999999999999</v>
      </c>
      <c r="I99" s="1214">
        <f t="shared" si="15"/>
        <v>32.47</v>
      </c>
      <c r="J99" s="127"/>
    </row>
    <row r="100" spans="1:10" s="79" customFormat="1">
      <c r="A100" s="10">
        <v>41218</v>
      </c>
      <c r="B100" s="1107">
        <v>35</v>
      </c>
      <c r="C100" s="1108">
        <v>34.33</v>
      </c>
      <c r="D100" s="1108">
        <v>33.49</v>
      </c>
      <c r="E100" s="1109">
        <v>31.45</v>
      </c>
      <c r="F100" s="1107">
        <v>33.94</v>
      </c>
      <c r="G100" s="1108">
        <v>33.6</v>
      </c>
      <c r="H100" s="1108">
        <v>32.76</v>
      </c>
      <c r="I100" s="1109">
        <v>30.79</v>
      </c>
      <c r="J100" s="127"/>
    </row>
    <row r="101" spans="1:10" s="79" customFormat="1">
      <c r="A101" s="1207">
        <v>41225</v>
      </c>
      <c r="B101" s="1211">
        <v>34.369999999999997</v>
      </c>
      <c r="C101" s="1209">
        <v>33.71</v>
      </c>
      <c r="D101" s="1209">
        <v>32.729999999999997</v>
      </c>
      <c r="E101" s="1210">
        <v>30.84</v>
      </c>
      <c r="F101" s="1211">
        <v>33.47</v>
      </c>
      <c r="G101" s="1209">
        <v>33.020000000000003</v>
      </c>
      <c r="H101" s="1209">
        <v>32.049999999999997</v>
      </c>
      <c r="I101" s="1210">
        <v>30.2</v>
      </c>
      <c r="J101" s="127"/>
    </row>
    <row r="102" spans="1:10" s="79" customFormat="1">
      <c r="A102" s="10">
        <v>41232</v>
      </c>
      <c r="B102" s="1107">
        <v>34.31</v>
      </c>
      <c r="C102" s="1108">
        <v>33.58</v>
      </c>
      <c r="D102" s="1108">
        <v>32.61</v>
      </c>
      <c r="E102" s="1109">
        <v>31.3</v>
      </c>
      <c r="F102" s="1107">
        <v>33.44</v>
      </c>
      <c r="G102" s="1108">
        <v>32.9</v>
      </c>
      <c r="H102" s="1108">
        <v>31.92</v>
      </c>
      <c r="I102" s="1109">
        <v>30.77</v>
      </c>
      <c r="J102" s="127"/>
    </row>
    <row r="103" spans="1:10" s="79" customFormat="1" ht="13.5" thickBot="1">
      <c r="A103" s="1207">
        <v>41239</v>
      </c>
      <c r="B103" s="1211">
        <v>34.71</v>
      </c>
      <c r="C103" s="1209">
        <v>33.9</v>
      </c>
      <c r="D103" s="1209">
        <v>32.89</v>
      </c>
      <c r="E103" s="1210">
        <v>32.28</v>
      </c>
      <c r="F103" s="1211">
        <v>33.81</v>
      </c>
      <c r="G103" s="1209">
        <v>33.270000000000003</v>
      </c>
      <c r="H103" s="1209">
        <v>32.28</v>
      </c>
      <c r="I103" s="1210">
        <v>31.78</v>
      </c>
      <c r="J103" s="127"/>
    </row>
    <row r="104" spans="1:10" s="79" customFormat="1" ht="13.5" thickBot="1">
      <c r="A104" s="1212" t="s">
        <v>7</v>
      </c>
      <c r="B104" s="1213">
        <f t="shared" ref="B104:I104" si="16">AVERAGE(B100:B103)</f>
        <v>34.597500000000004</v>
      </c>
      <c r="C104" s="1213">
        <f t="shared" si="16"/>
        <v>33.879999999999995</v>
      </c>
      <c r="D104" s="1213">
        <f t="shared" si="16"/>
        <v>32.93</v>
      </c>
      <c r="E104" s="1213">
        <f t="shared" si="16"/>
        <v>31.467500000000001</v>
      </c>
      <c r="F104" s="1213">
        <f t="shared" si="16"/>
        <v>33.664999999999999</v>
      </c>
      <c r="G104" s="1213">
        <f t="shared" si="16"/>
        <v>33.197500000000005</v>
      </c>
      <c r="H104" s="1213">
        <f t="shared" si="16"/>
        <v>32.252499999999998</v>
      </c>
      <c r="I104" s="1214">
        <f t="shared" si="16"/>
        <v>30.884999999999998</v>
      </c>
      <c r="J104" s="127"/>
    </row>
    <row r="105" spans="1:10" s="79" customFormat="1">
      <c r="A105" s="10">
        <v>41246</v>
      </c>
      <c r="B105" s="1107">
        <v>35.130000000000003</v>
      </c>
      <c r="C105" s="1108">
        <v>34.42</v>
      </c>
      <c r="D105" s="1108">
        <v>33.44</v>
      </c>
      <c r="E105" s="1109">
        <v>33.229999999999997</v>
      </c>
      <c r="F105" s="1107">
        <v>34.270000000000003</v>
      </c>
      <c r="G105" s="1108">
        <v>33.770000000000003</v>
      </c>
      <c r="H105" s="1108">
        <v>32.79</v>
      </c>
      <c r="I105" s="1109">
        <v>32.71</v>
      </c>
      <c r="J105" s="127"/>
    </row>
    <row r="106" spans="1:10" s="79" customFormat="1">
      <c r="A106" s="1207">
        <v>41253</v>
      </c>
      <c r="B106" s="1211">
        <v>35.020000000000003</v>
      </c>
      <c r="C106" s="1209">
        <v>34.31</v>
      </c>
      <c r="D106" s="1209">
        <v>33.340000000000003</v>
      </c>
      <c r="E106" s="1210">
        <v>33.14</v>
      </c>
      <c r="F106" s="1211">
        <v>34.22</v>
      </c>
      <c r="G106" s="1209">
        <v>33.659999999999997</v>
      </c>
      <c r="H106" s="1209">
        <v>32.68</v>
      </c>
      <c r="I106" s="1210">
        <v>32.58</v>
      </c>
      <c r="J106" s="127"/>
    </row>
    <row r="107" spans="1:10" s="79" customFormat="1">
      <c r="A107" s="10">
        <v>41260</v>
      </c>
      <c r="B107" s="1107">
        <v>34.36</v>
      </c>
      <c r="C107" s="1108">
        <v>33.67</v>
      </c>
      <c r="D107" s="1108">
        <v>32.71</v>
      </c>
      <c r="E107" s="1109">
        <v>32.46</v>
      </c>
      <c r="F107" s="1107">
        <v>33.35</v>
      </c>
      <c r="G107" s="1108">
        <v>33</v>
      </c>
      <c r="H107" s="1108">
        <v>32.04</v>
      </c>
      <c r="I107" s="1109">
        <v>31.92</v>
      </c>
      <c r="J107" s="127"/>
    </row>
    <row r="108" spans="1:10" s="79" customFormat="1" ht="13.5" thickBot="1">
      <c r="A108" s="1207">
        <v>41269</v>
      </c>
      <c r="B108" s="1211">
        <v>33.909999999999997</v>
      </c>
      <c r="C108" s="1209">
        <v>33.06</v>
      </c>
      <c r="D108" s="1209">
        <v>32.11</v>
      </c>
      <c r="E108" s="1210">
        <v>32.03</v>
      </c>
      <c r="F108" s="1211">
        <v>32.979999999999997</v>
      </c>
      <c r="G108" s="1209">
        <v>32.4</v>
      </c>
      <c r="H108" s="1209">
        <v>31.49</v>
      </c>
      <c r="I108" s="1210">
        <v>31.46</v>
      </c>
      <c r="J108" s="127"/>
    </row>
    <row r="109" spans="1:10" s="79" customFormat="1" ht="13.5" thickBot="1">
      <c r="A109" s="1212" t="s">
        <v>7</v>
      </c>
      <c r="B109" s="1213">
        <f>AVERAGE(B105:B108)</f>
        <v>34.605000000000004</v>
      </c>
      <c r="C109" s="1213">
        <f t="shared" ref="C109:I109" si="17">AVERAGE(C105:C108)</f>
        <v>33.865000000000002</v>
      </c>
      <c r="D109" s="1213">
        <f t="shared" si="17"/>
        <v>32.900000000000006</v>
      </c>
      <c r="E109" s="1213">
        <f t="shared" si="17"/>
        <v>32.715000000000003</v>
      </c>
      <c r="F109" s="1213">
        <f t="shared" si="17"/>
        <v>33.704999999999998</v>
      </c>
      <c r="G109" s="1213">
        <f t="shared" si="17"/>
        <v>33.207500000000003</v>
      </c>
      <c r="H109" s="1213">
        <f t="shared" si="17"/>
        <v>32.25</v>
      </c>
      <c r="I109" s="1214">
        <f t="shared" si="17"/>
        <v>32.167499999999997</v>
      </c>
      <c r="J109" s="127"/>
    </row>
    <row r="110" spans="1:10" s="79" customFormat="1" ht="14.25" customHeight="1">
      <c r="A110" s="728" t="s">
        <v>534</v>
      </c>
      <c r="B110" s="128"/>
      <c r="C110" s="129"/>
      <c r="D110" s="129"/>
      <c r="E110" s="129"/>
      <c r="F110" s="129"/>
      <c r="G110" s="129"/>
      <c r="H110" s="129"/>
      <c r="I110" s="129"/>
      <c r="J110" s="127"/>
    </row>
    <row r="111" spans="1:10">
      <c r="A111" s="130"/>
      <c r="B111" s="130"/>
      <c r="C111" s="129"/>
      <c r="D111" s="129"/>
      <c r="E111" s="129"/>
      <c r="F111" s="129"/>
      <c r="G111" s="129"/>
      <c r="H111" s="129"/>
      <c r="I111" s="129"/>
      <c r="J111" s="127"/>
    </row>
    <row r="112" spans="1:10">
      <c r="A112" s="127"/>
      <c r="B112" s="127"/>
      <c r="C112" s="129"/>
      <c r="D112" s="129"/>
      <c r="E112" s="129"/>
      <c r="F112" s="129"/>
      <c r="G112" s="129"/>
      <c r="H112" s="129"/>
      <c r="I112" s="129"/>
      <c r="J112" s="127"/>
    </row>
    <row r="113" spans="1:10">
      <c r="A113" s="127"/>
      <c r="B113" s="127"/>
      <c r="C113" s="127"/>
      <c r="D113" s="127"/>
      <c r="E113" s="127"/>
      <c r="F113" s="127"/>
      <c r="G113" s="127"/>
      <c r="H113" s="127"/>
      <c r="I113" s="127"/>
      <c r="J113" s="127"/>
    </row>
    <row r="114" spans="1:10">
      <c r="A114" s="127"/>
      <c r="B114" s="127"/>
      <c r="C114" s="127"/>
      <c r="D114" s="127"/>
      <c r="E114" s="127"/>
      <c r="F114" s="127"/>
      <c r="G114" s="127"/>
      <c r="H114" s="127"/>
      <c r="I114" s="127"/>
      <c r="J114" s="127"/>
    </row>
    <row r="115" spans="1:10">
      <c r="A115" s="127"/>
      <c r="B115" s="127"/>
      <c r="C115" s="127"/>
      <c r="D115" s="127"/>
      <c r="E115" s="127"/>
      <c r="F115" s="127"/>
      <c r="G115" s="127"/>
      <c r="H115" s="127"/>
      <c r="I115" s="127"/>
      <c r="J115" s="127"/>
    </row>
    <row r="116" spans="1:10">
      <c r="A116" s="127"/>
      <c r="B116" s="127"/>
      <c r="C116" s="127"/>
      <c r="D116" s="127"/>
      <c r="E116" s="127"/>
      <c r="F116" s="127"/>
      <c r="G116" s="127"/>
      <c r="H116" s="127"/>
      <c r="I116" s="127"/>
      <c r="J116" s="127"/>
    </row>
    <row r="117" spans="1:10">
      <c r="A117" s="127"/>
      <c r="B117" s="127"/>
      <c r="C117" s="127"/>
      <c r="D117" s="127"/>
      <c r="E117" s="127"/>
      <c r="F117" s="127"/>
      <c r="G117" s="127"/>
      <c r="H117" s="127"/>
      <c r="I117" s="127"/>
      <c r="J117" s="127"/>
    </row>
    <row r="118" spans="1:10">
      <c r="A118" s="127"/>
      <c r="B118" s="127"/>
      <c r="C118" s="127"/>
      <c r="D118" s="127"/>
      <c r="E118" s="127"/>
      <c r="F118" s="127"/>
      <c r="G118" s="127"/>
      <c r="H118" s="127"/>
      <c r="I118" s="127"/>
      <c r="J118" s="127"/>
    </row>
    <row r="119" spans="1:10">
      <c r="A119" s="127"/>
      <c r="B119" s="127"/>
      <c r="C119" s="127"/>
      <c r="D119" s="127"/>
      <c r="E119" s="127"/>
      <c r="F119" s="127"/>
      <c r="G119" s="127"/>
      <c r="H119" s="127"/>
      <c r="I119" s="127"/>
      <c r="J119" s="127"/>
    </row>
    <row r="120" spans="1:10">
      <c r="A120" s="127"/>
      <c r="B120" s="127"/>
      <c r="C120" s="127"/>
      <c r="D120" s="127"/>
      <c r="E120" s="127"/>
      <c r="F120" s="127"/>
      <c r="G120" s="127"/>
      <c r="H120" s="127"/>
      <c r="I120" s="127"/>
      <c r="J120" s="127"/>
    </row>
    <row r="121" spans="1:10">
      <c r="A121" s="127"/>
      <c r="B121" s="127"/>
      <c r="C121" s="127"/>
      <c r="D121" s="127"/>
      <c r="E121" s="127"/>
      <c r="F121" s="127"/>
      <c r="G121" s="127"/>
      <c r="H121" s="127"/>
      <c r="I121" s="127"/>
      <c r="J121" s="127"/>
    </row>
    <row r="122" spans="1:10">
      <c r="A122" s="127"/>
      <c r="B122" s="127"/>
      <c r="C122" s="127"/>
      <c r="D122" s="127"/>
      <c r="E122" s="127"/>
      <c r="F122" s="127"/>
      <c r="G122" s="127"/>
      <c r="H122" s="127"/>
      <c r="I122" s="127"/>
      <c r="J122" s="127"/>
    </row>
    <row r="123" spans="1:10">
      <c r="A123" s="127"/>
      <c r="B123" s="127"/>
      <c r="C123" s="127"/>
      <c r="D123" s="127"/>
      <c r="E123" s="127"/>
      <c r="F123" s="127"/>
      <c r="G123" s="127"/>
      <c r="H123" s="127"/>
      <c r="I123" s="127"/>
      <c r="J123" s="127"/>
    </row>
    <row r="124" spans="1:10">
      <c r="A124" s="127"/>
      <c r="B124" s="127"/>
      <c r="C124" s="127"/>
      <c r="D124" s="127"/>
      <c r="E124" s="127"/>
      <c r="F124" s="127"/>
      <c r="G124" s="127"/>
      <c r="H124" s="127"/>
      <c r="I124" s="127"/>
      <c r="J124" s="127"/>
    </row>
    <row r="125" spans="1:10">
      <c r="A125" s="127"/>
      <c r="B125" s="127"/>
      <c r="C125" s="127"/>
      <c r="D125" s="127"/>
      <c r="E125" s="127"/>
      <c r="F125" s="127"/>
      <c r="G125" s="127"/>
      <c r="H125" s="127"/>
      <c r="I125" s="127"/>
      <c r="J125" s="127"/>
    </row>
    <row r="126" spans="1:10">
      <c r="A126" s="127"/>
      <c r="B126" s="127"/>
      <c r="C126" s="127"/>
      <c r="D126" s="127"/>
      <c r="E126" s="127"/>
      <c r="F126" s="127"/>
      <c r="G126" s="127"/>
      <c r="H126" s="127"/>
      <c r="I126" s="127"/>
      <c r="J126" s="127"/>
    </row>
    <row r="127" spans="1:10">
      <c r="A127" s="127"/>
      <c r="B127" s="127"/>
      <c r="C127" s="127"/>
      <c r="D127" s="127"/>
      <c r="E127" s="127"/>
      <c r="F127" s="127"/>
      <c r="G127" s="127"/>
      <c r="H127" s="127"/>
      <c r="I127" s="127"/>
      <c r="J127" s="127"/>
    </row>
    <row r="128" spans="1:10">
      <c r="A128" s="127"/>
      <c r="B128" s="127"/>
      <c r="C128" s="127"/>
      <c r="D128" s="127"/>
      <c r="E128" s="127"/>
      <c r="F128" s="127"/>
      <c r="G128" s="127"/>
      <c r="H128" s="127"/>
      <c r="I128" s="127"/>
      <c r="J128" s="127"/>
    </row>
    <row r="129" spans="1:10">
      <c r="A129" s="127"/>
      <c r="B129" s="127"/>
      <c r="C129" s="127"/>
      <c r="D129" s="127"/>
      <c r="E129" s="127"/>
      <c r="F129" s="127"/>
      <c r="G129" s="127"/>
      <c r="H129" s="127"/>
      <c r="I129" s="127"/>
      <c r="J129" s="127"/>
    </row>
    <row r="130" spans="1:10">
      <c r="A130" s="127"/>
      <c r="B130" s="127"/>
      <c r="C130" s="127"/>
      <c r="D130" s="127"/>
      <c r="E130" s="127"/>
      <c r="F130" s="127"/>
      <c r="G130" s="127"/>
      <c r="H130" s="127"/>
      <c r="I130" s="127"/>
      <c r="J130" s="127"/>
    </row>
    <row r="131" spans="1:10">
      <c r="A131" s="127"/>
      <c r="B131" s="127"/>
      <c r="C131" s="127"/>
      <c r="D131" s="127"/>
      <c r="E131" s="127"/>
      <c r="F131" s="127"/>
      <c r="G131" s="127"/>
      <c r="H131" s="127"/>
      <c r="I131" s="127"/>
      <c r="J131" s="127"/>
    </row>
    <row r="132" spans="1:10">
      <c r="A132" s="127"/>
      <c r="B132" s="127"/>
      <c r="C132" s="127"/>
      <c r="D132" s="127"/>
      <c r="E132" s="127"/>
      <c r="F132" s="127"/>
      <c r="G132" s="127"/>
      <c r="H132" s="127"/>
      <c r="I132" s="127"/>
      <c r="J132" s="127"/>
    </row>
    <row r="133" spans="1:10">
      <c r="A133" s="127"/>
      <c r="B133" s="127"/>
      <c r="C133" s="127"/>
      <c r="D133" s="127"/>
      <c r="E133" s="127"/>
      <c r="F133" s="127"/>
      <c r="G133" s="127"/>
      <c r="H133" s="127"/>
      <c r="I133" s="127"/>
      <c r="J133" s="127"/>
    </row>
    <row r="134" spans="1:10">
      <c r="A134" s="127"/>
      <c r="B134" s="127"/>
      <c r="C134" s="127"/>
      <c r="D134" s="127"/>
      <c r="E134" s="127"/>
      <c r="F134" s="127"/>
      <c r="G134" s="127"/>
      <c r="H134" s="127"/>
      <c r="I134" s="127"/>
      <c r="J134" s="127"/>
    </row>
    <row r="135" spans="1:10">
      <c r="A135" s="127"/>
      <c r="B135" s="127"/>
      <c r="C135" s="127"/>
      <c r="D135" s="127"/>
      <c r="E135" s="127"/>
      <c r="F135" s="127"/>
      <c r="G135" s="127"/>
      <c r="H135" s="127"/>
      <c r="I135" s="127"/>
      <c r="J135" s="127"/>
    </row>
    <row r="136" spans="1:10">
      <c r="A136" s="127"/>
      <c r="B136" s="127"/>
      <c r="C136" s="127"/>
      <c r="D136" s="127"/>
      <c r="E136" s="127"/>
      <c r="F136" s="127"/>
      <c r="G136" s="127"/>
      <c r="H136" s="127"/>
      <c r="I136" s="127"/>
      <c r="J136" s="127"/>
    </row>
    <row r="137" spans="1:10">
      <c r="A137" s="127"/>
      <c r="B137" s="127"/>
      <c r="C137" s="127"/>
      <c r="D137" s="127"/>
      <c r="E137" s="127"/>
      <c r="F137" s="127"/>
      <c r="G137" s="127"/>
      <c r="H137" s="127"/>
      <c r="I137" s="127"/>
      <c r="J137" s="127"/>
    </row>
    <row r="138" spans="1:10">
      <c r="A138" s="127"/>
      <c r="B138" s="127"/>
      <c r="C138" s="127"/>
      <c r="D138" s="127"/>
      <c r="E138" s="127"/>
      <c r="F138" s="127"/>
      <c r="G138" s="127"/>
      <c r="H138" s="127"/>
      <c r="I138" s="127"/>
      <c r="J138" s="127"/>
    </row>
    <row r="139" spans="1:10">
      <c r="A139" s="127"/>
      <c r="B139" s="127"/>
      <c r="C139" s="127"/>
      <c r="D139" s="127"/>
      <c r="E139" s="127"/>
      <c r="F139" s="127"/>
      <c r="G139" s="127"/>
      <c r="H139" s="127"/>
      <c r="I139" s="127"/>
      <c r="J139" s="127"/>
    </row>
    <row r="140" spans="1:10">
      <c r="A140" s="127"/>
      <c r="B140" s="127"/>
      <c r="C140" s="127"/>
      <c r="D140" s="127"/>
      <c r="E140" s="127"/>
      <c r="F140" s="127"/>
      <c r="G140" s="127"/>
      <c r="H140" s="127"/>
      <c r="I140" s="127"/>
      <c r="J140" s="127"/>
    </row>
    <row r="141" spans="1:10">
      <c r="A141" s="127"/>
      <c r="B141" s="127"/>
      <c r="C141" s="127"/>
      <c r="D141" s="127"/>
      <c r="E141" s="127"/>
      <c r="F141" s="127"/>
      <c r="G141" s="127"/>
      <c r="H141" s="127"/>
      <c r="I141" s="127"/>
      <c r="J141" s="127"/>
    </row>
    <row r="142" spans="1:10">
      <c r="A142" s="127"/>
      <c r="B142" s="127"/>
      <c r="C142" s="127"/>
      <c r="D142" s="127"/>
      <c r="E142" s="127"/>
      <c r="F142" s="127"/>
      <c r="G142" s="127"/>
      <c r="H142" s="127"/>
      <c r="I142" s="127"/>
      <c r="J142" s="127"/>
    </row>
    <row r="143" spans="1:10">
      <c r="A143" s="127"/>
      <c r="B143" s="127"/>
      <c r="C143" s="127"/>
      <c r="D143" s="127"/>
      <c r="E143" s="127"/>
      <c r="F143" s="127"/>
      <c r="G143" s="127"/>
      <c r="H143" s="127"/>
      <c r="I143" s="127"/>
      <c r="J143" s="127"/>
    </row>
    <row r="144" spans="1:10">
      <c r="A144" s="127"/>
      <c r="B144" s="127"/>
      <c r="C144" s="127"/>
      <c r="D144" s="127"/>
      <c r="E144" s="127"/>
      <c r="F144" s="127"/>
      <c r="G144" s="127"/>
      <c r="H144" s="127"/>
      <c r="I144" s="127"/>
      <c r="J144" s="127"/>
    </row>
    <row r="145" spans="1:10">
      <c r="A145" s="127"/>
      <c r="B145" s="127"/>
      <c r="C145" s="127"/>
      <c r="D145" s="127"/>
      <c r="E145" s="127"/>
      <c r="F145" s="127"/>
      <c r="G145" s="127"/>
      <c r="H145" s="127"/>
      <c r="I145" s="127"/>
      <c r="J145" s="127"/>
    </row>
    <row r="146" spans="1:10">
      <c r="A146" s="127"/>
      <c r="B146" s="127"/>
      <c r="C146" s="127"/>
      <c r="D146" s="127"/>
      <c r="E146" s="127"/>
      <c r="F146" s="127"/>
      <c r="G146" s="127"/>
      <c r="H146" s="127"/>
      <c r="I146" s="127"/>
      <c r="J146" s="127"/>
    </row>
    <row r="147" spans="1:10">
      <c r="A147" s="127"/>
      <c r="B147" s="127"/>
      <c r="C147" s="127"/>
      <c r="D147" s="127"/>
      <c r="E147" s="127"/>
      <c r="F147" s="127"/>
      <c r="G147" s="127"/>
      <c r="H147" s="127"/>
      <c r="I147" s="127"/>
      <c r="J147" s="127"/>
    </row>
    <row r="148" spans="1:10">
      <c r="A148" s="127"/>
      <c r="B148" s="127"/>
      <c r="C148" s="127"/>
      <c r="D148" s="127"/>
      <c r="E148" s="127"/>
      <c r="F148" s="127"/>
      <c r="G148" s="127"/>
      <c r="H148" s="127"/>
      <c r="I148" s="127"/>
      <c r="J148" s="127"/>
    </row>
    <row r="149" spans="1:10">
      <c r="A149" s="127"/>
      <c r="B149" s="127"/>
      <c r="C149" s="127"/>
      <c r="D149" s="127"/>
      <c r="E149" s="127"/>
      <c r="F149" s="127"/>
      <c r="G149" s="127"/>
      <c r="H149" s="127"/>
      <c r="I149" s="127"/>
      <c r="J149" s="127"/>
    </row>
    <row r="150" spans="1:10">
      <c r="A150" s="127"/>
      <c r="B150" s="127"/>
      <c r="C150" s="127"/>
      <c r="D150" s="127"/>
      <c r="E150" s="127"/>
      <c r="F150" s="127"/>
      <c r="G150" s="127"/>
      <c r="H150" s="127"/>
      <c r="I150" s="127"/>
      <c r="J150" s="127"/>
    </row>
    <row r="151" spans="1:10">
      <c r="A151" s="127"/>
      <c r="B151" s="127"/>
      <c r="C151" s="127"/>
      <c r="D151" s="127"/>
      <c r="E151" s="127"/>
      <c r="F151" s="127"/>
      <c r="G151" s="127"/>
      <c r="H151" s="127"/>
      <c r="I151" s="127"/>
      <c r="J151" s="127"/>
    </row>
    <row r="152" spans="1:10">
      <c r="A152" s="127"/>
      <c r="B152" s="127"/>
      <c r="C152" s="127"/>
      <c r="D152" s="127"/>
      <c r="E152" s="127"/>
      <c r="F152" s="127"/>
      <c r="G152" s="127"/>
      <c r="H152" s="127"/>
      <c r="I152" s="127"/>
      <c r="J152" s="127"/>
    </row>
    <row r="153" spans="1:10">
      <c r="A153" s="127"/>
      <c r="B153" s="127"/>
      <c r="C153" s="127"/>
      <c r="D153" s="127"/>
      <c r="E153" s="127"/>
      <c r="F153" s="127"/>
      <c r="G153" s="127"/>
      <c r="H153" s="127"/>
      <c r="I153" s="127"/>
      <c r="J153" s="127"/>
    </row>
    <row r="154" spans="1:10">
      <c r="A154" s="127"/>
      <c r="B154" s="127"/>
      <c r="C154" s="127"/>
      <c r="D154" s="127"/>
      <c r="E154" s="127"/>
      <c r="F154" s="127"/>
      <c r="G154" s="127"/>
      <c r="H154" s="127"/>
      <c r="I154" s="127"/>
      <c r="J154" s="127"/>
    </row>
    <row r="155" spans="1:10">
      <c r="A155" s="127"/>
      <c r="B155" s="127"/>
      <c r="C155" s="127"/>
      <c r="D155" s="127"/>
      <c r="E155" s="127"/>
      <c r="F155" s="127"/>
      <c r="G155" s="127"/>
      <c r="H155" s="127"/>
      <c r="I155" s="127"/>
      <c r="J155" s="127"/>
    </row>
  </sheetData>
  <mergeCells count="9">
    <mergeCell ref="A1:I1"/>
    <mergeCell ref="A2:I2"/>
    <mergeCell ref="K15:N15"/>
    <mergeCell ref="K16:N16"/>
    <mergeCell ref="A3:I3"/>
    <mergeCell ref="A4:I4"/>
    <mergeCell ref="A5:I5"/>
    <mergeCell ref="B7:E7"/>
    <mergeCell ref="F7:I7"/>
  </mergeCells>
  <phoneticPr fontId="5" type="noConversion"/>
  <pageMargins left="1.0629921259842521" right="0.43307086614173229" top="1.3779527559055118" bottom="0.98425196850393704" header="0" footer="0"/>
  <pageSetup paperSize="5" scale="80" orientation="portrait" horizontalDpi="4294967295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N156"/>
  <sheetViews>
    <sheetView view="pageBreakPreview" zoomScaleNormal="75" workbookViewId="0">
      <selection activeCell="C42" sqref="C42"/>
    </sheetView>
  </sheetViews>
  <sheetFormatPr baseColWidth="10" defaultColWidth="11.42578125" defaultRowHeight="12.75"/>
  <cols>
    <col min="1" max="1" width="16.28515625" customWidth="1"/>
    <col min="2" max="2" width="11.85546875" customWidth="1"/>
    <col min="4" max="4" width="11.28515625" customWidth="1"/>
    <col min="6" max="6" width="12.28515625" customWidth="1"/>
    <col min="10" max="10" width="4" customWidth="1"/>
    <col min="11" max="11" width="13.7109375" customWidth="1"/>
    <col min="12" max="12" width="11.85546875" customWidth="1"/>
    <col min="14" max="14" width="7.7109375" customWidth="1"/>
  </cols>
  <sheetData>
    <row r="1" spans="1:14">
      <c r="A1" s="107"/>
      <c r="B1" s="109"/>
      <c r="C1" s="81"/>
      <c r="D1" s="81"/>
      <c r="E1" s="81"/>
      <c r="F1" s="81"/>
      <c r="G1" s="81"/>
      <c r="H1" s="81"/>
      <c r="I1" s="82"/>
      <c r="J1" s="63"/>
      <c r="K1" s="72"/>
      <c r="L1" s="72"/>
    </row>
    <row r="2" spans="1:14">
      <c r="A2" s="1567" t="s">
        <v>36</v>
      </c>
      <c r="B2" s="1568"/>
      <c r="C2" s="1568"/>
      <c r="D2" s="1568"/>
      <c r="E2" s="1568"/>
      <c r="F2" s="1568"/>
      <c r="G2" s="1568"/>
      <c r="H2" s="1568"/>
      <c r="I2" s="1569"/>
      <c r="J2" s="63"/>
    </row>
    <row r="3" spans="1:14">
      <c r="A3" s="1543" t="s">
        <v>22</v>
      </c>
      <c r="B3" s="1544"/>
      <c r="C3" s="1544"/>
      <c r="D3" s="1544"/>
      <c r="E3" s="1544"/>
      <c r="F3" s="1544"/>
      <c r="G3" s="1544"/>
      <c r="H3" s="1544"/>
      <c r="I3" s="1545"/>
      <c r="J3" s="63"/>
    </row>
    <row r="4" spans="1:14">
      <c r="A4" s="1543" t="s">
        <v>23</v>
      </c>
      <c r="B4" s="1544"/>
      <c r="C4" s="1544"/>
      <c r="D4" s="1544"/>
      <c r="E4" s="1544"/>
      <c r="F4" s="1544"/>
      <c r="G4" s="1544"/>
      <c r="H4" s="1544"/>
      <c r="I4" s="1545"/>
      <c r="J4" s="63"/>
    </row>
    <row r="5" spans="1:14">
      <c r="A5" s="1543" t="s">
        <v>0</v>
      </c>
      <c r="B5" s="1544"/>
      <c r="C5" s="1544"/>
      <c r="D5" s="1544"/>
      <c r="E5" s="1544"/>
      <c r="F5" s="1544"/>
      <c r="G5" s="1544"/>
      <c r="H5" s="1544"/>
      <c r="I5" s="1545"/>
      <c r="J5" s="63"/>
    </row>
    <row r="6" spans="1:14" ht="13.5" thickBot="1">
      <c r="A6" s="104"/>
      <c r="B6" s="100"/>
      <c r="C6" s="100"/>
      <c r="D6" s="100"/>
      <c r="E6" s="100"/>
      <c r="F6" s="100"/>
      <c r="G6" s="100"/>
      <c r="H6" s="100"/>
      <c r="I6" s="101"/>
      <c r="J6" s="63"/>
    </row>
    <row r="7" spans="1:14" ht="29.25" customHeight="1" thickBot="1">
      <c r="A7" s="1199" t="s">
        <v>1</v>
      </c>
      <c r="B7" s="1561" t="s">
        <v>2</v>
      </c>
      <c r="C7" s="1562"/>
      <c r="D7" s="1562"/>
      <c r="E7" s="1563"/>
      <c r="F7" s="1564" t="s">
        <v>3</v>
      </c>
      <c r="G7" s="1565"/>
      <c r="H7" s="1565"/>
      <c r="I7" s="1566"/>
      <c r="J7" s="63"/>
    </row>
    <row r="8" spans="1:14" ht="25.5" customHeight="1" thickBot="1">
      <c r="A8" s="1200" t="s">
        <v>21</v>
      </c>
      <c r="B8" s="1201" t="s">
        <v>533</v>
      </c>
      <c r="C8" s="1201" t="s">
        <v>4</v>
      </c>
      <c r="D8" s="1202" t="s">
        <v>5</v>
      </c>
      <c r="E8" s="1203" t="s">
        <v>6</v>
      </c>
      <c r="F8" s="1204" t="s">
        <v>533</v>
      </c>
      <c r="G8" s="1204" t="s">
        <v>4</v>
      </c>
      <c r="H8" s="1205" t="s">
        <v>5</v>
      </c>
      <c r="I8" s="1206" t="s">
        <v>6</v>
      </c>
      <c r="J8" s="63"/>
    </row>
    <row r="9" spans="1:14">
      <c r="A9" s="10">
        <v>41276</v>
      </c>
      <c r="B9" s="1107">
        <v>34.35</v>
      </c>
      <c r="C9" s="1108">
        <v>33.5</v>
      </c>
      <c r="D9" s="1108">
        <v>32.53</v>
      </c>
      <c r="E9" s="1109">
        <v>32.380000000000003</v>
      </c>
      <c r="F9" s="1107">
        <v>33.479999999999997</v>
      </c>
      <c r="G9" s="1108">
        <v>32.880000000000003</v>
      </c>
      <c r="H9" s="1108">
        <v>31.91</v>
      </c>
      <c r="I9" s="1109">
        <v>31.88</v>
      </c>
      <c r="J9" s="79"/>
    </row>
    <row r="10" spans="1:14">
      <c r="A10" s="1207">
        <v>41281</v>
      </c>
      <c r="B10" s="1211">
        <v>33.86</v>
      </c>
      <c r="C10" s="1209">
        <v>33.18</v>
      </c>
      <c r="D10" s="1209">
        <v>32.21</v>
      </c>
      <c r="E10" s="1210">
        <v>32.14</v>
      </c>
      <c r="F10" s="1211">
        <v>32.950000000000003</v>
      </c>
      <c r="G10" s="1209">
        <v>32.6</v>
      </c>
      <c r="H10" s="1209">
        <v>31.6</v>
      </c>
      <c r="I10" s="1210">
        <v>31.59</v>
      </c>
      <c r="J10" s="79"/>
    </row>
    <row r="11" spans="1:14">
      <c r="A11" s="10">
        <v>41288</v>
      </c>
      <c r="B11" s="1107">
        <v>35.21</v>
      </c>
      <c r="C11" s="1108">
        <v>34.409999999999997</v>
      </c>
      <c r="D11" s="1108">
        <v>33.43</v>
      </c>
      <c r="E11" s="1109">
        <v>32.86</v>
      </c>
      <c r="F11" s="1107">
        <v>34.369999999999997</v>
      </c>
      <c r="G11" s="1108">
        <v>33.83</v>
      </c>
      <c r="H11" s="1108">
        <v>32.86</v>
      </c>
      <c r="I11" s="1109">
        <v>32.369999999999997</v>
      </c>
      <c r="J11" s="79"/>
    </row>
    <row r="12" spans="1:14">
      <c r="A12" s="1207">
        <v>41295</v>
      </c>
      <c r="B12" s="1211">
        <v>34.367647058823557</v>
      </c>
      <c r="C12" s="1209">
        <v>33.69</v>
      </c>
      <c r="D12" s="1209">
        <v>32.71</v>
      </c>
      <c r="E12" s="1210">
        <v>32.049999999999997</v>
      </c>
      <c r="F12" s="1211">
        <v>33.527142857142863</v>
      </c>
      <c r="G12" s="1209">
        <v>33.049999999999997</v>
      </c>
      <c r="H12" s="1209">
        <v>32.07</v>
      </c>
      <c r="I12" s="1210">
        <v>31.44</v>
      </c>
      <c r="J12" s="79"/>
    </row>
    <row r="13" spans="1:14" ht="13.5" thickBot="1">
      <c r="A13" s="10">
        <v>41302</v>
      </c>
      <c r="B13" s="1107">
        <v>34.369999999999997</v>
      </c>
      <c r="C13" s="1108">
        <v>33.69</v>
      </c>
      <c r="D13" s="1108">
        <v>32.71</v>
      </c>
      <c r="E13" s="1109">
        <v>32.049999999999997</v>
      </c>
      <c r="F13" s="1107">
        <v>33.53</v>
      </c>
      <c r="G13" s="1108">
        <v>33.049999999999997</v>
      </c>
      <c r="H13" s="1108">
        <v>32.07</v>
      </c>
      <c r="I13" s="1109">
        <v>31.44</v>
      </c>
      <c r="J13" s="79"/>
    </row>
    <row r="14" spans="1:14" ht="13.5" thickBot="1">
      <c r="A14" s="1212" t="s">
        <v>7</v>
      </c>
      <c r="B14" s="1213">
        <f t="shared" ref="B14:I14" si="0">AVERAGE(B9:B13)</f>
        <v>34.431529411764714</v>
      </c>
      <c r="C14" s="1213">
        <f t="shared" si="0"/>
        <v>33.694000000000003</v>
      </c>
      <c r="D14" s="1213">
        <f t="shared" si="0"/>
        <v>32.718000000000004</v>
      </c>
      <c r="E14" s="1213">
        <f t="shared" si="0"/>
        <v>32.296000000000006</v>
      </c>
      <c r="F14" s="1213">
        <f t="shared" si="0"/>
        <v>33.571428571428569</v>
      </c>
      <c r="G14" s="1213">
        <f t="shared" si="0"/>
        <v>33.082000000000008</v>
      </c>
      <c r="H14" s="1213">
        <f t="shared" si="0"/>
        <v>32.101999999999997</v>
      </c>
      <c r="I14" s="1214">
        <f t="shared" si="0"/>
        <v>31.744</v>
      </c>
      <c r="J14" s="79"/>
    </row>
    <row r="15" spans="1:14">
      <c r="A15" s="10">
        <v>41309</v>
      </c>
      <c r="B15" s="115">
        <v>35.58</v>
      </c>
      <c r="C15" s="56">
        <v>34.74</v>
      </c>
      <c r="D15" s="56">
        <v>33.32</v>
      </c>
      <c r="E15" s="62">
        <v>32.33</v>
      </c>
      <c r="F15" s="115">
        <v>34.68</v>
      </c>
      <c r="G15" s="56">
        <v>34.08</v>
      </c>
      <c r="H15" s="56">
        <v>32.67</v>
      </c>
      <c r="I15" s="62">
        <v>31.71</v>
      </c>
      <c r="J15" s="79"/>
      <c r="K15" s="1540" t="s">
        <v>470</v>
      </c>
      <c r="L15" s="1541"/>
      <c r="M15" s="1541"/>
      <c r="N15" s="1542"/>
    </row>
    <row r="16" spans="1:14">
      <c r="A16" s="1207">
        <v>41316</v>
      </c>
      <c r="B16" s="1211">
        <v>35.58</v>
      </c>
      <c r="C16" s="1209">
        <v>34.74</v>
      </c>
      <c r="D16" s="1209">
        <v>33.32</v>
      </c>
      <c r="E16" s="1210">
        <v>32.33</v>
      </c>
      <c r="F16" s="1211">
        <v>34.68</v>
      </c>
      <c r="G16" s="1209">
        <v>34.08</v>
      </c>
      <c r="H16" s="1209">
        <v>32.67</v>
      </c>
      <c r="I16" s="1210">
        <v>31.71</v>
      </c>
      <c r="J16" s="79"/>
      <c r="K16" s="1543" t="s">
        <v>30</v>
      </c>
      <c r="L16" s="1544"/>
      <c r="M16" s="1544"/>
      <c r="N16" s="1545"/>
    </row>
    <row r="17" spans="1:14">
      <c r="A17" s="10">
        <v>41323</v>
      </c>
      <c r="B17" s="115">
        <v>36.96</v>
      </c>
      <c r="C17" s="56">
        <v>35.909999999999997</v>
      </c>
      <c r="D17" s="56">
        <v>34.47</v>
      </c>
      <c r="E17" s="62">
        <v>33.35</v>
      </c>
      <c r="F17" s="115">
        <v>36.19</v>
      </c>
      <c r="G17" s="56">
        <v>35.299999999999997</v>
      </c>
      <c r="H17" s="56">
        <v>33.81</v>
      </c>
      <c r="I17" s="62">
        <v>32.770000000000003</v>
      </c>
      <c r="J17" s="79"/>
      <c r="K17" s="91" t="s">
        <v>25</v>
      </c>
      <c r="L17" s="92" t="s">
        <v>26</v>
      </c>
      <c r="M17" s="92" t="s">
        <v>27</v>
      </c>
      <c r="N17" s="93" t="s">
        <v>28</v>
      </c>
    </row>
    <row r="18" spans="1:14" ht="13.5" thickBot="1">
      <c r="A18" s="1207">
        <v>41330</v>
      </c>
      <c r="B18" s="1211">
        <v>37.11</v>
      </c>
      <c r="C18" s="1209">
        <v>36.36</v>
      </c>
      <c r="D18" s="1209">
        <v>34.909999999999997</v>
      </c>
      <c r="E18" s="1210">
        <v>33.71</v>
      </c>
      <c r="F18" s="1211">
        <v>36.200000000000003</v>
      </c>
      <c r="G18" s="1209">
        <v>35.72</v>
      </c>
      <c r="H18" s="1209">
        <v>34.25</v>
      </c>
      <c r="I18" s="1210">
        <v>33.090000000000003</v>
      </c>
      <c r="J18" s="79"/>
      <c r="K18" s="94"/>
      <c r="L18" s="92" t="s">
        <v>29</v>
      </c>
      <c r="M18" s="92" t="s">
        <v>29</v>
      </c>
      <c r="N18" s="93" t="s">
        <v>29</v>
      </c>
    </row>
    <row r="19" spans="1:14" ht="13.5" thickBot="1">
      <c r="A19" s="1212" t="s">
        <v>7</v>
      </c>
      <c r="B19" s="1213">
        <f t="shared" ref="B19:I19" si="1">AVERAGE(B15:B18)</f>
        <v>36.307500000000005</v>
      </c>
      <c r="C19" s="1213">
        <f t="shared" si="1"/>
        <v>35.4375</v>
      </c>
      <c r="D19" s="1213">
        <f t="shared" si="1"/>
        <v>34.004999999999995</v>
      </c>
      <c r="E19" s="1213">
        <f t="shared" si="1"/>
        <v>32.93</v>
      </c>
      <c r="F19" s="1213">
        <f t="shared" si="1"/>
        <v>35.4375</v>
      </c>
      <c r="G19" s="1213">
        <f t="shared" si="1"/>
        <v>34.795000000000002</v>
      </c>
      <c r="H19" s="1213">
        <f t="shared" si="1"/>
        <v>33.35</v>
      </c>
      <c r="I19" s="1214">
        <f t="shared" si="1"/>
        <v>32.32</v>
      </c>
      <c r="J19" s="79"/>
      <c r="K19" s="560" t="s">
        <v>8</v>
      </c>
      <c r="L19" s="561">
        <f>+G14</f>
        <v>33.082000000000008</v>
      </c>
      <c r="M19" s="561">
        <f>+H14</f>
        <v>32.101999999999997</v>
      </c>
      <c r="N19" s="562">
        <f>+I14</f>
        <v>31.744</v>
      </c>
    </row>
    <row r="20" spans="1:14">
      <c r="A20" s="10">
        <v>44627</v>
      </c>
      <c r="B20" s="1107">
        <v>38.47</v>
      </c>
      <c r="C20" s="1108">
        <v>38.85</v>
      </c>
      <c r="D20" s="1108">
        <v>38.24</v>
      </c>
      <c r="E20" s="1109">
        <v>36.93</v>
      </c>
      <c r="F20" s="1107">
        <v>39.380000000000003</v>
      </c>
      <c r="G20" s="1108">
        <v>37.979999999999997</v>
      </c>
      <c r="H20" s="1108">
        <v>37.39</v>
      </c>
      <c r="I20" s="1109">
        <v>36.090000000000003</v>
      </c>
      <c r="J20" s="79"/>
      <c r="K20" s="85" t="s">
        <v>9</v>
      </c>
      <c r="L20" s="86">
        <f>+G19</f>
        <v>34.795000000000002</v>
      </c>
      <c r="M20" s="86">
        <f>+H19</f>
        <v>33.35</v>
      </c>
      <c r="N20" s="87">
        <f>+I19</f>
        <v>32.32</v>
      </c>
    </row>
    <row r="21" spans="1:14">
      <c r="A21" s="1207">
        <v>41344</v>
      </c>
      <c r="B21" s="1211">
        <v>36.049999999999997</v>
      </c>
      <c r="C21" s="1209">
        <v>35.36</v>
      </c>
      <c r="D21" s="1209">
        <v>33.9</v>
      </c>
      <c r="E21" s="1210">
        <v>32.369999999999997</v>
      </c>
      <c r="F21" s="1211">
        <v>34.979999999999997</v>
      </c>
      <c r="G21" s="1209">
        <v>34.69</v>
      </c>
      <c r="H21" s="1209">
        <v>33.229999999999997</v>
      </c>
      <c r="I21" s="1210">
        <v>31.69</v>
      </c>
      <c r="J21" s="79"/>
      <c r="K21" s="85" t="s">
        <v>10</v>
      </c>
      <c r="L21" s="86">
        <f>+G24</f>
        <v>35.25</v>
      </c>
      <c r="M21" s="86">
        <f>+H24</f>
        <v>34.0075</v>
      </c>
      <c r="N21" s="87">
        <f>+I24</f>
        <v>32.204999999999998</v>
      </c>
    </row>
    <row r="22" spans="1:14">
      <c r="A22" s="10">
        <v>41351</v>
      </c>
      <c r="B22" s="1107">
        <v>36.049999999999997</v>
      </c>
      <c r="C22" s="1108">
        <v>34.380000000000003</v>
      </c>
      <c r="D22" s="1108">
        <v>32.93</v>
      </c>
      <c r="E22" s="1109">
        <v>31.2</v>
      </c>
      <c r="F22" s="1107">
        <v>34.979999999999997</v>
      </c>
      <c r="G22" s="1108">
        <v>33.64</v>
      </c>
      <c r="H22" s="1108">
        <v>32.18</v>
      </c>
      <c r="I22" s="1109">
        <v>30.4</v>
      </c>
      <c r="J22" s="79"/>
      <c r="K22" s="85" t="s">
        <v>11</v>
      </c>
      <c r="L22" s="86">
        <f t="shared" ref="L22:N24" si="2">+G29</f>
        <v>33.477499999999999</v>
      </c>
      <c r="M22" s="86">
        <f t="shared" si="2"/>
        <v>32.017499999999998</v>
      </c>
      <c r="N22" s="87">
        <f t="shared" si="2"/>
        <v>29.052499999999998</v>
      </c>
    </row>
    <row r="23" spans="1:14" ht="13.5" thickBot="1">
      <c r="A23" s="1207">
        <v>41358</v>
      </c>
      <c r="B23" s="1211">
        <v>36.049999999999997</v>
      </c>
      <c r="C23" s="1209">
        <v>35.4</v>
      </c>
      <c r="D23" s="1209">
        <v>33.950000000000003</v>
      </c>
      <c r="E23" s="1210">
        <v>31.34</v>
      </c>
      <c r="F23" s="1211">
        <v>34.979999999999997</v>
      </c>
      <c r="G23" s="1209">
        <v>34.69</v>
      </c>
      <c r="H23" s="1209">
        <v>33.229999999999997</v>
      </c>
      <c r="I23" s="1210">
        <v>30.64</v>
      </c>
      <c r="J23" s="79"/>
      <c r="K23" s="85" t="s">
        <v>13</v>
      </c>
      <c r="L23" s="86">
        <f t="shared" si="2"/>
        <v>35.08</v>
      </c>
      <c r="M23" s="86">
        <f t="shared" si="2"/>
        <v>33.46</v>
      </c>
      <c r="N23" s="87">
        <f t="shared" si="2"/>
        <v>28.43</v>
      </c>
    </row>
    <row r="24" spans="1:14" ht="13.5" thickBot="1">
      <c r="A24" s="1212" t="s">
        <v>7</v>
      </c>
      <c r="B24" s="1213">
        <f t="shared" ref="B24:I24" si="3">AVERAGE(B20:B23)</f>
        <v>36.655000000000001</v>
      </c>
      <c r="C24" s="1213">
        <f t="shared" si="3"/>
        <v>35.997500000000002</v>
      </c>
      <c r="D24" s="1213">
        <f t="shared" si="3"/>
        <v>34.754999999999995</v>
      </c>
      <c r="E24" s="1213">
        <f t="shared" si="3"/>
        <v>32.96</v>
      </c>
      <c r="F24" s="1213">
        <f t="shared" si="3"/>
        <v>36.08</v>
      </c>
      <c r="G24" s="1213">
        <f t="shared" si="3"/>
        <v>35.25</v>
      </c>
      <c r="H24" s="1213">
        <f t="shared" si="3"/>
        <v>34.0075</v>
      </c>
      <c r="I24" s="1214">
        <f t="shared" si="3"/>
        <v>32.204999999999998</v>
      </c>
      <c r="J24" s="79"/>
      <c r="K24" s="85" t="s">
        <v>14</v>
      </c>
      <c r="L24" s="86">
        <f t="shared" si="2"/>
        <v>34.31</v>
      </c>
      <c r="M24" s="86">
        <f t="shared" si="2"/>
        <v>32.799999999999997</v>
      </c>
      <c r="N24" s="87">
        <f t="shared" si="2"/>
        <v>27.68</v>
      </c>
    </row>
    <row r="25" spans="1:14">
      <c r="A25" s="10">
        <v>41372</v>
      </c>
      <c r="B25" s="1107">
        <v>35.81</v>
      </c>
      <c r="C25" s="1108">
        <v>35.270000000000003</v>
      </c>
      <c r="D25" s="1108">
        <v>33.79</v>
      </c>
      <c r="E25" s="1109">
        <v>30.91</v>
      </c>
      <c r="F25" s="1107">
        <v>34.979999999999997</v>
      </c>
      <c r="G25" s="1108">
        <v>34.619999999999997</v>
      </c>
      <c r="H25" s="1108">
        <v>33.130000000000003</v>
      </c>
      <c r="I25" s="1109">
        <v>30.2</v>
      </c>
      <c r="J25" s="79"/>
      <c r="K25" s="85" t="s">
        <v>16</v>
      </c>
      <c r="L25" s="86">
        <f t="shared" ref="L25:N27" si="4">+G33</f>
        <v>33.35</v>
      </c>
      <c r="M25" s="86">
        <f t="shared" si="4"/>
        <v>31.97</v>
      </c>
      <c r="N25" s="87">
        <f t="shared" si="4"/>
        <v>27.01</v>
      </c>
    </row>
    <row r="26" spans="1:14">
      <c r="A26" s="1207">
        <v>41379</v>
      </c>
      <c r="B26" s="1211">
        <v>34.9</v>
      </c>
      <c r="C26" s="1209">
        <v>34.299999999999997</v>
      </c>
      <c r="D26" s="1209">
        <v>32.81</v>
      </c>
      <c r="E26" s="1210">
        <v>29.82</v>
      </c>
      <c r="F26" s="1211">
        <v>34.03</v>
      </c>
      <c r="G26" s="1209">
        <v>33.58</v>
      </c>
      <c r="H26" s="1209">
        <v>32.1</v>
      </c>
      <c r="I26" s="1210">
        <v>29.08</v>
      </c>
      <c r="J26" s="79"/>
      <c r="K26" s="85" t="s">
        <v>18</v>
      </c>
      <c r="L26" s="86">
        <f t="shared" si="4"/>
        <v>33.299999999999997</v>
      </c>
      <c r="M26" s="86">
        <f t="shared" si="4"/>
        <v>31.99</v>
      </c>
      <c r="N26" s="87">
        <f t="shared" si="4"/>
        <v>27</v>
      </c>
    </row>
    <row r="27" spans="1:14" ht="13.5" thickBot="1">
      <c r="A27" s="10">
        <v>41386</v>
      </c>
      <c r="B27" s="1107">
        <v>34.32</v>
      </c>
      <c r="C27" s="1108">
        <v>33.630000000000003</v>
      </c>
      <c r="D27" s="1108">
        <v>32.22</v>
      </c>
      <c r="E27" s="1109">
        <v>29.19</v>
      </c>
      <c r="F27" s="1107">
        <v>33.4</v>
      </c>
      <c r="G27" s="1108">
        <v>32.94</v>
      </c>
      <c r="H27" s="1108">
        <v>31.51</v>
      </c>
      <c r="I27" s="1109">
        <v>28.54</v>
      </c>
      <c r="J27" s="79"/>
      <c r="K27" s="88" t="s">
        <v>19</v>
      </c>
      <c r="L27" s="89">
        <f t="shared" si="4"/>
        <v>33.58</v>
      </c>
      <c r="M27" s="89">
        <f t="shared" si="4"/>
        <v>32.090000000000003</v>
      </c>
      <c r="N27" s="90">
        <f t="shared" si="4"/>
        <v>27.6</v>
      </c>
    </row>
    <row r="28" spans="1:14" ht="13.5" thickBot="1">
      <c r="A28" s="1207">
        <v>41393</v>
      </c>
      <c r="B28" s="1211">
        <v>34.21</v>
      </c>
      <c r="C28" s="1209">
        <v>33.49</v>
      </c>
      <c r="D28" s="1209">
        <v>32.03</v>
      </c>
      <c r="E28" s="1210">
        <v>29.04</v>
      </c>
      <c r="F28" s="1211">
        <v>33.29</v>
      </c>
      <c r="G28" s="1209">
        <v>32.770000000000003</v>
      </c>
      <c r="H28" s="1209">
        <v>31.33</v>
      </c>
      <c r="I28" s="1210">
        <v>28.39</v>
      </c>
      <c r="J28" s="79"/>
      <c r="K28" s="85"/>
      <c r="L28" s="86"/>
      <c r="M28" s="86"/>
      <c r="N28" s="86"/>
    </row>
    <row r="29" spans="1:14" ht="13.5" thickBot="1">
      <c r="A29" s="1212" t="s">
        <v>7</v>
      </c>
      <c r="B29" s="1213">
        <f t="shared" ref="B29:I29" si="5">AVERAGE(B25:B28)</f>
        <v>34.81</v>
      </c>
      <c r="C29" s="1213">
        <f t="shared" si="5"/>
        <v>34.172499999999999</v>
      </c>
      <c r="D29" s="1213">
        <f t="shared" si="5"/>
        <v>32.712499999999999</v>
      </c>
      <c r="E29" s="1213">
        <f t="shared" si="5"/>
        <v>29.740000000000002</v>
      </c>
      <c r="F29" s="1213">
        <f t="shared" si="5"/>
        <v>33.924999999999997</v>
      </c>
      <c r="G29" s="1213">
        <f t="shared" si="5"/>
        <v>33.477499999999999</v>
      </c>
      <c r="H29" s="1213">
        <f t="shared" si="5"/>
        <v>32.017499999999998</v>
      </c>
      <c r="I29" s="1214">
        <f t="shared" si="5"/>
        <v>29.052499999999998</v>
      </c>
      <c r="J29" s="79"/>
      <c r="K29" s="85"/>
      <c r="L29" s="86"/>
      <c r="M29" s="86"/>
      <c r="N29" s="87"/>
    </row>
    <row r="30" spans="1:14" ht="13.5" thickBot="1">
      <c r="A30" s="10">
        <v>45048</v>
      </c>
      <c r="B30" s="1107">
        <v>36.58</v>
      </c>
      <c r="C30" s="1108">
        <v>36.090000000000003</v>
      </c>
      <c r="D30" s="1108">
        <v>34.47</v>
      </c>
      <c r="E30" s="1109">
        <v>29.47</v>
      </c>
      <c r="F30" s="1107">
        <v>35.47</v>
      </c>
      <c r="G30" s="1108">
        <v>35.08</v>
      </c>
      <c r="H30" s="1108">
        <v>33.46</v>
      </c>
      <c r="I30" s="1109">
        <v>28.43</v>
      </c>
      <c r="J30" s="79"/>
      <c r="K30" s="88"/>
      <c r="L30" s="89"/>
      <c r="M30" s="89"/>
      <c r="N30" s="90"/>
    </row>
    <row r="31" spans="1:14">
      <c r="A31" s="1207">
        <v>45054</v>
      </c>
      <c r="B31" s="1211">
        <v>35.83</v>
      </c>
      <c r="C31" s="1209">
        <v>35.31</v>
      </c>
      <c r="D31" s="1209">
        <v>33.79</v>
      </c>
      <c r="E31" s="1210">
        <v>28.67</v>
      </c>
      <c r="F31" s="1211">
        <v>34.770000000000003</v>
      </c>
      <c r="G31" s="1209">
        <v>34.31</v>
      </c>
      <c r="H31" s="1209">
        <v>32.799999999999997</v>
      </c>
      <c r="I31" s="1210">
        <v>27.68</v>
      </c>
      <c r="J31" s="79"/>
    </row>
    <row r="32" spans="1:14">
      <c r="A32" s="10">
        <v>45061</v>
      </c>
      <c r="B32" s="1107">
        <v>35.07</v>
      </c>
      <c r="C32" s="1108">
        <v>34.49</v>
      </c>
      <c r="D32" s="1108">
        <v>32.979999999999997</v>
      </c>
      <c r="E32" s="1109">
        <v>28.04</v>
      </c>
      <c r="F32" s="1107">
        <v>33.97</v>
      </c>
      <c r="G32" s="1108">
        <v>33.49</v>
      </c>
      <c r="H32" s="1108">
        <v>31.98</v>
      </c>
      <c r="I32" s="1109">
        <v>27.02</v>
      </c>
      <c r="J32" s="79"/>
    </row>
    <row r="33" spans="1:10" ht="13.5" thickBot="1">
      <c r="A33" s="1207">
        <v>45068</v>
      </c>
      <c r="B33" s="1211">
        <v>34.81</v>
      </c>
      <c r="C33" s="1209">
        <v>34.32</v>
      </c>
      <c r="D33" s="1209">
        <v>32.96</v>
      </c>
      <c r="E33" s="1210">
        <v>28.04</v>
      </c>
      <c r="F33" s="1211">
        <v>33.78</v>
      </c>
      <c r="G33" s="1209">
        <v>33.35</v>
      </c>
      <c r="H33" s="1209">
        <v>31.97</v>
      </c>
      <c r="I33" s="1210">
        <v>27.01</v>
      </c>
      <c r="J33" s="79"/>
    </row>
    <row r="34" spans="1:10" ht="13.5" thickBot="1">
      <c r="A34" s="1212">
        <v>45075</v>
      </c>
      <c r="B34" s="1213">
        <v>34.86</v>
      </c>
      <c r="C34" s="1213">
        <v>34.31</v>
      </c>
      <c r="D34" s="1213">
        <v>32.97</v>
      </c>
      <c r="E34" s="1213">
        <v>27.99</v>
      </c>
      <c r="F34" s="1213">
        <v>33.82</v>
      </c>
      <c r="G34" s="1213">
        <v>33.299999999999997</v>
      </c>
      <c r="H34" s="1213">
        <v>31.99</v>
      </c>
      <c r="I34" s="1214">
        <v>27</v>
      </c>
      <c r="J34" s="79"/>
    </row>
    <row r="35" spans="1:10">
      <c r="A35" s="10">
        <v>41428</v>
      </c>
      <c r="B35" s="1107">
        <v>34.82</v>
      </c>
      <c r="C35" s="1108">
        <v>34.340000000000003</v>
      </c>
      <c r="D35" s="1108">
        <v>32.840000000000003</v>
      </c>
      <c r="E35" s="1109">
        <v>28.26</v>
      </c>
      <c r="F35" s="1107">
        <v>33.96</v>
      </c>
      <c r="G35" s="1108">
        <v>33.58</v>
      </c>
      <c r="H35" s="1108">
        <v>32.090000000000003</v>
      </c>
      <c r="I35" s="1109">
        <v>27.6</v>
      </c>
      <c r="J35" s="79"/>
    </row>
    <row r="36" spans="1:10">
      <c r="A36" s="1207">
        <v>41435</v>
      </c>
      <c r="B36" s="1211">
        <v>34.32</v>
      </c>
      <c r="C36" s="1209">
        <v>33.74</v>
      </c>
      <c r="D36" s="1209">
        <v>32.25</v>
      </c>
      <c r="E36" s="1210">
        <v>27.7</v>
      </c>
      <c r="F36" s="1211">
        <v>33.409999999999997</v>
      </c>
      <c r="G36" s="1209">
        <v>33</v>
      </c>
      <c r="H36" s="1209">
        <v>31.51</v>
      </c>
      <c r="I36" s="1210">
        <v>27.03</v>
      </c>
      <c r="J36" s="79"/>
    </row>
    <row r="37" spans="1:10">
      <c r="A37" s="10">
        <v>41442</v>
      </c>
      <c r="B37" s="1107">
        <v>35.340000000000003</v>
      </c>
      <c r="C37" s="1108">
        <v>34.64</v>
      </c>
      <c r="D37" s="1108">
        <v>33.19</v>
      </c>
      <c r="E37" s="1109">
        <v>29.55</v>
      </c>
      <c r="F37" s="1107">
        <v>34.450000000000003</v>
      </c>
      <c r="G37" s="1108">
        <v>33.92</v>
      </c>
      <c r="H37" s="1108">
        <v>32.450000000000003</v>
      </c>
      <c r="I37" s="1109">
        <v>28.94</v>
      </c>
      <c r="J37" s="79"/>
    </row>
    <row r="38" spans="1:10" ht="13.5" thickBot="1">
      <c r="A38" s="1207">
        <v>41449</v>
      </c>
      <c r="B38" s="1211">
        <v>34.89</v>
      </c>
      <c r="C38" s="1209">
        <v>34.270000000000003</v>
      </c>
      <c r="D38" s="1209">
        <v>32.82</v>
      </c>
      <c r="E38" s="1210">
        <v>29.19</v>
      </c>
      <c r="F38" s="1211">
        <v>33.94</v>
      </c>
      <c r="G38" s="1209">
        <v>33.5</v>
      </c>
      <c r="H38" s="1209">
        <v>32.01</v>
      </c>
      <c r="I38" s="1210">
        <v>28.51</v>
      </c>
      <c r="J38" s="79"/>
    </row>
    <row r="39" spans="1:10" ht="13.5" thickBot="1">
      <c r="A39" s="1212" t="s">
        <v>7</v>
      </c>
      <c r="B39" s="1213">
        <f t="shared" ref="B39:I39" si="6">AVERAGE(B35:B38)</f>
        <v>34.842500000000001</v>
      </c>
      <c r="C39" s="1213">
        <f t="shared" si="6"/>
        <v>34.247500000000002</v>
      </c>
      <c r="D39" s="1213">
        <f t="shared" si="6"/>
        <v>32.774999999999999</v>
      </c>
      <c r="E39" s="1213">
        <f t="shared" si="6"/>
        <v>28.675000000000001</v>
      </c>
      <c r="F39" s="1213">
        <f t="shared" si="6"/>
        <v>33.94</v>
      </c>
      <c r="G39" s="1213">
        <f t="shared" si="6"/>
        <v>33.5</v>
      </c>
      <c r="H39" s="1213">
        <f t="shared" si="6"/>
        <v>32.015000000000001</v>
      </c>
      <c r="I39" s="1214">
        <f t="shared" si="6"/>
        <v>28.020000000000003</v>
      </c>
      <c r="J39" s="79"/>
    </row>
    <row r="40" spans="1:10" ht="13.5" hidden="1" thickBot="1">
      <c r="A40" s="74"/>
      <c r="B40" s="83"/>
      <c r="C40" s="56"/>
      <c r="D40" s="56"/>
      <c r="E40" s="56"/>
      <c r="F40" s="83"/>
      <c r="G40" s="56"/>
      <c r="H40" s="56"/>
      <c r="I40" s="62"/>
      <c r="J40" s="79"/>
    </row>
    <row r="41" spans="1:10" ht="13.5" hidden="1" thickBot="1">
      <c r="A41" s="10"/>
      <c r="B41" s="83"/>
      <c r="C41" s="56"/>
      <c r="D41" s="56"/>
      <c r="E41" s="56"/>
      <c r="F41" s="83"/>
      <c r="G41" s="56"/>
      <c r="H41" s="56"/>
      <c r="I41" s="62"/>
      <c r="J41" s="79"/>
    </row>
    <row r="42" spans="1:10" ht="13.5" hidden="1" thickBot="1">
      <c r="A42" s="10"/>
      <c r="B42" s="83"/>
      <c r="C42" s="56"/>
      <c r="D42" s="56"/>
      <c r="E42" s="56"/>
      <c r="F42" s="83"/>
      <c r="G42" s="56"/>
      <c r="H42" s="56"/>
      <c r="I42" s="62"/>
      <c r="J42" s="79"/>
    </row>
    <row r="43" spans="1:10" ht="13.5" hidden="1" thickBot="1">
      <c r="A43" s="57"/>
      <c r="B43" s="83"/>
      <c r="C43" s="56"/>
      <c r="D43" s="56"/>
      <c r="E43" s="56"/>
      <c r="F43" s="83"/>
      <c r="G43" s="56"/>
      <c r="H43" s="56"/>
      <c r="I43" s="62"/>
      <c r="J43" s="79"/>
    </row>
    <row r="44" spans="1:10" ht="13.5" hidden="1" thickBot="1">
      <c r="A44" s="73" t="s">
        <v>7</v>
      </c>
      <c r="B44" s="110"/>
      <c r="C44" s="96" t="e">
        <f>AVERAGE(C40:C43)</f>
        <v>#DIV/0!</v>
      </c>
      <c r="D44" s="19" t="e">
        <f>AVERAGE(D40:D43)</f>
        <v>#DIV/0!</v>
      </c>
      <c r="E44" s="20" t="e">
        <f>AVERAGE(E40:E43)</f>
        <v>#DIV/0!</v>
      </c>
      <c r="F44" s="110"/>
      <c r="G44" s="96" t="e">
        <f>AVERAGE(G40:G43)</f>
        <v>#DIV/0!</v>
      </c>
      <c r="H44" s="19" t="e">
        <f>AVERAGE(H40:H43)</f>
        <v>#DIV/0!</v>
      </c>
      <c r="I44" s="20" t="e">
        <f>AVERAGE(I40:I43)</f>
        <v>#DIV/0!</v>
      </c>
      <c r="J44" s="79"/>
    </row>
    <row r="45" spans="1:10" ht="13.5" hidden="1" thickBot="1">
      <c r="A45" s="10"/>
      <c r="B45" s="83"/>
      <c r="C45" s="56"/>
      <c r="D45" s="56"/>
      <c r="E45" s="62"/>
      <c r="F45" s="83"/>
      <c r="G45" s="56"/>
      <c r="H45" s="56"/>
      <c r="I45" s="62"/>
      <c r="J45" s="79"/>
    </row>
    <row r="46" spans="1:10" ht="13.5" hidden="1" thickBot="1">
      <c r="A46" s="10"/>
      <c r="B46" s="83"/>
      <c r="C46" s="56"/>
      <c r="D46" s="56"/>
      <c r="E46" s="62"/>
      <c r="F46" s="83"/>
      <c r="G46" s="56"/>
      <c r="H46" s="56"/>
      <c r="I46" s="62"/>
      <c r="J46" s="79"/>
    </row>
    <row r="47" spans="1:10" ht="13.5" hidden="1" thickBot="1">
      <c r="A47" s="10"/>
      <c r="B47" s="83"/>
      <c r="C47" s="56"/>
      <c r="D47" s="56"/>
      <c r="E47" s="62"/>
      <c r="F47" s="83"/>
      <c r="G47" s="56"/>
      <c r="H47" s="56"/>
      <c r="I47" s="62"/>
      <c r="J47" s="75"/>
    </row>
    <row r="48" spans="1:10" ht="13.5" hidden="1" thickBot="1">
      <c r="A48" s="10"/>
      <c r="B48" s="83"/>
      <c r="C48" s="56"/>
      <c r="D48" s="56"/>
      <c r="E48" s="62"/>
      <c r="F48" s="83"/>
      <c r="G48" s="56"/>
      <c r="H48" s="56"/>
      <c r="I48" s="62"/>
      <c r="J48" s="79"/>
    </row>
    <row r="49" spans="1:10" ht="13.5" hidden="1" thickBot="1">
      <c r="A49" s="17" t="s">
        <v>7</v>
      </c>
      <c r="B49" s="110"/>
      <c r="C49" s="96" t="e">
        <f>AVERAGE(C45:C48)</f>
        <v>#DIV/0!</v>
      </c>
      <c r="D49" s="19" t="e">
        <f>AVERAGE(D45:D48)</f>
        <v>#DIV/0!</v>
      </c>
      <c r="E49" s="20" t="e">
        <f>AVERAGE(E45:E48)</f>
        <v>#DIV/0!</v>
      </c>
      <c r="F49" s="110"/>
      <c r="G49" s="96" t="e">
        <f>AVERAGE(G45:G48)</f>
        <v>#DIV/0!</v>
      </c>
      <c r="H49" s="19" t="e">
        <f>AVERAGE(H45:H48)</f>
        <v>#DIV/0!</v>
      </c>
      <c r="I49" s="20" t="e">
        <f>AVERAGE(I45:I48)</f>
        <v>#DIV/0!</v>
      </c>
      <c r="J49" s="79"/>
    </row>
    <row r="50" spans="1:10" ht="13.5" hidden="1" thickBot="1">
      <c r="A50" s="10"/>
      <c r="B50" s="83"/>
      <c r="C50" s="56"/>
      <c r="D50" s="56"/>
      <c r="E50" s="62"/>
      <c r="F50" s="83"/>
      <c r="G50" s="56"/>
      <c r="H50" s="56"/>
      <c r="I50" s="62"/>
      <c r="J50" s="79"/>
    </row>
    <row r="51" spans="1:10" ht="13.5" hidden="1" thickBot="1">
      <c r="A51" s="10"/>
      <c r="B51" s="83"/>
      <c r="C51" s="56"/>
      <c r="D51" s="56"/>
      <c r="E51" s="62"/>
      <c r="F51" s="83"/>
      <c r="G51" s="56"/>
      <c r="H51" s="56"/>
      <c r="I51" s="62"/>
      <c r="J51" s="79"/>
    </row>
    <row r="52" spans="1:10" ht="13.5" hidden="1" thickBot="1">
      <c r="A52" s="10"/>
      <c r="B52" s="83"/>
      <c r="C52" s="56"/>
      <c r="D52" s="56"/>
      <c r="E52" s="62"/>
      <c r="F52" s="83"/>
      <c r="G52" s="56"/>
      <c r="H52" s="56"/>
      <c r="I52" s="62"/>
      <c r="J52" s="79"/>
    </row>
    <row r="53" spans="1:10" ht="13.5" hidden="1" thickBot="1">
      <c r="A53" s="10"/>
      <c r="B53" s="83"/>
      <c r="C53" s="56"/>
      <c r="D53" s="56"/>
      <c r="E53" s="62"/>
      <c r="F53" s="83"/>
      <c r="G53" s="56"/>
      <c r="H53" s="56"/>
      <c r="I53" s="62"/>
      <c r="J53" s="79"/>
    </row>
    <row r="54" spans="1:10" ht="13.5" hidden="1" thickBot="1">
      <c r="A54" s="10"/>
      <c r="B54" s="83"/>
      <c r="C54" s="56"/>
      <c r="D54" s="56"/>
      <c r="E54" s="62"/>
      <c r="F54" s="83"/>
      <c r="G54" s="56"/>
      <c r="H54" s="56"/>
      <c r="I54" s="62"/>
      <c r="J54" s="79"/>
    </row>
    <row r="55" spans="1:10" ht="13.5" hidden="1" thickBot="1">
      <c r="A55" s="17" t="s">
        <v>7</v>
      </c>
      <c r="B55" s="110"/>
      <c r="C55" s="96" t="e">
        <f>AVERAGE(C50:C54)</f>
        <v>#DIV/0!</v>
      </c>
      <c r="D55" s="19" t="e">
        <f>AVERAGE(D50:D54)</f>
        <v>#DIV/0!</v>
      </c>
      <c r="E55" s="20" t="e">
        <f>AVERAGE(E50:E54)</f>
        <v>#DIV/0!</v>
      </c>
      <c r="F55" s="110"/>
      <c r="G55" s="96" t="e">
        <f>AVERAGE(G50:G54)</f>
        <v>#DIV/0!</v>
      </c>
      <c r="H55" s="19" t="e">
        <f>AVERAGE(H50:H54)</f>
        <v>#DIV/0!</v>
      </c>
      <c r="I55" s="20" t="e">
        <f>AVERAGE(I50:I54)</f>
        <v>#DIV/0!</v>
      </c>
      <c r="J55" s="79"/>
    </row>
    <row r="56" spans="1:10" ht="13.5" hidden="1" thickBot="1">
      <c r="A56" s="112"/>
      <c r="B56" s="111"/>
      <c r="C56" s="56"/>
      <c r="D56" s="56"/>
      <c r="E56" s="62"/>
      <c r="F56" s="111"/>
      <c r="G56" s="56"/>
      <c r="H56" s="56"/>
      <c r="I56" s="62"/>
      <c r="J56" s="63"/>
    </row>
    <row r="57" spans="1:10" ht="13.5" hidden="1" thickBot="1">
      <c r="A57" s="112"/>
      <c r="B57" s="111"/>
      <c r="C57" s="56"/>
      <c r="D57" s="56"/>
      <c r="E57" s="62"/>
      <c r="F57" s="111"/>
      <c r="G57" s="56"/>
      <c r="H57" s="56"/>
      <c r="I57" s="62"/>
      <c r="J57" s="63"/>
    </row>
    <row r="58" spans="1:10" ht="13.5" hidden="1" thickBot="1">
      <c r="A58" s="112"/>
      <c r="B58" s="111"/>
      <c r="C58" s="56"/>
      <c r="D58" s="56"/>
      <c r="E58" s="62"/>
      <c r="F58" s="111"/>
      <c r="G58" s="56"/>
      <c r="H58" s="56"/>
      <c r="I58" s="62"/>
      <c r="J58" s="63"/>
    </row>
    <row r="59" spans="1:10" ht="13.5" hidden="1" thickBot="1">
      <c r="A59" s="112"/>
      <c r="B59" s="111"/>
      <c r="C59" s="56"/>
      <c r="D59" s="56"/>
      <c r="E59" s="62"/>
      <c r="F59" s="111"/>
      <c r="G59" s="56"/>
      <c r="H59" s="56"/>
      <c r="I59" s="62"/>
      <c r="J59" s="63"/>
    </row>
    <row r="60" spans="1:10" ht="13.5" hidden="1" thickBot="1">
      <c r="A60" s="17" t="s">
        <v>7</v>
      </c>
      <c r="B60" s="110"/>
      <c r="C60" s="96" t="e">
        <f>AVERAGE(C56:C59)</f>
        <v>#DIV/0!</v>
      </c>
      <c r="D60" s="19" t="e">
        <f>AVERAGE(D56:D59)</f>
        <v>#DIV/0!</v>
      </c>
      <c r="E60" s="20" t="e">
        <f>AVERAGE(E56:E59)</f>
        <v>#DIV/0!</v>
      </c>
      <c r="F60" s="110"/>
      <c r="G60" s="96" t="e">
        <f>AVERAGE(G56:G59)</f>
        <v>#DIV/0!</v>
      </c>
      <c r="H60" s="19" t="e">
        <f>AVERAGE(H56:H59)</f>
        <v>#DIV/0!</v>
      </c>
      <c r="I60" s="20" t="e">
        <f>AVERAGE(I56:I59)</f>
        <v>#DIV/0!</v>
      </c>
      <c r="J60" s="63"/>
    </row>
    <row r="61" spans="1:10" ht="13.5" hidden="1" thickBot="1">
      <c r="A61" s="112"/>
      <c r="B61" s="111"/>
      <c r="C61" s="56"/>
      <c r="D61" s="56"/>
      <c r="E61" s="62"/>
      <c r="F61" s="111"/>
      <c r="G61" s="56"/>
      <c r="H61" s="56"/>
      <c r="I61" s="62"/>
      <c r="J61" s="63"/>
    </row>
    <row r="62" spans="1:10" ht="13.5" hidden="1" thickBot="1">
      <c r="A62" s="112"/>
      <c r="B62" s="111"/>
      <c r="C62" s="56"/>
      <c r="D62" s="56"/>
      <c r="E62" s="62"/>
      <c r="F62" s="111"/>
      <c r="G62" s="56"/>
      <c r="H62" s="56"/>
      <c r="I62" s="62"/>
      <c r="J62" s="63"/>
    </row>
    <row r="63" spans="1:10" ht="13.5" hidden="1" thickBot="1">
      <c r="A63" s="112"/>
      <c r="B63" s="111"/>
      <c r="C63" s="56"/>
      <c r="D63" s="56"/>
      <c r="E63" s="62"/>
      <c r="F63" s="111"/>
      <c r="G63" s="56"/>
      <c r="H63" s="56"/>
      <c r="I63" s="62"/>
      <c r="J63" s="63"/>
    </row>
    <row r="64" spans="1:10" ht="13.5" hidden="1" thickBot="1">
      <c r="A64" s="112"/>
      <c r="B64" s="111"/>
      <c r="C64" s="56"/>
      <c r="D64" s="56"/>
      <c r="E64" s="62"/>
      <c r="F64" s="111"/>
      <c r="G64" s="56"/>
      <c r="H64" s="56"/>
      <c r="I64" s="62"/>
      <c r="J64" s="63"/>
    </row>
    <row r="65" spans="1:10" ht="13.5" hidden="1" thickBot="1">
      <c r="A65" s="17" t="s">
        <v>7</v>
      </c>
      <c r="B65" s="110"/>
      <c r="C65" s="96" t="e">
        <f>AVERAGE(C61:C64)</f>
        <v>#DIV/0!</v>
      </c>
      <c r="D65" s="19" t="e">
        <f>AVERAGE(D61:D64)</f>
        <v>#DIV/0!</v>
      </c>
      <c r="E65" s="20" t="e">
        <f>AVERAGE(E61:E64)</f>
        <v>#DIV/0!</v>
      </c>
      <c r="F65" s="110"/>
      <c r="G65" s="96" t="e">
        <f>AVERAGE(G61:G64)</f>
        <v>#DIV/0!</v>
      </c>
      <c r="H65" s="19" t="e">
        <f>AVERAGE(H61:H64)</f>
        <v>#DIV/0!</v>
      </c>
      <c r="I65" s="20" t="e">
        <f>AVERAGE(I61:I64)</f>
        <v>#DIV/0!</v>
      </c>
      <c r="J65" s="63"/>
    </row>
    <row r="66" spans="1:10" ht="13.5" hidden="1" thickBot="1">
      <c r="A66" s="112"/>
      <c r="B66" s="111"/>
      <c r="C66" s="56"/>
      <c r="D66" s="56"/>
      <c r="E66" s="62"/>
      <c r="F66" s="111"/>
      <c r="G66" s="56"/>
      <c r="H66" s="56"/>
      <c r="I66" s="62"/>
      <c r="J66" s="63"/>
    </row>
    <row r="67" spans="1:10" ht="13.5" hidden="1" thickBot="1">
      <c r="A67" s="112"/>
      <c r="B67" s="111"/>
      <c r="C67" s="56"/>
      <c r="D67" s="56"/>
      <c r="E67" s="62"/>
      <c r="F67" s="111"/>
      <c r="G67" s="56"/>
      <c r="H67" s="56"/>
      <c r="I67" s="62"/>
      <c r="J67" s="63"/>
    </row>
    <row r="68" spans="1:10" ht="13.5" hidden="1" thickBot="1">
      <c r="A68" s="112"/>
      <c r="B68" s="111"/>
      <c r="C68" s="56"/>
      <c r="D68" s="56"/>
      <c r="E68" s="62"/>
      <c r="F68" s="111"/>
      <c r="G68" s="56"/>
      <c r="H68" s="56"/>
      <c r="I68" s="62"/>
      <c r="J68" s="63"/>
    </row>
    <row r="69" spans="1:10" ht="13.5" hidden="1" thickBot="1">
      <c r="A69" s="112"/>
      <c r="B69" s="111"/>
      <c r="C69" s="56"/>
      <c r="D69" s="56"/>
      <c r="E69" s="62"/>
      <c r="F69" s="111"/>
      <c r="G69" s="56"/>
      <c r="H69" s="56"/>
      <c r="I69" s="62"/>
      <c r="J69" s="63"/>
    </row>
    <row r="70" spans="1:10" ht="13.5" hidden="1" thickBot="1">
      <c r="A70" s="112"/>
      <c r="B70" s="111"/>
      <c r="C70" s="56"/>
      <c r="D70" s="56"/>
      <c r="E70" s="62"/>
      <c r="F70" s="111"/>
      <c r="G70" s="56"/>
      <c r="H70" s="56"/>
      <c r="I70" s="62"/>
      <c r="J70" s="63"/>
    </row>
    <row r="71" spans="1:10" ht="13.5" hidden="1" thickBot="1">
      <c r="A71" s="17" t="s">
        <v>7</v>
      </c>
      <c r="B71" s="110"/>
      <c r="C71" s="96" t="e">
        <f>AVERAGE(C66:C70)</f>
        <v>#DIV/0!</v>
      </c>
      <c r="D71" s="19" t="e">
        <f>AVERAGE(D66:D70)</f>
        <v>#DIV/0!</v>
      </c>
      <c r="E71" s="20" t="e">
        <f>AVERAGE(E66:E70)</f>
        <v>#DIV/0!</v>
      </c>
      <c r="F71" s="110"/>
      <c r="G71" s="96" t="e">
        <f>AVERAGE(G66:G70)</f>
        <v>#DIV/0!</v>
      </c>
      <c r="H71" s="19" t="e">
        <f>AVERAGE(H66:H70)</f>
        <v>#DIV/0!</v>
      </c>
      <c r="I71" s="20" t="e">
        <f>AVERAGE(I66:I70)</f>
        <v>#DIV/0!</v>
      </c>
      <c r="J71" s="63"/>
    </row>
    <row r="72" spans="1:10" ht="13.5" hidden="1" thickBot="1">
      <c r="A72" s="112"/>
      <c r="B72" s="111"/>
      <c r="C72" s="56"/>
      <c r="D72" s="56"/>
      <c r="E72" s="62"/>
      <c r="F72" s="111"/>
      <c r="G72" s="56"/>
      <c r="H72" s="56"/>
      <c r="I72" s="62"/>
      <c r="J72" s="63"/>
    </row>
    <row r="73" spans="1:10" ht="13.5" hidden="1" thickBot="1">
      <c r="A73" s="112"/>
      <c r="B73" s="111"/>
      <c r="C73" s="56"/>
      <c r="D73" s="56"/>
      <c r="E73" s="62"/>
      <c r="F73" s="111"/>
      <c r="G73" s="56"/>
      <c r="H73" s="56"/>
      <c r="I73" s="62"/>
      <c r="J73" s="63"/>
    </row>
    <row r="74" spans="1:10" ht="13.5" hidden="1" thickBot="1">
      <c r="A74" s="112"/>
      <c r="B74" s="111"/>
      <c r="C74" s="56"/>
      <c r="D74" s="56"/>
      <c r="E74" s="62"/>
      <c r="F74" s="111"/>
      <c r="G74" s="56"/>
      <c r="H74" s="56"/>
      <c r="I74" s="62"/>
      <c r="J74" s="63"/>
    </row>
    <row r="75" spans="1:10" ht="13.5" hidden="1" thickBot="1">
      <c r="A75" s="112"/>
      <c r="B75" s="111"/>
      <c r="C75" s="56"/>
      <c r="D75" s="56"/>
      <c r="E75" s="62"/>
      <c r="F75" s="111"/>
      <c r="G75" s="56"/>
      <c r="H75" s="56"/>
      <c r="I75" s="62"/>
      <c r="J75" s="63"/>
    </row>
    <row r="76" spans="1:10" ht="13.5" hidden="1" thickBot="1">
      <c r="A76" s="17" t="s">
        <v>7</v>
      </c>
      <c r="B76" s="110"/>
      <c r="C76" s="96" t="e">
        <f>AVERAGE(C72:C75)</f>
        <v>#DIV/0!</v>
      </c>
      <c r="D76" s="19" t="e">
        <f>AVERAGE(D72:D75)</f>
        <v>#DIV/0!</v>
      </c>
      <c r="E76" s="20" t="e">
        <f>AVERAGE(E72:E75)</f>
        <v>#DIV/0!</v>
      </c>
      <c r="F76" s="110"/>
      <c r="G76" s="96" t="e">
        <f>AVERAGE(G72:G75)</f>
        <v>#DIV/0!</v>
      </c>
      <c r="H76" s="19" t="e">
        <f>AVERAGE(H72:H75)</f>
        <v>#DIV/0!</v>
      </c>
      <c r="I76" s="20" t="e">
        <f>AVERAGE(I72:I75)</f>
        <v>#DIV/0!</v>
      </c>
      <c r="J76" s="63"/>
    </row>
    <row r="77" spans="1:10" ht="13.5" hidden="1" thickBot="1">
      <c r="A77" s="113"/>
      <c r="B77" s="47"/>
      <c r="C77" s="48"/>
      <c r="D77" s="49"/>
      <c r="E77" s="50"/>
      <c r="F77" s="47"/>
      <c r="G77" s="48"/>
      <c r="H77" s="49"/>
      <c r="I77" s="77"/>
      <c r="J77" s="63"/>
    </row>
    <row r="78" spans="1:10">
      <c r="A78" s="10">
        <v>41457</v>
      </c>
      <c r="B78" s="1107">
        <v>34.85</v>
      </c>
      <c r="C78" s="1108">
        <v>34.33</v>
      </c>
      <c r="D78" s="1108">
        <v>32.86</v>
      </c>
      <c r="E78" s="1109">
        <v>30.02</v>
      </c>
      <c r="F78" s="1107">
        <v>33.99</v>
      </c>
      <c r="G78" s="1108">
        <v>33.590000000000003</v>
      </c>
      <c r="H78" s="1108">
        <v>32.1</v>
      </c>
      <c r="I78" s="1109">
        <v>29.4</v>
      </c>
      <c r="J78" s="63"/>
    </row>
    <row r="79" spans="1:10">
      <c r="A79" s="1207">
        <v>41463</v>
      </c>
      <c r="B79" s="1211">
        <v>35.28</v>
      </c>
      <c r="C79" s="1209">
        <v>34.630000000000003</v>
      </c>
      <c r="D79" s="1209">
        <v>33.19</v>
      </c>
      <c r="E79" s="1210">
        <v>30.85</v>
      </c>
      <c r="F79" s="1211">
        <v>34.44</v>
      </c>
      <c r="G79" s="1209">
        <v>33.909999999999997</v>
      </c>
      <c r="H79" s="1209">
        <v>32.46</v>
      </c>
      <c r="I79" s="1210">
        <v>30.18</v>
      </c>
      <c r="J79" s="63"/>
    </row>
    <row r="80" spans="1:10">
      <c r="A80" s="10">
        <v>41470</v>
      </c>
      <c r="B80" s="1107">
        <v>36.57</v>
      </c>
      <c r="C80" s="1108">
        <v>35.520000000000003</v>
      </c>
      <c r="D80" s="1108">
        <v>34.03</v>
      </c>
      <c r="E80" s="1109">
        <v>30.85</v>
      </c>
      <c r="F80" s="1107">
        <v>35.76</v>
      </c>
      <c r="G80" s="1108">
        <v>34.85</v>
      </c>
      <c r="H80" s="1108">
        <v>33.31</v>
      </c>
      <c r="I80" s="1109">
        <v>30.18</v>
      </c>
      <c r="J80" s="63"/>
    </row>
    <row r="81" spans="1:10">
      <c r="A81" s="1207">
        <v>41477</v>
      </c>
      <c r="B81" s="1211">
        <v>37.56</v>
      </c>
      <c r="C81" s="1209">
        <v>36.869999999999997</v>
      </c>
      <c r="D81" s="1209">
        <v>35.43</v>
      </c>
      <c r="E81" s="1210">
        <v>31.6</v>
      </c>
      <c r="F81" s="1211">
        <v>36.69</v>
      </c>
      <c r="G81" s="1209">
        <v>36.22</v>
      </c>
      <c r="H81" s="1209">
        <v>34.700000000000003</v>
      </c>
      <c r="I81" s="1210">
        <v>30.93</v>
      </c>
      <c r="J81" s="63"/>
    </row>
    <row r="82" spans="1:10" ht="13.5" thickBot="1">
      <c r="A82" s="10">
        <v>41484</v>
      </c>
      <c r="B82" s="1107">
        <v>37.119999999999997</v>
      </c>
      <c r="C82" s="1108">
        <v>36.869999999999997</v>
      </c>
      <c r="D82" s="1108">
        <v>35.43</v>
      </c>
      <c r="E82" s="1109">
        <v>31.6</v>
      </c>
      <c r="F82" s="1107">
        <v>36.270000000000003</v>
      </c>
      <c r="G82" s="1108">
        <v>35.799999999999997</v>
      </c>
      <c r="H82" s="1108">
        <v>34.31</v>
      </c>
      <c r="I82" s="1109">
        <v>30.52</v>
      </c>
      <c r="J82" s="63"/>
    </row>
    <row r="83" spans="1:10" ht="13.5" thickBot="1">
      <c r="A83" s="1212" t="s">
        <v>7</v>
      </c>
      <c r="B83" s="1213">
        <f t="shared" ref="B83:I83" si="7">AVERAGE(B78:B82)</f>
        <v>36.275999999999996</v>
      </c>
      <c r="C83" s="1213">
        <f t="shared" si="7"/>
        <v>35.644000000000005</v>
      </c>
      <c r="D83" s="1213">
        <f t="shared" si="7"/>
        <v>34.188000000000002</v>
      </c>
      <c r="E83" s="1213">
        <f t="shared" si="7"/>
        <v>30.983999999999998</v>
      </c>
      <c r="F83" s="1213">
        <f t="shared" si="7"/>
        <v>35.43</v>
      </c>
      <c r="G83" s="1213">
        <f t="shared" si="7"/>
        <v>34.874000000000002</v>
      </c>
      <c r="H83" s="1213">
        <f t="shared" si="7"/>
        <v>33.375999999999998</v>
      </c>
      <c r="I83" s="1214">
        <f t="shared" si="7"/>
        <v>30.242000000000001</v>
      </c>
      <c r="J83" s="63"/>
    </row>
    <row r="84" spans="1:10">
      <c r="A84" s="10">
        <v>41491</v>
      </c>
      <c r="B84" s="1107">
        <v>37.119999999999997</v>
      </c>
      <c r="C84" s="1108">
        <v>36.520000000000003</v>
      </c>
      <c r="D84" s="1108">
        <v>35.020000000000003</v>
      </c>
      <c r="E84" s="1109">
        <v>31.23</v>
      </c>
      <c r="F84" s="1107">
        <v>36.270000000000003</v>
      </c>
      <c r="G84" s="1108">
        <v>35.799999999999997</v>
      </c>
      <c r="H84" s="1108">
        <v>34.31</v>
      </c>
      <c r="I84" s="1109">
        <v>30.52</v>
      </c>
      <c r="J84" s="127"/>
    </row>
    <row r="85" spans="1:10">
      <c r="A85" s="1207">
        <v>41498</v>
      </c>
      <c r="B85" s="1211">
        <v>36.71</v>
      </c>
      <c r="C85" s="1209">
        <v>36.21</v>
      </c>
      <c r="D85" s="1209">
        <v>34.729999999999997</v>
      </c>
      <c r="E85" s="1210">
        <v>30.9</v>
      </c>
      <c r="F85" s="1211">
        <v>35.78</v>
      </c>
      <c r="G85" s="1209">
        <v>35.450000000000003</v>
      </c>
      <c r="H85" s="1209">
        <v>33.950000000000003</v>
      </c>
      <c r="I85" s="1210">
        <v>30.15</v>
      </c>
      <c r="J85" s="127"/>
    </row>
    <row r="86" spans="1:10">
      <c r="A86" s="10">
        <v>41505</v>
      </c>
      <c r="B86" s="1107">
        <v>36.630000000000003</v>
      </c>
      <c r="C86" s="1108">
        <v>36.07</v>
      </c>
      <c r="D86" s="1108">
        <v>34.590000000000003</v>
      </c>
      <c r="E86" s="1109">
        <v>31.15</v>
      </c>
      <c r="F86" s="1107">
        <v>35.770000000000003</v>
      </c>
      <c r="G86" s="1108">
        <v>35.299999999999997</v>
      </c>
      <c r="H86" s="1108">
        <v>33.799999999999997</v>
      </c>
      <c r="I86" s="1109">
        <v>30.43</v>
      </c>
      <c r="J86" s="127"/>
    </row>
    <row r="87" spans="1:10" ht="13.5" thickBot="1">
      <c r="A87" s="1207">
        <v>41513</v>
      </c>
      <c r="B87" s="1211">
        <v>37.159999999999997</v>
      </c>
      <c r="C87" s="1209">
        <v>36.5</v>
      </c>
      <c r="D87" s="1209">
        <v>34.979999999999997</v>
      </c>
      <c r="E87" s="1210">
        <v>32.299999999999997</v>
      </c>
      <c r="F87" s="1211">
        <v>36.299999999999997</v>
      </c>
      <c r="G87" s="1209">
        <v>35.76</v>
      </c>
      <c r="H87" s="1209">
        <v>34.270000000000003</v>
      </c>
      <c r="I87" s="1210">
        <v>31.66</v>
      </c>
      <c r="J87" s="127"/>
    </row>
    <row r="88" spans="1:10" ht="13.5" thickBot="1">
      <c r="A88" s="1212" t="s">
        <v>7</v>
      </c>
      <c r="B88" s="1213">
        <f t="shared" ref="B88:I88" si="8">AVERAGE(B84:B87)</f>
        <v>36.905000000000001</v>
      </c>
      <c r="C88" s="1213">
        <f t="shared" si="8"/>
        <v>36.325000000000003</v>
      </c>
      <c r="D88" s="1213">
        <f t="shared" si="8"/>
        <v>34.83</v>
      </c>
      <c r="E88" s="1213">
        <f t="shared" si="8"/>
        <v>31.395</v>
      </c>
      <c r="F88" s="1213">
        <f t="shared" si="8"/>
        <v>36.03</v>
      </c>
      <c r="G88" s="1213">
        <f t="shared" si="8"/>
        <v>35.577500000000001</v>
      </c>
      <c r="H88" s="1213">
        <f t="shared" si="8"/>
        <v>34.082500000000003</v>
      </c>
      <c r="I88" s="1214">
        <f t="shared" si="8"/>
        <v>30.689999999999998</v>
      </c>
      <c r="J88" s="127"/>
    </row>
    <row r="89" spans="1:10">
      <c r="A89" s="10">
        <v>41519</v>
      </c>
      <c r="B89" s="1107">
        <v>37.82</v>
      </c>
      <c r="C89" s="1108">
        <v>37.17</v>
      </c>
      <c r="D89" s="1108">
        <v>35.64</v>
      </c>
      <c r="E89" s="1109">
        <v>33.1</v>
      </c>
      <c r="F89" s="1107">
        <v>36.950000000000003</v>
      </c>
      <c r="G89" s="1108">
        <v>36.450000000000003</v>
      </c>
      <c r="H89" s="1108">
        <v>34.909999999999997</v>
      </c>
      <c r="I89" s="1109">
        <v>32.44</v>
      </c>
      <c r="J89" s="127"/>
    </row>
    <row r="90" spans="1:10">
      <c r="A90" s="1207">
        <v>41526</v>
      </c>
      <c r="B90" s="1211">
        <v>37.36</v>
      </c>
      <c r="C90" s="1209">
        <v>36.79</v>
      </c>
      <c r="D90" s="1209">
        <v>35.29</v>
      </c>
      <c r="E90" s="1210">
        <v>32.71</v>
      </c>
      <c r="F90" s="1211">
        <v>36.520000000000003</v>
      </c>
      <c r="G90" s="1209">
        <v>36.049999999999997</v>
      </c>
      <c r="H90" s="1209">
        <v>34.549999999999997</v>
      </c>
      <c r="I90" s="1210">
        <v>32.03</v>
      </c>
      <c r="J90" s="127"/>
    </row>
    <row r="91" spans="1:10">
      <c r="A91" s="10">
        <v>41534</v>
      </c>
      <c r="B91" s="1107">
        <v>36.31</v>
      </c>
      <c r="C91" s="1108">
        <v>35.82</v>
      </c>
      <c r="D91" s="1108">
        <v>34.340000000000003</v>
      </c>
      <c r="E91" s="1109">
        <v>32.49</v>
      </c>
      <c r="F91" s="1107">
        <v>35.450000000000003</v>
      </c>
      <c r="G91" s="1108">
        <v>35.07</v>
      </c>
      <c r="H91" s="1108">
        <v>33.590000000000003</v>
      </c>
      <c r="I91" s="1109">
        <v>31.8</v>
      </c>
      <c r="J91" s="127"/>
    </row>
    <row r="92" spans="1:10">
      <c r="A92" s="1207">
        <v>41540</v>
      </c>
      <c r="B92" s="1211">
        <v>35.880000000000003</v>
      </c>
      <c r="C92" s="1209">
        <v>35.5</v>
      </c>
      <c r="D92" s="1209">
        <v>33.96</v>
      </c>
      <c r="E92" s="1210">
        <v>32.25</v>
      </c>
      <c r="F92" s="1211">
        <v>35.01</v>
      </c>
      <c r="G92" s="1209">
        <v>34.729999999999997</v>
      </c>
      <c r="H92" s="1209">
        <v>33.22</v>
      </c>
      <c r="I92" s="1210">
        <v>31.57</v>
      </c>
      <c r="J92" s="127"/>
    </row>
    <row r="93" spans="1:10" ht="13.5" thickBot="1">
      <c r="A93" s="10">
        <v>41547</v>
      </c>
      <c r="B93" s="1107">
        <v>35.35</v>
      </c>
      <c r="C93" s="1108">
        <v>34.86</v>
      </c>
      <c r="D93" s="1108">
        <v>33.340000000000003</v>
      </c>
      <c r="E93" s="1109">
        <v>31.72</v>
      </c>
      <c r="F93" s="1107">
        <v>34.44</v>
      </c>
      <c r="G93" s="1108">
        <v>34.04</v>
      </c>
      <c r="H93" s="1108">
        <v>32.54</v>
      </c>
      <c r="I93" s="1109">
        <v>31</v>
      </c>
      <c r="J93" s="127"/>
    </row>
    <row r="94" spans="1:10" ht="13.5" thickBot="1">
      <c r="A94" s="1212" t="s">
        <v>7</v>
      </c>
      <c r="B94" s="1213">
        <f>AVERAGE(B89:B93)</f>
        <v>36.543999999999997</v>
      </c>
      <c r="C94" s="1213">
        <f t="shared" ref="C94:I94" si="9">AVERAGE(C89:C93)</f>
        <v>36.027999999999999</v>
      </c>
      <c r="D94" s="1213">
        <f t="shared" si="9"/>
        <v>34.514000000000003</v>
      </c>
      <c r="E94" s="1213">
        <f t="shared" si="9"/>
        <v>32.454000000000001</v>
      </c>
      <c r="F94" s="1213">
        <f t="shared" si="9"/>
        <v>35.673999999999999</v>
      </c>
      <c r="G94" s="1213">
        <f t="shared" si="9"/>
        <v>35.267999999999994</v>
      </c>
      <c r="H94" s="1213">
        <f t="shared" si="9"/>
        <v>33.761999999999993</v>
      </c>
      <c r="I94" s="1214">
        <f t="shared" si="9"/>
        <v>31.768000000000001</v>
      </c>
      <c r="J94" s="127"/>
    </row>
    <row r="95" spans="1:10" s="79" customFormat="1">
      <c r="A95" s="10">
        <v>41554</v>
      </c>
      <c r="B95" s="1107">
        <v>34.86</v>
      </c>
      <c r="C95" s="1108">
        <v>34.24</v>
      </c>
      <c r="D95" s="1108">
        <v>32.78</v>
      </c>
      <c r="E95" s="1109">
        <v>31.05</v>
      </c>
      <c r="F95" s="1107">
        <v>33.97</v>
      </c>
      <c r="G95" s="1108">
        <v>33.5</v>
      </c>
      <c r="H95" s="1108">
        <v>32</v>
      </c>
      <c r="I95" s="1109">
        <v>30.29</v>
      </c>
      <c r="J95" s="127"/>
    </row>
    <row r="96" spans="1:10" s="79" customFormat="1">
      <c r="A96" s="1207">
        <v>41561</v>
      </c>
      <c r="B96" s="1211">
        <v>35.36</v>
      </c>
      <c r="C96" s="1209">
        <v>34.700000000000003</v>
      </c>
      <c r="D96" s="1209">
        <v>33.159999999999997</v>
      </c>
      <c r="E96" s="1210">
        <v>31.9</v>
      </c>
      <c r="F96" s="1211">
        <v>34.479999999999997</v>
      </c>
      <c r="G96" s="1209">
        <v>33.93</v>
      </c>
      <c r="H96" s="1209">
        <v>32.42</v>
      </c>
      <c r="I96" s="1210">
        <v>31.21</v>
      </c>
      <c r="J96" s="127"/>
    </row>
    <row r="97" spans="1:10" s="79" customFormat="1">
      <c r="A97" s="10">
        <v>41569</v>
      </c>
      <c r="B97" s="1107">
        <v>34.67</v>
      </c>
      <c r="C97" s="1108">
        <v>34.159999999999997</v>
      </c>
      <c r="D97" s="1108">
        <v>32.65</v>
      </c>
      <c r="E97" s="1109">
        <v>31.41</v>
      </c>
      <c r="F97" s="1107">
        <v>33.76</v>
      </c>
      <c r="G97" s="1108">
        <v>33.369999999999997</v>
      </c>
      <c r="H97" s="1108">
        <v>31.86</v>
      </c>
      <c r="I97" s="1109">
        <v>30.63</v>
      </c>
      <c r="J97" s="127"/>
    </row>
    <row r="98" spans="1:10" s="79" customFormat="1" ht="13.5" thickBot="1">
      <c r="A98" s="1207">
        <v>41575</v>
      </c>
      <c r="B98" s="1211">
        <v>33.369999999999997</v>
      </c>
      <c r="C98" s="1209">
        <v>33.450000000000003</v>
      </c>
      <c r="D98" s="1209">
        <v>31.96</v>
      </c>
      <c r="E98" s="1210">
        <v>30.92</v>
      </c>
      <c r="F98" s="1211">
        <v>32.979999999999997</v>
      </c>
      <c r="G98" s="1209">
        <v>32.6</v>
      </c>
      <c r="H98" s="1209">
        <v>31.11</v>
      </c>
      <c r="I98" s="1210">
        <v>30.14</v>
      </c>
      <c r="J98" s="127"/>
    </row>
    <row r="99" spans="1:10" s="79" customFormat="1" ht="13.5" thickBot="1">
      <c r="A99" s="1212" t="s">
        <v>7</v>
      </c>
      <c r="B99" s="1213">
        <f t="shared" ref="B99:I99" si="10">AVERAGE(B95:B98)</f>
        <v>34.564999999999998</v>
      </c>
      <c r="C99" s="1213">
        <f t="shared" si="10"/>
        <v>34.137500000000003</v>
      </c>
      <c r="D99" s="1213">
        <f t="shared" si="10"/>
        <v>32.637500000000003</v>
      </c>
      <c r="E99" s="1213">
        <f t="shared" si="10"/>
        <v>31.32</v>
      </c>
      <c r="F99" s="1213">
        <f t="shared" si="10"/>
        <v>33.797499999999992</v>
      </c>
      <c r="G99" s="1213">
        <f t="shared" si="10"/>
        <v>33.35</v>
      </c>
      <c r="H99" s="1213">
        <f t="shared" si="10"/>
        <v>31.8475</v>
      </c>
      <c r="I99" s="1214">
        <f t="shared" si="10"/>
        <v>30.567499999999999</v>
      </c>
      <c r="J99" s="127"/>
    </row>
    <row r="100" spans="1:10" s="79" customFormat="1">
      <c r="A100" s="10">
        <v>41582</v>
      </c>
      <c r="B100" s="1107">
        <v>33.119999999999997</v>
      </c>
      <c r="C100" s="1108">
        <v>32.68</v>
      </c>
      <c r="D100" s="1108">
        <v>31.23</v>
      </c>
      <c r="E100" s="1109">
        <v>31.1</v>
      </c>
      <c r="F100" s="1107">
        <v>32.25</v>
      </c>
      <c r="G100" s="1108">
        <v>31.86</v>
      </c>
      <c r="H100" s="1108">
        <v>30.39</v>
      </c>
      <c r="I100" s="1109">
        <v>30.42</v>
      </c>
      <c r="J100" s="127"/>
    </row>
    <row r="101" spans="1:10" s="79" customFormat="1">
      <c r="A101" s="1207">
        <v>41589</v>
      </c>
      <c r="B101" s="1211">
        <v>31.99</v>
      </c>
      <c r="C101" s="1209">
        <v>31.61</v>
      </c>
      <c r="D101" s="1209">
        <v>30.16</v>
      </c>
      <c r="E101" s="1210">
        <v>30.62</v>
      </c>
      <c r="F101" s="1211">
        <v>31.06</v>
      </c>
      <c r="G101" s="1209">
        <v>30.77</v>
      </c>
      <c r="H101" s="1209">
        <v>29.34</v>
      </c>
      <c r="I101" s="1210">
        <v>29.86</v>
      </c>
      <c r="J101" s="127"/>
    </row>
    <row r="102" spans="1:10" s="79" customFormat="1">
      <c r="A102" s="10">
        <v>41596</v>
      </c>
      <c r="B102" s="1107">
        <v>33.9</v>
      </c>
      <c r="C102" s="1108">
        <v>32.909999999999997</v>
      </c>
      <c r="D102" s="1108">
        <v>31.42</v>
      </c>
      <c r="E102" s="1109">
        <v>31.04</v>
      </c>
      <c r="F102" s="1107">
        <v>32.94</v>
      </c>
      <c r="G102" s="1108">
        <v>32.19</v>
      </c>
      <c r="H102" s="1108">
        <v>30.68</v>
      </c>
      <c r="I102" s="1109">
        <v>30.34</v>
      </c>
      <c r="J102" s="127"/>
    </row>
    <row r="103" spans="1:10" s="79" customFormat="1" ht="13.5" thickBot="1">
      <c r="A103" s="1207">
        <v>41603</v>
      </c>
      <c r="B103" s="1211">
        <v>35.340000000000003</v>
      </c>
      <c r="C103" s="1209">
        <v>34.630000000000003</v>
      </c>
      <c r="D103" s="1209">
        <v>33.159999999999997</v>
      </c>
      <c r="E103" s="1210">
        <v>31.99</v>
      </c>
      <c r="F103" s="1211">
        <v>34.479999999999997</v>
      </c>
      <c r="G103" s="1209">
        <v>33.9</v>
      </c>
      <c r="H103" s="1209">
        <v>32.43</v>
      </c>
      <c r="I103" s="1210">
        <v>31.29</v>
      </c>
      <c r="J103" s="127"/>
    </row>
    <row r="104" spans="1:10" s="79" customFormat="1" ht="13.5" thickBot="1">
      <c r="A104" s="1212" t="s">
        <v>7</v>
      </c>
      <c r="B104" s="1213">
        <f t="shared" ref="B104:I104" si="11">AVERAGE(B100:B103)</f>
        <v>33.587499999999999</v>
      </c>
      <c r="C104" s="1213">
        <f t="shared" si="11"/>
        <v>32.957499999999996</v>
      </c>
      <c r="D104" s="1213">
        <f t="shared" si="11"/>
        <v>31.4925</v>
      </c>
      <c r="E104" s="1213">
        <f t="shared" si="11"/>
        <v>31.187499999999996</v>
      </c>
      <c r="F104" s="1213">
        <f t="shared" si="11"/>
        <v>32.682499999999997</v>
      </c>
      <c r="G104" s="1213">
        <f t="shared" si="11"/>
        <v>32.18</v>
      </c>
      <c r="H104" s="1213">
        <f t="shared" si="11"/>
        <v>30.71</v>
      </c>
      <c r="I104" s="1214">
        <f t="shared" si="11"/>
        <v>30.477499999999999</v>
      </c>
      <c r="J104" s="563"/>
    </row>
    <row r="105" spans="1:10" s="79" customFormat="1">
      <c r="A105" s="10">
        <v>41610</v>
      </c>
      <c r="B105" s="1107">
        <v>35.299999999999997</v>
      </c>
      <c r="C105" s="1108">
        <v>34.67</v>
      </c>
      <c r="D105" s="1108">
        <v>33.200000000000003</v>
      </c>
      <c r="E105" s="1109">
        <v>32.01</v>
      </c>
      <c r="F105" s="1107">
        <v>34.42</v>
      </c>
      <c r="G105" s="1108">
        <v>33.9</v>
      </c>
      <c r="H105" s="1108">
        <v>32.42</v>
      </c>
      <c r="I105" s="1109">
        <v>31.24</v>
      </c>
      <c r="J105" s="127"/>
    </row>
    <row r="106" spans="1:10" s="79" customFormat="1">
      <c r="A106" s="1207">
        <v>41617</v>
      </c>
      <c r="B106" s="1211">
        <v>35.729999999999997</v>
      </c>
      <c r="C106" s="1209">
        <v>35.15</v>
      </c>
      <c r="D106" s="1209">
        <v>33.64</v>
      </c>
      <c r="E106" s="1210">
        <v>32.369999999999997</v>
      </c>
      <c r="F106" s="1211">
        <v>34.950000000000003</v>
      </c>
      <c r="G106" s="1209">
        <v>34.49</v>
      </c>
      <c r="H106" s="1209">
        <v>32.950000000000003</v>
      </c>
      <c r="I106" s="1210">
        <v>31.76</v>
      </c>
      <c r="J106" s="127"/>
    </row>
    <row r="107" spans="1:10" s="79" customFormat="1">
      <c r="A107" s="10">
        <v>41624</v>
      </c>
      <c r="B107" s="1107">
        <v>35.630000000000003</v>
      </c>
      <c r="C107" s="1108">
        <v>35.06</v>
      </c>
      <c r="D107" s="1108">
        <v>33.619999999999997</v>
      </c>
      <c r="E107" s="1109">
        <v>32.340000000000003</v>
      </c>
      <c r="F107" s="1107">
        <v>34.72</v>
      </c>
      <c r="G107" s="1108">
        <v>34.299999999999997</v>
      </c>
      <c r="H107" s="1108">
        <v>32.880000000000003</v>
      </c>
      <c r="I107" s="1109">
        <v>31.62</v>
      </c>
      <c r="J107" s="127"/>
    </row>
    <row r="108" spans="1:10" s="79" customFormat="1">
      <c r="A108" s="1207">
        <v>41631</v>
      </c>
      <c r="B108" s="1211">
        <v>35.25</v>
      </c>
      <c r="C108" s="1209">
        <v>34.76</v>
      </c>
      <c r="D108" s="1209">
        <v>33.29</v>
      </c>
      <c r="E108" s="1210">
        <v>32.409999999999997</v>
      </c>
      <c r="F108" s="1211">
        <v>34.39</v>
      </c>
      <c r="G108" s="1209">
        <v>33.97</v>
      </c>
      <c r="H108" s="1209">
        <v>32.479999999999997</v>
      </c>
      <c r="I108" s="1210">
        <v>31.69</v>
      </c>
      <c r="J108" s="127"/>
    </row>
    <row r="109" spans="1:10" s="79" customFormat="1" ht="13.5" thickBot="1">
      <c r="A109" s="10">
        <v>41638</v>
      </c>
      <c r="B109" s="1107">
        <v>36.29</v>
      </c>
      <c r="C109" s="1108">
        <v>35.61</v>
      </c>
      <c r="D109" s="1108">
        <v>34.15</v>
      </c>
      <c r="E109" s="1109">
        <v>32.409999999999997</v>
      </c>
      <c r="F109" s="1107">
        <v>35.409999999999997</v>
      </c>
      <c r="G109" s="1108">
        <v>34.9</v>
      </c>
      <c r="H109" s="1108">
        <v>33.43</v>
      </c>
      <c r="I109" s="1109">
        <v>31.69</v>
      </c>
      <c r="J109" s="127"/>
    </row>
    <row r="110" spans="1:10" s="79" customFormat="1" ht="13.5" thickBot="1">
      <c r="A110" s="1212" t="s">
        <v>7</v>
      </c>
      <c r="B110" s="1213">
        <f t="shared" ref="B110:I110" si="12">AVERAGE(B105:B109)</f>
        <v>35.64</v>
      </c>
      <c r="C110" s="1213">
        <f t="shared" si="12"/>
        <v>35.049999999999997</v>
      </c>
      <c r="D110" s="1213">
        <f t="shared" si="12"/>
        <v>33.58</v>
      </c>
      <c r="E110" s="1213">
        <f t="shared" si="12"/>
        <v>32.308</v>
      </c>
      <c r="F110" s="1213">
        <f t="shared" si="12"/>
        <v>34.778000000000006</v>
      </c>
      <c r="G110" s="1213">
        <f t="shared" si="12"/>
        <v>34.311999999999998</v>
      </c>
      <c r="H110" s="1213">
        <f t="shared" si="12"/>
        <v>32.832000000000001</v>
      </c>
      <c r="I110" s="1214">
        <f t="shared" si="12"/>
        <v>31.6</v>
      </c>
      <c r="J110" s="127"/>
    </row>
    <row r="111" spans="1:10" s="79" customFormat="1" ht="8.25" customHeight="1">
      <c r="A111" s="128"/>
      <c r="B111" s="128"/>
      <c r="C111" s="129"/>
      <c r="D111" s="129"/>
      <c r="E111" s="129"/>
      <c r="F111" s="129"/>
      <c r="G111" s="129"/>
      <c r="H111" s="129"/>
      <c r="I111" s="129"/>
      <c r="J111" s="127"/>
    </row>
    <row r="112" spans="1:10">
      <c r="A112" s="130"/>
      <c r="B112" s="130"/>
      <c r="C112" s="129"/>
      <c r="D112" s="129"/>
      <c r="E112" s="129"/>
      <c r="F112" s="129"/>
      <c r="G112" s="129"/>
      <c r="H112" s="129"/>
      <c r="I112" s="129"/>
      <c r="J112" s="127"/>
    </row>
    <row r="113" spans="1:10">
      <c r="A113" s="127"/>
      <c r="B113" s="127"/>
      <c r="C113" s="129"/>
      <c r="D113" s="129"/>
      <c r="E113" s="129"/>
      <c r="F113" s="129"/>
      <c r="G113" s="129"/>
      <c r="H113" s="129"/>
      <c r="I113" s="129"/>
      <c r="J113" s="127"/>
    </row>
    <row r="114" spans="1:10">
      <c r="A114" s="127"/>
      <c r="B114" s="127"/>
      <c r="C114" s="127"/>
      <c r="D114" s="127"/>
      <c r="E114" s="127"/>
      <c r="F114" s="127"/>
      <c r="G114" s="127"/>
      <c r="H114" s="127"/>
      <c r="I114" s="127"/>
      <c r="J114" s="127"/>
    </row>
    <row r="115" spans="1:10">
      <c r="A115" s="127"/>
      <c r="B115" s="127"/>
      <c r="C115" s="127"/>
      <c r="D115" s="127"/>
      <c r="E115" s="127"/>
      <c r="F115" s="127"/>
      <c r="G115" s="127"/>
      <c r="H115" s="127"/>
      <c r="I115" s="127"/>
      <c r="J115" s="127"/>
    </row>
    <row r="116" spans="1:10">
      <c r="A116" s="127"/>
      <c r="B116" s="127"/>
      <c r="C116" s="127"/>
      <c r="D116" s="127"/>
      <c r="E116" s="127"/>
      <c r="F116" s="127"/>
      <c r="G116" s="127"/>
      <c r="H116" s="127"/>
      <c r="I116" s="127"/>
      <c r="J116" s="127"/>
    </row>
    <row r="117" spans="1:10">
      <c r="A117" s="127"/>
      <c r="B117" s="127"/>
      <c r="C117" s="127"/>
      <c r="D117" s="127"/>
      <c r="E117" s="127"/>
      <c r="F117" s="127"/>
      <c r="G117" s="127"/>
      <c r="H117" s="127"/>
      <c r="I117" s="127"/>
      <c r="J117" s="127"/>
    </row>
    <row r="118" spans="1:10">
      <c r="A118" s="127"/>
      <c r="B118" s="127"/>
      <c r="C118" s="127"/>
      <c r="D118" s="127"/>
      <c r="E118" s="127"/>
      <c r="F118" s="127"/>
      <c r="G118" s="127"/>
      <c r="H118" s="127"/>
      <c r="I118" s="127"/>
      <c r="J118" s="127"/>
    </row>
    <row r="119" spans="1:10">
      <c r="A119" s="127"/>
      <c r="B119" s="127"/>
      <c r="C119" s="127"/>
      <c r="D119" s="127"/>
      <c r="E119" s="127"/>
      <c r="F119" s="127"/>
      <c r="G119" s="127"/>
      <c r="H119" s="127"/>
      <c r="I119" s="127"/>
      <c r="J119" s="127"/>
    </row>
    <row r="120" spans="1:10">
      <c r="A120" s="127"/>
      <c r="B120" s="127"/>
      <c r="C120" s="127"/>
      <c r="D120" s="127"/>
      <c r="E120" s="127"/>
      <c r="F120" s="127"/>
      <c r="G120" s="127"/>
      <c r="H120" s="127"/>
      <c r="I120" s="127"/>
      <c r="J120" s="127"/>
    </row>
    <row r="121" spans="1:10">
      <c r="A121" s="127"/>
      <c r="B121" s="127"/>
      <c r="C121" s="127"/>
      <c r="D121" s="127"/>
      <c r="E121" s="127"/>
      <c r="F121" s="127"/>
      <c r="G121" s="127"/>
      <c r="H121" s="127"/>
      <c r="I121" s="127"/>
      <c r="J121" s="127"/>
    </row>
    <row r="122" spans="1:10">
      <c r="A122" s="127"/>
      <c r="B122" s="127"/>
      <c r="C122" s="127"/>
      <c r="D122" s="127"/>
      <c r="E122" s="127"/>
      <c r="F122" s="127"/>
      <c r="G122" s="127"/>
      <c r="H122" s="127"/>
      <c r="I122" s="127"/>
      <c r="J122" s="127"/>
    </row>
    <row r="123" spans="1:10">
      <c r="A123" s="127"/>
      <c r="B123" s="127"/>
      <c r="C123" s="127"/>
      <c r="D123" s="127"/>
      <c r="E123" s="127"/>
      <c r="F123" s="127"/>
      <c r="G123" s="127"/>
      <c r="H123" s="127"/>
      <c r="I123" s="127"/>
      <c r="J123" s="127"/>
    </row>
    <row r="124" spans="1:10">
      <c r="A124" s="127"/>
      <c r="B124" s="127"/>
      <c r="C124" s="127"/>
      <c r="D124" s="127"/>
      <c r="E124" s="127"/>
      <c r="F124" s="127"/>
      <c r="G124" s="127"/>
      <c r="H124" s="127"/>
      <c r="I124" s="127"/>
      <c r="J124" s="127"/>
    </row>
    <row r="125" spans="1:10">
      <c r="A125" s="127"/>
      <c r="B125" s="127"/>
      <c r="C125" s="127"/>
      <c r="D125" s="127"/>
      <c r="E125" s="127"/>
      <c r="F125" s="127"/>
      <c r="G125" s="127"/>
      <c r="H125" s="127"/>
      <c r="I125" s="127"/>
      <c r="J125" s="127"/>
    </row>
    <row r="126" spans="1:10">
      <c r="A126" s="127"/>
      <c r="B126" s="127"/>
      <c r="C126" s="127"/>
      <c r="D126" s="127"/>
      <c r="E126" s="127"/>
      <c r="F126" s="127"/>
      <c r="G126" s="127"/>
      <c r="H126" s="127"/>
      <c r="I126" s="127"/>
      <c r="J126" s="127"/>
    </row>
    <row r="127" spans="1:10">
      <c r="A127" s="127"/>
      <c r="B127" s="127"/>
      <c r="C127" s="127"/>
      <c r="D127" s="127"/>
      <c r="E127" s="127"/>
      <c r="F127" s="127"/>
      <c r="G127" s="127"/>
      <c r="H127" s="127"/>
      <c r="I127" s="127"/>
      <c r="J127" s="127"/>
    </row>
    <row r="128" spans="1:10">
      <c r="A128" s="127"/>
      <c r="B128" s="127"/>
      <c r="C128" s="127"/>
      <c r="D128" s="127"/>
      <c r="E128" s="127"/>
      <c r="F128" s="127"/>
      <c r="G128" s="127"/>
      <c r="H128" s="127"/>
      <c r="I128" s="127"/>
      <c r="J128" s="127"/>
    </row>
    <row r="129" spans="1:10">
      <c r="A129" s="127"/>
      <c r="B129" s="127"/>
      <c r="C129" s="127"/>
      <c r="D129" s="127"/>
      <c r="E129" s="127"/>
      <c r="F129" s="127"/>
      <c r="G129" s="127"/>
      <c r="H129" s="127"/>
      <c r="I129" s="127"/>
      <c r="J129" s="127"/>
    </row>
    <row r="130" spans="1:10">
      <c r="A130" s="127"/>
      <c r="B130" s="127"/>
      <c r="C130" s="127"/>
      <c r="D130" s="127"/>
      <c r="E130" s="127"/>
      <c r="F130" s="127"/>
      <c r="G130" s="127"/>
      <c r="H130" s="127"/>
      <c r="I130" s="127"/>
      <c r="J130" s="127"/>
    </row>
    <row r="131" spans="1:10">
      <c r="A131" s="127"/>
      <c r="B131" s="127"/>
      <c r="C131" s="127"/>
      <c r="D131" s="127"/>
      <c r="E131" s="127"/>
      <c r="F131" s="127"/>
      <c r="G131" s="127"/>
      <c r="H131" s="127"/>
      <c r="I131" s="127"/>
      <c r="J131" s="127"/>
    </row>
    <row r="132" spans="1:10">
      <c r="A132" s="127"/>
      <c r="B132" s="127"/>
      <c r="C132" s="127"/>
      <c r="D132" s="127"/>
      <c r="E132" s="127"/>
      <c r="F132" s="127"/>
      <c r="G132" s="127"/>
      <c r="H132" s="127"/>
      <c r="I132" s="127"/>
      <c r="J132" s="127"/>
    </row>
    <row r="133" spans="1:10">
      <c r="A133" s="127"/>
      <c r="B133" s="127"/>
      <c r="C133" s="127"/>
      <c r="D133" s="127"/>
      <c r="E133" s="127"/>
      <c r="F133" s="127"/>
      <c r="G133" s="127"/>
      <c r="H133" s="127"/>
      <c r="I133" s="127"/>
      <c r="J133" s="127"/>
    </row>
    <row r="134" spans="1:10">
      <c r="A134" s="127"/>
      <c r="B134" s="127"/>
      <c r="C134" s="127"/>
      <c r="D134" s="127"/>
      <c r="E134" s="127"/>
      <c r="F134" s="127"/>
      <c r="G134" s="127"/>
      <c r="H134" s="127"/>
      <c r="I134" s="127"/>
      <c r="J134" s="127"/>
    </row>
    <row r="135" spans="1:10">
      <c r="A135" s="127"/>
      <c r="B135" s="127"/>
      <c r="C135" s="127"/>
      <c r="D135" s="127"/>
      <c r="E135" s="127"/>
      <c r="F135" s="127"/>
      <c r="G135" s="127"/>
      <c r="H135" s="127"/>
      <c r="I135" s="127"/>
      <c r="J135" s="127"/>
    </row>
    <row r="136" spans="1:10">
      <c r="A136" s="127"/>
      <c r="B136" s="127"/>
      <c r="C136" s="127"/>
      <c r="D136" s="127"/>
      <c r="E136" s="127"/>
      <c r="F136" s="127"/>
      <c r="G136" s="127"/>
      <c r="H136" s="127"/>
      <c r="I136" s="127"/>
      <c r="J136" s="127"/>
    </row>
    <row r="137" spans="1:10">
      <c r="A137" s="127"/>
      <c r="B137" s="127"/>
      <c r="C137" s="127"/>
      <c r="D137" s="127"/>
      <c r="E137" s="127"/>
      <c r="F137" s="127"/>
      <c r="G137" s="127"/>
      <c r="H137" s="127"/>
      <c r="I137" s="127"/>
      <c r="J137" s="127"/>
    </row>
    <row r="138" spans="1:10">
      <c r="A138" s="127"/>
      <c r="B138" s="127"/>
      <c r="C138" s="127"/>
      <c r="D138" s="127"/>
      <c r="E138" s="127"/>
      <c r="F138" s="127"/>
      <c r="G138" s="127"/>
      <c r="H138" s="127"/>
      <c r="I138" s="127"/>
      <c r="J138" s="127"/>
    </row>
    <row r="139" spans="1:10">
      <c r="A139" s="127"/>
      <c r="B139" s="127"/>
      <c r="C139" s="127"/>
      <c r="D139" s="127"/>
      <c r="E139" s="127"/>
      <c r="F139" s="127"/>
      <c r="G139" s="127"/>
      <c r="H139" s="127"/>
      <c r="I139" s="127"/>
      <c r="J139" s="127"/>
    </row>
    <row r="140" spans="1:10">
      <c r="A140" s="127"/>
      <c r="B140" s="127"/>
      <c r="C140" s="127"/>
      <c r="D140" s="127"/>
      <c r="E140" s="127"/>
      <c r="F140" s="127"/>
      <c r="G140" s="127"/>
      <c r="H140" s="127"/>
      <c r="I140" s="127"/>
      <c r="J140" s="127"/>
    </row>
    <row r="141" spans="1:10">
      <c r="A141" s="127"/>
      <c r="B141" s="127"/>
      <c r="C141" s="127"/>
      <c r="D141" s="127"/>
      <c r="E141" s="127"/>
      <c r="F141" s="127"/>
      <c r="G141" s="127"/>
      <c r="H141" s="127"/>
      <c r="I141" s="127"/>
      <c r="J141" s="127"/>
    </row>
    <row r="142" spans="1:10">
      <c r="A142" s="127"/>
      <c r="B142" s="127"/>
      <c r="C142" s="127"/>
      <c r="D142" s="127"/>
      <c r="E142" s="127"/>
      <c r="F142" s="127"/>
      <c r="G142" s="127"/>
      <c r="H142" s="127"/>
      <c r="I142" s="127"/>
      <c r="J142" s="127"/>
    </row>
    <row r="143" spans="1:10">
      <c r="A143" s="127"/>
      <c r="B143" s="127"/>
      <c r="C143" s="127"/>
      <c r="D143" s="127"/>
      <c r="E143" s="127"/>
      <c r="F143" s="127"/>
      <c r="G143" s="127"/>
      <c r="H143" s="127"/>
      <c r="I143" s="127"/>
      <c r="J143" s="127"/>
    </row>
    <row r="144" spans="1:10">
      <c r="A144" s="127"/>
      <c r="B144" s="127"/>
      <c r="C144" s="127"/>
      <c r="D144" s="127"/>
      <c r="E144" s="127"/>
      <c r="F144" s="127"/>
      <c r="G144" s="127"/>
      <c r="H144" s="127"/>
      <c r="I144" s="127"/>
      <c r="J144" s="127"/>
    </row>
    <row r="145" spans="1:10">
      <c r="A145" s="127"/>
      <c r="B145" s="127"/>
      <c r="C145" s="127"/>
      <c r="D145" s="127"/>
      <c r="E145" s="127"/>
      <c r="F145" s="127"/>
      <c r="G145" s="127"/>
      <c r="H145" s="127"/>
      <c r="I145" s="127"/>
      <c r="J145" s="127"/>
    </row>
    <row r="146" spans="1:10">
      <c r="A146" s="127"/>
      <c r="B146" s="127"/>
      <c r="C146" s="127"/>
      <c r="D146" s="127"/>
      <c r="E146" s="127"/>
      <c r="F146" s="127"/>
      <c r="G146" s="127"/>
      <c r="H146" s="127"/>
      <c r="I146" s="127"/>
      <c r="J146" s="127"/>
    </row>
    <row r="147" spans="1:10">
      <c r="A147" s="127"/>
      <c r="B147" s="127"/>
      <c r="C147" s="127"/>
      <c r="D147" s="127"/>
      <c r="E147" s="127"/>
      <c r="F147" s="127"/>
      <c r="G147" s="127"/>
      <c r="H147" s="127"/>
      <c r="I147" s="127"/>
      <c r="J147" s="127"/>
    </row>
    <row r="148" spans="1:10">
      <c r="A148" s="127"/>
      <c r="B148" s="127"/>
      <c r="C148" s="127"/>
      <c r="D148" s="127"/>
      <c r="E148" s="127"/>
      <c r="F148" s="127"/>
      <c r="G148" s="127"/>
      <c r="H148" s="127"/>
      <c r="I148" s="127"/>
      <c r="J148" s="127"/>
    </row>
    <row r="149" spans="1:10">
      <c r="A149" s="127"/>
      <c r="B149" s="127"/>
      <c r="C149" s="127"/>
      <c r="D149" s="127"/>
      <c r="E149" s="127"/>
      <c r="F149" s="127"/>
      <c r="G149" s="127"/>
      <c r="H149" s="127"/>
      <c r="I149" s="127"/>
      <c r="J149" s="127"/>
    </row>
    <row r="150" spans="1:10">
      <c r="A150" s="127"/>
      <c r="B150" s="127"/>
      <c r="C150" s="127"/>
      <c r="D150" s="127"/>
      <c r="E150" s="127"/>
      <c r="F150" s="127"/>
      <c r="G150" s="127"/>
      <c r="H150" s="127"/>
      <c r="I150" s="127"/>
      <c r="J150" s="127"/>
    </row>
    <row r="151" spans="1:10">
      <c r="A151" s="127"/>
      <c r="B151" s="127"/>
      <c r="C151" s="127"/>
      <c r="D151" s="127"/>
      <c r="E151" s="127"/>
      <c r="F151" s="127"/>
      <c r="G151" s="127"/>
      <c r="H151" s="127"/>
      <c r="I151" s="127"/>
      <c r="J151" s="127"/>
    </row>
    <row r="152" spans="1:10">
      <c r="A152" s="127"/>
      <c r="B152" s="127"/>
      <c r="C152" s="127"/>
      <c r="D152" s="127"/>
      <c r="E152" s="127"/>
      <c r="F152" s="127"/>
      <c r="G152" s="127"/>
      <c r="H152" s="127"/>
      <c r="I152" s="127"/>
      <c r="J152" s="127"/>
    </row>
    <row r="153" spans="1:10">
      <c r="A153" s="127"/>
      <c r="B153" s="127"/>
      <c r="C153" s="127"/>
      <c r="D153" s="127"/>
      <c r="E153" s="127"/>
      <c r="F153" s="127"/>
      <c r="G153" s="127"/>
      <c r="H153" s="127"/>
      <c r="I153" s="127"/>
      <c r="J153" s="127"/>
    </row>
    <row r="154" spans="1:10">
      <c r="A154" s="127"/>
      <c r="B154" s="127"/>
      <c r="C154" s="127"/>
      <c r="D154" s="127"/>
      <c r="E154" s="127"/>
      <c r="F154" s="127"/>
      <c r="G154" s="127"/>
      <c r="H154" s="127"/>
      <c r="I154" s="127"/>
      <c r="J154" s="127"/>
    </row>
    <row r="155" spans="1:10">
      <c r="A155" s="127"/>
      <c r="B155" s="127"/>
      <c r="C155" s="127"/>
      <c r="D155" s="127"/>
      <c r="E155" s="127"/>
      <c r="F155" s="127"/>
      <c r="G155" s="127"/>
      <c r="H155" s="127"/>
      <c r="I155" s="127"/>
      <c r="J155" s="127"/>
    </row>
    <row r="156" spans="1:10">
      <c r="A156" s="127"/>
      <c r="B156" s="127"/>
      <c r="C156" s="127"/>
      <c r="D156" s="127"/>
      <c r="E156" s="127"/>
      <c r="F156" s="127"/>
      <c r="G156" s="127"/>
      <c r="H156" s="127"/>
      <c r="I156" s="127"/>
      <c r="J156" s="127"/>
    </row>
  </sheetData>
  <mergeCells count="8">
    <mergeCell ref="A2:I2"/>
    <mergeCell ref="K15:N15"/>
    <mergeCell ref="K16:N16"/>
    <mergeCell ref="A3:I3"/>
    <mergeCell ref="A4:I4"/>
    <mergeCell ref="A5:I5"/>
    <mergeCell ref="B7:E7"/>
    <mergeCell ref="F7:I7"/>
  </mergeCells>
  <phoneticPr fontId="5" type="noConversion"/>
  <pageMargins left="1.47" right="0.42" top="0.6" bottom="1" header="0" footer="0"/>
  <pageSetup scale="70" orientation="portrait" horizontalDpi="4294967295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46</vt:i4>
      </vt:variant>
    </vt:vector>
  </HeadingPairs>
  <TitlesOfParts>
    <vt:vector size="86" baseType="lpstr">
      <vt:lpstr>gasolinas 05</vt:lpstr>
      <vt:lpstr>gasolinas 06</vt:lpstr>
      <vt:lpstr>Gasolinas 07</vt:lpstr>
      <vt:lpstr>Gasolinas 2008</vt:lpstr>
      <vt:lpstr>Gasolinas 2009</vt:lpstr>
      <vt:lpstr>Gasolinas 2010</vt:lpstr>
      <vt:lpstr>Gasolinas 2011 </vt:lpstr>
      <vt:lpstr>Gasolinas 2012</vt:lpstr>
      <vt:lpstr>Gasolinas 2013</vt:lpstr>
      <vt:lpstr>Gasolinas 2014</vt:lpstr>
      <vt:lpstr>Gasolinas 2015</vt:lpstr>
      <vt:lpstr>Gasolinas 2016</vt:lpstr>
      <vt:lpstr>Gasolinas 2017</vt:lpstr>
      <vt:lpstr>Gasolinas 2018</vt:lpstr>
      <vt:lpstr>Gasolinas 2019</vt:lpstr>
      <vt:lpstr>Gasolinas 2020</vt:lpstr>
      <vt:lpstr>Gasolineras 2021</vt:lpstr>
      <vt:lpstr>Gasolineras 2022</vt:lpstr>
      <vt:lpstr>Gasolineras 2023</vt:lpstr>
      <vt:lpstr>Gasolineras 2024</vt:lpstr>
      <vt:lpstr> SC COMBUSTIBLES 2002-2024</vt:lpstr>
      <vt:lpstr>AS COMBUSTIBLES 2002-2024</vt:lpstr>
      <vt:lpstr>COMPORTAMIENTO DE PRECIOS 2023</vt:lpstr>
      <vt:lpstr>X-SEMANA-SC</vt:lpstr>
      <vt:lpstr>X-MES-AS</vt:lpstr>
      <vt:lpstr>Gasolineras 2022 (2)</vt:lpstr>
      <vt:lpstr> SC COMBUSTIBLES 2002-2020</vt:lpstr>
      <vt:lpstr>AS COMBUSTIBLES 2002-2020</vt:lpstr>
      <vt:lpstr>PROMEDIO GLP</vt:lpstr>
      <vt:lpstr>GLP WEB 2019</vt:lpstr>
      <vt:lpstr>preciosgasodieselglp</vt:lpstr>
      <vt:lpstr>Tabulacion</vt:lpstr>
      <vt:lpstr>Precio Sugeridos</vt:lpstr>
      <vt:lpstr>GLP por Cía 03 a 06</vt:lpstr>
      <vt:lpstr>X-MES-81-05 (2)</vt:lpstr>
      <vt:lpstr>X-MES-81-05</vt:lpstr>
      <vt:lpstr>Cuadre</vt:lpstr>
      <vt:lpstr>X-MES-81-05 (3)</vt:lpstr>
      <vt:lpstr>Hoja2</vt:lpstr>
      <vt:lpstr>GLP por Cía 03 a 06 (2)</vt:lpstr>
      <vt:lpstr>' SC COMBUSTIBLES 2002-2020'!Área_de_impresión</vt:lpstr>
      <vt:lpstr>' SC COMBUSTIBLES 2002-2024'!Área_de_impresión</vt:lpstr>
      <vt:lpstr>'AS COMBUSTIBLES 2002-2020'!Área_de_impresión</vt:lpstr>
      <vt:lpstr>'AS COMBUSTIBLES 2002-2024'!Área_de_impresión</vt:lpstr>
      <vt:lpstr>'COMPORTAMIENTO DE PRECIOS 2023'!Área_de_impresión</vt:lpstr>
      <vt:lpstr>Cuadre!Área_de_impresión</vt:lpstr>
      <vt:lpstr>'gasolinas 05'!Área_de_impresión</vt:lpstr>
      <vt:lpstr>'gasolinas 06'!Área_de_impresión</vt:lpstr>
      <vt:lpstr>'Gasolinas 2008'!Área_de_impresión</vt:lpstr>
      <vt:lpstr>'Gasolinas 2009'!Área_de_impresión</vt:lpstr>
      <vt:lpstr>'Gasolinas 2011 '!Área_de_impresión</vt:lpstr>
      <vt:lpstr>'Gasolinas 2012'!Área_de_impresión</vt:lpstr>
      <vt:lpstr>'Gasolinas 2013'!Área_de_impresión</vt:lpstr>
      <vt:lpstr>'Gasolinas 2014'!Área_de_impresión</vt:lpstr>
      <vt:lpstr>'Gasolinas 2015'!Área_de_impresión</vt:lpstr>
      <vt:lpstr>'Gasolinas 2016'!Área_de_impresión</vt:lpstr>
      <vt:lpstr>'Gasolinas 2017'!Área_de_impresión</vt:lpstr>
      <vt:lpstr>'Gasolinas 2018'!Área_de_impresión</vt:lpstr>
      <vt:lpstr>'Gasolinas 2019'!Área_de_impresión</vt:lpstr>
      <vt:lpstr>'Gasolinas 2020'!Área_de_impresión</vt:lpstr>
      <vt:lpstr>'Gasolineras 2021'!Área_de_impresión</vt:lpstr>
      <vt:lpstr>'Gasolineras 2022'!Área_de_impresión</vt:lpstr>
      <vt:lpstr>'Gasolineras 2022 (2)'!Área_de_impresión</vt:lpstr>
      <vt:lpstr>'Gasolineras 2023'!Área_de_impresión</vt:lpstr>
      <vt:lpstr>'Gasolineras 2024'!Área_de_impresión</vt:lpstr>
      <vt:lpstr>'GLP por Cía 03 a 06'!Área_de_impresión</vt:lpstr>
      <vt:lpstr>'GLP por Cía 03 a 06 (2)'!Área_de_impresión</vt:lpstr>
      <vt:lpstr>'GLP WEB 2019'!Área_de_impresión</vt:lpstr>
      <vt:lpstr>'Precio Sugeridos'!Área_de_impresión</vt:lpstr>
      <vt:lpstr>preciosgasodieselglp!Área_de_impresión</vt:lpstr>
      <vt:lpstr>'PROMEDIO GLP'!Área_de_impresión</vt:lpstr>
      <vt:lpstr>Tabulacion!Área_de_impresión</vt:lpstr>
      <vt:lpstr>'X-MES-81-05'!Área_de_impresión</vt:lpstr>
      <vt:lpstr>'X-MES-81-05 (2)'!Área_de_impresión</vt:lpstr>
      <vt:lpstr>'X-MES-81-05 (3)'!Área_de_impresión</vt:lpstr>
      <vt:lpstr>'X-MES-AS'!Área_de_impresión</vt:lpstr>
      <vt:lpstr>'X-SEMANA-SC'!Área_de_impresión</vt:lpstr>
      <vt:lpstr>' SC COMBUSTIBLES 2002-2020'!Títulos_a_imprimir</vt:lpstr>
      <vt:lpstr>' SC COMBUSTIBLES 2002-2024'!Títulos_a_imprimir</vt:lpstr>
      <vt:lpstr>'AS COMBUSTIBLES 2002-2020'!Títulos_a_imprimir</vt:lpstr>
      <vt:lpstr>'AS COMBUSTIBLES 2002-2024'!Títulos_a_imprimir</vt:lpstr>
      <vt:lpstr>'GLP por Cía 03 a 06'!Títulos_a_imprimir</vt:lpstr>
      <vt:lpstr>'GLP por Cía 03 a 06 (2)'!Títulos_a_imprimir</vt:lpstr>
      <vt:lpstr>'GLP WEB 2019'!Títulos_a_imprimir</vt:lpstr>
      <vt:lpstr>preciosgasodieselglp!Títulos_a_imprimir</vt:lpstr>
      <vt:lpstr>'X-MES-AS'!Títulos_a_imprimir</vt:lpstr>
    </vt:vector>
  </TitlesOfParts>
  <Company>Ministerio de Energia y Minas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Combustibles</dc:creator>
  <cp:lastModifiedBy>Axel Alberto Iriarte Dedet</cp:lastModifiedBy>
  <cp:lastPrinted>2024-10-04T14:01:09Z</cp:lastPrinted>
  <dcterms:created xsi:type="dcterms:W3CDTF">2004-05-21T22:09:30Z</dcterms:created>
  <dcterms:modified xsi:type="dcterms:W3CDTF">2024-11-28T17:17:26Z</dcterms:modified>
</cp:coreProperties>
</file>